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pivotTables/pivotTable11.xml" ContentType="application/vnd.openxmlformats-officedocument.spreadsheetml.pivotTable+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pivotTables/pivotTable12.xml" ContentType="application/vnd.openxmlformats-officedocument.spreadsheetml.pivotTable+xml"/>
  <Override PartName="/xl/pivotTables/pivotTable13.xml" ContentType="application/vnd.openxmlformats-officedocument.spreadsheetml.pivotTable+xml"/>
  <Override PartName="/xl/pivotTables/pivotTable14.xml" ContentType="application/vnd.openxmlformats-officedocument.spreadsheetml.pivotTable+xml"/>
  <Override PartName="/xl/pivotTables/pivotTable15.xml" ContentType="application/vnd.openxmlformats-officedocument.spreadsheetml.pivotTable+xml"/>
  <Override PartName="/xl/pivotTables/pivotTable16.xml" ContentType="application/vnd.openxmlformats-officedocument.spreadsheetml.pivotTable+xml"/>
  <Override PartName="/xl/pivotTables/pivotTable17.xml" ContentType="application/vnd.openxmlformats-officedocument.spreadsheetml.pivotTable+xml"/>
  <Override PartName="/xl/pivotTables/pivotTable18.xml" ContentType="application/vnd.openxmlformats-officedocument.spreadsheetml.pivotTable+xml"/>
  <Override PartName="/xl/drawings/drawing3.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drawings/drawing90.xml" ContentType="application/vnd.openxmlformats-officedocument.drawing+xml"/>
  <Override PartName="/xl/drawings/drawing91.xml" ContentType="application/vnd.openxmlformats-officedocument.drawing+xml"/>
  <Override PartName="/xl/drawings/drawing92.xml" ContentType="application/vnd.openxmlformats-officedocument.drawing+xml"/>
  <Override PartName="/xl/drawings/drawing93.xml" ContentType="application/vnd.openxmlformats-officedocument.drawing+xml"/>
  <Override PartName="/xl/drawings/drawing94.xml" ContentType="application/vnd.openxmlformats-officedocument.drawing+xml"/>
  <Override PartName="/xl/drawings/drawing95.xml" ContentType="application/vnd.openxmlformats-officedocument.drawing+xml"/>
  <Override PartName="/xl/drawings/drawing96.xml" ContentType="application/vnd.openxmlformats-officedocument.drawing+xml"/>
  <Override PartName="/xl/drawings/drawing97.xml" ContentType="application/vnd.openxmlformats-officedocument.drawing+xml"/>
  <Override PartName="/xl/drawings/drawing98.xml" ContentType="application/vnd.openxmlformats-officedocument.drawing+xml"/>
  <Override PartName="/xl/drawings/drawing99.xml" ContentType="application/vnd.openxmlformats-officedocument.drawing+xml"/>
  <Override PartName="/xl/drawings/drawing100.xml" ContentType="application/vnd.openxmlformats-officedocument.drawing+xml"/>
  <Override PartName="/xl/drawings/drawing101.xml" ContentType="application/vnd.openxmlformats-officedocument.drawing+xml"/>
  <Override PartName="/xl/drawings/drawing102.xml" ContentType="application/vnd.openxmlformats-officedocument.drawing+xml"/>
  <Override PartName="/xl/drawings/drawing103.xml" ContentType="application/vnd.openxmlformats-officedocument.drawing+xml"/>
  <Override PartName="/xl/drawings/drawing104.xml" ContentType="application/vnd.openxmlformats-officedocument.drawing+xml"/>
  <Override PartName="/xl/drawings/drawing105.xml" ContentType="application/vnd.openxmlformats-officedocument.drawing+xml"/>
  <Override PartName="/xl/drawings/drawing106.xml" ContentType="application/vnd.openxmlformats-officedocument.drawing+xml"/>
  <Override PartName="/xl/drawings/drawing107.xml" ContentType="application/vnd.openxmlformats-officedocument.drawing+xml"/>
  <Override PartName="/xl/drawings/drawing108.xml" ContentType="application/vnd.openxmlformats-officedocument.drawing+xml"/>
  <Override PartName="/xl/drawings/drawing109.xml" ContentType="application/vnd.openxmlformats-officedocument.drawing+xml"/>
  <Override PartName="/xl/drawings/drawing110.xml" ContentType="application/vnd.openxmlformats-officedocument.drawing+xml"/>
  <Override PartName="/xl/drawings/drawing111.xml" ContentType="application/vnd.openxmlformats-officedocument.drawing+xml"/>
  <Override PartName="/xl/drawings/drawing112.xml" ContentType="application/vnd.openxmlformats-officedocument.drawing+xml"/>
  <Override PartName="/xl/drawings/drawing113.xml" ContentType="application/vnd.openxmlformats-officedocument.drawing+xml"/>
  <Override PartName="/xl/drawings/drawing114.xml" ContentType="application/vnd.openxmlformats-officedocument.drawing+xml"/>
  <Override PartName="/xl/drawings/drawing115.xml" ContentType="application/vnd.openxmlformats-officedocument.drawing+xml"/>
  <Override PartName="/xl/drawings/drawing116.xml" ContentType="application/vnd.openxmlformats-officedocument.drawing+xml"/>
  <Override PartName="/xl/drawings/drawing117.xml" ContentType="application/vnd.openxmlformats-officedocument.drawing+xml"/>
  <Override PartName="/xl/drawings/drawing118.xml" ContentType="application/vnd.openxmlformats-officedocument.drawing+xml"/>
  <Override PartName="/xl/drawings/drawing119.xml" ContentType="application/vnd.openxmlformats-officedocument.drawing+xml"/>
  <Override PartName="/xl/drawings/drawing120.xml" ContentType="application/vnd.openxmlformats-officedocument.drawing+xml"/>
  <Override PartName="/xl/drawings/drawing121.xml" ContentType="application/vnd.openxmlformats-officedocument.drawing+xml"/>
  <Override PartName="/xl/drawings/drawing122.xml" ContentType="application/vnd.openxmlformats-officedocument.drawing+xml"/>
  <Override PartName="/xl/drawings/drawing123.xml" ContentType="application/vnd.openxmlformats-officedocument.drawing+xml"/>
  <Override PartName="/xl/drawings/drawing124.xml" ContentType="application/vnd.openxmlformats-officedocument.drawing+xml"/>
  <Override PartName="/xl/drawings/drawing125.xml" ContentType="application/vnd.openxmlformats-officedocument.drawing+xml"/>
  <Override PartName="/xl/drawings/drawing126.xml" ContentType="application/vnd.openxmlformats-officedocument.drawing+xml"/>
  <Override PartName="/xl/drawings/drawing127.xml" ContentType="application/vnd.openxmlformats-officedocument.drawing+xml"/>
  <Override PartName="/xl/drawings/drawing128.xml" ContentType="application/vnd.openxmlformats-officedocument.drawing+xml"/>
  <Override PartName="/xl/drawings/drawing129.xml" ContentType="application/vnd.openxmlformats-officedocument.drawing+xml"/>
  <Override PartName="/xl/drawings/drawing130.xml" ContentType="application/vnd.openxmlformats-officedocument.drawing+xml"/>
  <Override PartName="/xl/drawings/drawing131.xml" ContentType="application/vnd.openxmlformats-officedocument.drawing+xml"/>
  <Override PartName="/xl/drawings/drawing132.xml" ContentType="application/vnd.openxmlformats-officedocument.drawing+xml"/>
  <Override PartName="/xl/drawings/drawing133.xml" ContentType="application/vnd.openxmlformats-officedocument.drawing+xml"/>
  <Override PartName="/xl/drawings/drawing134.xml" ContentType="application/vnd.openxmlformats-officedocument.drawing+xml"/>
  <Override PartName="/xl/drawings/drawing135.xml" ContentType="application/vnd.openxmlformats-officedocument.drawing+xml"/>
  <Override PartName="/xl/drawings/drawing136.xml" ContentType="application/vnd.openxmlformats-officedocument.drawing+xml"/>
  <Override PartName="/xl/drawings/drawing137.xml" ContentType="application/vnd.openxmlformats-officedocument.drawing+xml"/>
  <Override PartName="/xl/drawings/drawing138.xml" ContentType="application/vnd.openxmlformats-officedocument.drawing+xml"/>
  <Override PartName="/xl/drawings/drawing139.xml" ContentType="application/vnd.openxmlformats-officedocument.drawing+xml"/>
  <Override PartName="/xl/drawings/drawing140.xml" ContentType="application/vnd.openxmlformats-officedocument.drawing+xml"/>
  <Override PartName="/xl/drawings/drawing141.xml" ContentType="application/vnd.openxmlformats-officedocument.drawing+xml"/>
  <Override PartName="/xl/drawings/drawing142.xml" ContentType="application/vnd.openxmlformats-officedocument.drawing+xml"/>
  <Override PartName="/xl/drawings/drawing143.xml" ContentType="application/vnd.openxmlformats-officedocument.drawing+xml"/>
  <Override PartName="/xl/drawings/drawing144.xml" ContentType="application/vnd.openxmlformats-officedocument.drawing+xml"/>
  <Override PartName="/xl/drawings/drawing145.xml" ContentType="application/vnd.openxmlformats-officedocument.drawing+xml"/>
  <Override PartName="/xl/drawings/drawing146.xml" ContentType="application/vnd.openxmlformats-officedocument.drawing+xml"/>
  <Override PartName="/xl/drawings/drawing147.xml" ContentType="application/vnd.openxmlformats-officedocument.drawing+xml"/>
  <Override PartName="/xl/drawings/drawing148.xml" ContentType="application/vnd.openxmlformats-officedocument.drawing+xml"/>
  <Override PartName="/xl/drawings/drawing149.xml" ContentType="application/vnd.openxmlformats-officedocument.drawing+xml"/>
  <Override PartName="/xl/drawings/drawing150.xml" ContentType="application/vnd.openxmlformats-officedocument.drawing+xml"/>
  <Override PartName="/xl/drawings/drawing151.xml" ContentType="application/vnd.openxmlformats-officedocument.drawing+xml"/>
  <Override PartName="/xl/drawings/drawing152.xml" ContentType="application/vnd.openxmlformats-officedocument.drawing+xml"/>
  <Override PartName="/xl/drawings/drawing153.xml" ContentType="application/vnd.openxmlformats-officedocument.drawing+xml"/>
  <Override PartName="/xl/drawings/drawing154.xml" ContentType="application/vnd.openxmlformats-officedocument.drawing+xml"/>
  <Override PartName="/xl/drawings/drawing155.xml" ContentType="application/vnd.openxmlformats-officedocument.drawing+xml"/>
  <Override PartName="/xl/drawings/drawing156.xml" ContentType="application/vnd.openxmlformats-officedocument.drawing+xml"/>
  <Override PartName="/xl/drawings/drawing157.xml" ContentType="application/vnd.openxmlformats-officedocument.drawing+xml"/>
  <Override PartName="/xl/drawings/drawing158.xml" ContentType="application/vnd.openxmlformats-officedocument.drawing+xml"/>
  <Override PartName="/xl/drawings/drawing159.xml" ContentType="application/vnd.openxmlformats-officedocument.drawing+xml"/>
  <Override PartName="/xl/drawings/drawing160.xml" ContentType="application/vnd.openxmlformats-officedocument.drawing+xml"/>
  <Override PartName="/xl/drawings/drawing161.xml" ContentType="application/vnd.openxmlformats-officedocument.drawing+xml"/>
  <Override PartName="/xl/drawings/drawing162.xml" ContentType="application/vnd.openxmlformats-officedocument.drawing+xml"/>
  <Override PartName="/xl/drawings/drawing163.xml" ContentType="application/vnd.openxmlformats-officedocument.drawing+xml"/>
  <Override PartName="/xl/drawings/drawing164.xml" ContentType="application/vnd.openxmlformats-officedocument.drawing+xml"/>
  <Override PartName="/xl/drawings/drawing165.xml" ContentType="application/vnd.openxmlformats-officedocument.drawing+xml"/>
  <Override PartName="/xl/drawings/drawing166.xml" ContentType="application/vnd.openxmlformats-officedocument.drawing+xml"/>
  <Override PartName="/xl/drawings/drawing167.xml" ContentType="application/vnd.openxmlformats-officedocument.drawing+xml"/>
  <Override PartName="/xl/drawings/drawing168.xml" ContentType="application/vnd.openxmlformats-officedocument.drawing+xml"/>
  <Override PartName="/xl/drawings/drawing169.xml" ContentType="application/vnd.openxmlformats-officedocument.drawing+xml"/>
  <Override PartName="/xl/drawings/drawing170.xml" ContentType="application/vnd.openxmlformats-officedocument.drawing+xml"/>
  <Override PartName="/xl/drawings/drawing171.xml" ContentType="application/vnd.openxmlformats-officedocument.drawing+xml"/>
  <Override PartName="/xl/drawings/drawing172.xml" ContentType="application/vnd.openxmlformats-officedocument.drawing+xml"/>
  <Override PartName="/xl/drawings/drawing173.xml" ContentType="application/vnd.openxmlformats-officedocument.drawing+xml"/>
  <Override PartName="/xl/drawings/drawing174.xml" ContentType="application/vnd.openxmlformats-officedocument.drawing+xml"/>
  <Override PartName="/xl/drawings/drawing175.xml" ContentType="application/vnd.openxmlformats-officedocument.drawing+xml"/>
  <Override PartName="/xl/drawings/drawing176.xml" ContentType="application/vnd.openxmlformats-officedocument.drawing+xml"/>
  <Override PartName="/xl/drawings/drawing177.xml" ContentType="application/vnd.openxmlformats-officedocument.drawing+xml"/>
  <Override PartName="/xl/drawings/drawing178.xml" ContentType="application/vnd.openxmlformats-officedocument.drawing+xml"/>
  <Override PartName="/xl/drawings/drawing179.xml" ContentType="application/vnd.openxmlformats-officedocument.drawing+xml"/>
  <Override PartName="/xl/drawings/drawing180.xml" ContentType="application/vnd.openxmlformats-officedocument.drawing+xml"/>
  <Override PartName="/xl/drawings/drawing181.xml" ContentType="application/vnd.openxmlformats-officedocument.drawing+xml"/>
  <Override PartName="/xl/drawings/drawing182.xml" ContentType="application/vnd.openxmlformats-officedocument.drawing+xml"/>
  <Override PartName="/xl/drawings/drawing183.xml" ContentType="application/vnd.openxmlformats-officedocument.drawing+xml"/>
  <Override PartName="/xl/drawings/drawing184.xml" ContentType="application/vnd.openxmlformats-officedocument.drawing+xml"/>
  <Override PartName="/xl/drawings/drawing185.xml" ContentType="application/vnd.openxmlformats-officedocument.drawing+xml"/>
  <Override PartName="/xl/drawings/drawing186.xml" ContentType="application/vnd.openxmlformats-officedocument.drawing+xml"/>
  <Override PartName="/xl/drawings/drawing187.xml" ContentType="application/vnd.openxmlformats-officedocument.drawing+xml"/>
  <Override PartName="/xl/drawings/drawing188.xml" ContentType="application/vnd.openxmlformats-officedocument.drawing+xml"/>
  <Override PartName="/xl/drawings/drawing189.xml" ContentType="application/vnd.openxmlformats-officedocument.drawing+xml"/>
  <Override PartName="/xl/drawings/drawing190.xml" ContentType="application/vnd.openxmlformats-officedocument.drawing+xml"/>
  <Override PartName="/xl/drawings/drawing191.xml" ContentType="application/vnd.openxmlformats-officedocument.drawing+xml"/>
  <Override PartName="/xl/drawings/drawing192.xml" ContentType="application/vnd.openxmlformats-officedocument.drawing+xml"/>
  <Override PartName="/xl/drawings/drawing193.xml" ContentType="application/vnd.openxmlformats-officedocument.drawing+xml"/>
  <Override PartName="/xl/drawings/drawing194.xml" ContentType="application/vnd.openxmlformats-officedocument.drawing+xml"/>
  <Override PartName="/xl/drawings/drawing195.xml" ContentType="application/vnd.openxmlformats-officedocument.drawing+xml"/>
  <Override PartName="/xl/drawings/drawing196.xml" ContentType="application/vnd.openxmlformats-officedocument.drawing+xml"/>
  <Override PartName="/xl/drawings/drawing197.xml" ContentType="application/vnd.openxmlformats-officedocument.drawing+xml"/>
  <Override PartName="/xl/drawings/drawing198.xml" ContentType="application/vnd.openxmlformats-officedocument.drawing+xml"/>
  <Override PartName="/xl/drawings/drawing199.xml" ContentType="application/vnd.openxmlformats-officedocument.drawing+xml"/>
  <Override PartName="/xl/drawings/drawing200.xml" ContentType="application/vnd.openxmlformats-officedocument.drawing+xml"/>
  <Override PartName="/xl/drawings/drawing201.xml" ContentType="application/vnd.openxmlformats-officedocument.drawing+xml"/>
  <Override PartName="/xl/drawings/drawing202.xml" ContentType="application/vnd.openxmlformats-officedocument.drawing+xml"/>
  <Override PartName="/xl/drawings/drawing203.xml" ContentType="application/vnd.openxmlformats-officedocument.drawing+xml"/>
  <Override PartName="/xl/drawings/drawing204.xml" ContentType="application/vnd.openxmlformats-officedocument.drawing+xml"/>
  <Override PartName="/xl/drawings/drawing205.xml" ContentType="application/vnd.openxmlformats-officedocument.drawing+xml"/>
  <Override PartName="/xl/drawings/drawing206.xml" ContentType="application/vnd.openxmlformats-officedocument.drawing+xml"/>
  <Override PartName="/xl/drawings/drawing20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hidePivotFieldList="1"/>
  <mc:AlternateContent xmlns:mc="http://schemas.openxmlformats.org/markup-compatibility/2006">
    <mc:Choice Requires="x15">
      <x15ac:absPath xmlns:x15ac="http://schemas.microsoft.com/office/spreadsheetml/2010/11/ac" url="\\ESEDNEVADIW812\Users\nestor.yaselga\Documents\documentos\2015\tablero 2015\"/>
    </mc:Choice>
  </mc:AlternateContent>
  <bookViews>
    <workbookView xWindow="0" yWindow="0" windowWidth="19440" windowHeight="12435" tabRatio="895"/>
  </bookViews>
  <sheets>
    <sheet name="hoja resumen" sheetId="31" r:id="rId1"/>
    <sheet name="Hoja1" sheetId="206" r:id="rId2"/>
    <sheet name="Estadisticas" sheetId="225" r:id="rId3"/>
    <sheet name="tablero" sheetId="204" r:id="rId4"/>
    <sheet name="base" sheetId="205" r:id="rId5"/>
    <sheet name="PA-01" sheetId="1" r:id="rId6"/>
    <sheet name="PA-02" sheetId="2" r:id="rId7"/>
    <sheet name="PA-03" sheetId="3" r:id="rId8"/>
    <sheet name="PA-04" sheetId="4" r:id="rId9"/>
    <sheet name="PA-05" sheetId="5" r:id="rId10"/>
    <sheet name="PA-06" sheetId="6" r:id="rId11"/>
    <sheet name="PA-07" sheetId="7" r:id="rId12"/>
    <sheet name="PA-08" sheetId="8" r:id="rId13"/>
    <sheet name="PA-09" sheetId="9" r:id="rId14"/>
    <sheet name="PA-10" sheetId="10" r:id="rId15"/>
    <sheet name="MPM1-01" sheetId="11" r:id="rId16"/>
    <sheet name="MPM1-02" sheetId="12" r:id="rId17"/>
    <sheet name="MPM1-03" sheetId="13" r:id="rId18"/>
    <sheet name="MPM1-04" sheetId="14" r:id="rId19"/>
    <sheet name="MPM1-05" sheetId="15" r:id="rId20"/>
    <sheet name="MPM1-06" sheetId="16" r:id="rId21"/>
    <sheet name="MPM1-07" sheetId="17" r:id="rId22"/>
    <sheet name="MPM1-08" sheetId="18" r:id="rId23"/>
    <sheet name="MPM1-09" sheetId="19" r:id="rId24"/>
    <sheet name="MPM1-10" sheetId="207" r:id="rId25"/>
    <sheet name="PA-11" sheetId="20" r:id="rId26"/>
    <sheet name="PA-12" sheetId="21" r:id="rId27"/>
    <sheet name="PA-13" sheetId="22" r:id="rId28"/>
    <sheet name="PA-14" sheetId="23" r:id="rId29"/>
    <sheet name="PA-15" sheetId="24" r:id="rId30"/>
    <sheet name="PA-16" sheetId="25" r:id="rId31"/>
    <sheet name="PA-17" sheetId="27" r:id="rId32"/>
    <sheet name="MPM2-01" sheetId="26" r:id="rId33"/>
    <sheet name="MPM2-02" sheetId="28" r:id="rId34"/>
    <sheet name="MPM2-03" sheetId="29" r:id="rId35"/>
    <sheet name="MPM2-04" sheetId="30" r:id="rId36"/>
    <sheet name="MPM2-05" sheetId="221" r:id="rId37"/>
    <sheet name="PA-18" sheetId="33" r:id="rId38"/>
    <sheet name="PA-19" sheetId="34" r:id="rId39"/>
    <sheet name="PA-20" sheetId="35" r:id="rId40"/>
    <sheet name="PA-21" sheetId="36" r:id="rId41"/>
    <sheet name="MPM3-01" sheetId="220" r:id="rId42"/>
    <sheet name="PA-22" sheetId="37" r:id="rId43"/>
    <sheet name="PA-23" sheetId="38" r:id="rId44"/>
    <sheet name="PA-24" sheetId="48" r:id="rId45"/>
    <sheet name="PA-25" sheetId="57" r:id="rId46"/>
    <sheet name="PA-26" sheetId="65" r:id="rId47"/>
    <sheet name="PA-27" sheetId="66" r:id="rId48"/>
    <sheet name="PA-28" sheetId="67" r:id="rId49"/>
    <sheet name="PA-29" sheetId="68" r:id="rId50"/>
    <sheet name="PA-30" sheetId="69" r:id="rId51"/>
    <sheet name="MPM4-01" sheetId="58" r:id="rId52"/>
    <sheet name="MPM4-02" sheetId="59" r:id="rId53"/>
    <sheet name="MPM4-03" sheetId="60" r:id="rId54"/>
    <sheet name="MPM4-04" sheetId="61" r:id="rId55"/>
    <sheet name="MPM4-05" sheetId="62" r:id="rId56"/>
    <sheet name="MPM4-06" sheetId="63" r:id="rId57"/>
    <sheet name="MPM4-07" sheetId="64" r:id="rId58"/>
    <sheet name="MPM4-08" sheetId="70" r:id="rId59"/>
    <sheet name="MPM4-09" sheetId="222" r:id="rId60"/>
    <sheet name="MPM4-10" sheetId="226" r:id="rId61"/>
    <sheet name="PA-31" sheetId="71" r:id="rId62"/>
    <sheet name="PA-32" sheetId="72" r:id="rId63"/>
    <sheet name="PA-33" sheetId="73" r:id="rId64"/>
    <sheet name="PA-34" sheetId="74" r:id="rId65"/>
    <sheet name="PA-35" sheetId="75" r:id="rId66"/>
    <sheet name="PA-36" sheetId="85" r:id="rId67"/>
    <sheet name="PA-37" sheetId="86" r:id="rId68"/>
    <sheet name="PA-38" sheetId="87" r:id="rId69"/>
    <sheet name="MPM5-P1-01" sheetId="76" r:id="rId70"/>
    <sheet name="MPM5-P1-02" sheetId="77" r:id="rId71"/>
    <sheet name="MPM5-P1-03" sheetId="78" r:id="rId72"/>
    <sheet name="MPM5-P1-04" sheetId="79" r:id="rId73"/>
    <sheet name="MPM5-P1-05" sheetId="80" r:id="rId74"/>
    <sheet name="MPM5-P1-06" sheetId="84" r:id="rId75"/>
    <sheet name="MPM5-P1-07" sheetId="81" r:id="rId76"/>
    <sheet name="MPM5-P1-08" sheetId="82" r:id="rId77"/>
    <sheet name="MPM5-P1-09" sheetId="83" r:id="rId78"/>
    <sheet name="MPM5-P1-10" sheetId="223" r:id="rId79"/>
    <sheet name="MPM5-P1-11" sheetId="227" r:id="rId80"/>
    <sheet name="PA-39" sheetId="88" r:id="rId81"/>
    <sheet name="PA-40" sheetId="89" r:id="rId82"/>
    <sheet name="PA-41" sheetId="90" r:id="rId83"/>
    <sheet name="MPM5-P2-01" sheetId="91" r:id="rId84"/>
    <sheet name="PA-42" sheetId="92" r:id="rId85"/>
    <sheet name="PA-43" sheetId="93" r:id="rId86"/>
    <sheet name="PA-44" sheetId="94" r:id="rId87"/>
    <sheet name="PA-45" sheetId="95" r:id="rId88"/>
    <sheet name="MPM5-P3-01" sheetId="96" r:id="rId89"/>
    <sheet name="PA-46" sheetId="100" r:id="rId90"/>
    <sheet name="PA-47" sheetId="101" r:id="rId91"/>
    <sheet name="PA-48" sheetId="102" r:id="rId92"/>
    <sheet name="PA-49" sheetId="104" r:id="rId93"/>
    <sheet name="MPA1-P1-01" sheetId="97" r:id="rId94"/>
    <sheet name="MPA1-P1-02" sheetId="98" r:id="rId95"/>
    <sheet name="MPA1-P1-03" sheetId="99" r:id="rId96"/>
    <sheet name="MPA1-P1-04" sheetId="103" r:id="rId97"/>
    <sheet name="MPA1-P1-05" sheetId="105" r:id="rId98"/>
    <sheet name="MPA1-P1-06" sheetId="106" r:id="rId99"/>
    <sheet name="MPA1-P1-07" sheetId="107" r:id="rId100"/>
    <sheet name="MPA1-P1-08" sheetId="108" r:id="rId101"/>
    <sheet name="MPA1-P1-09" sheetId="109" r:id="rId102"/>
    <sheet name="MPA1-P1-10" sheetId="219" r:id="rId103"/>
    <sheet name="PA-50" sheetId="110" r:id="rId104"/>
    <sheet name="PA-51" sheetId="111" r:id="rId105"/>
    <sheet name="MPA1-P2-01" sheetId="113" r:id="rId106"/>
    <sheet name="MPA1-P2-02" sheetId="112" r:id="rId107"/>
    <sheet name="MPA1-P2-03" sheetId="209" r:id="rId108"/>
    <sheet name="PA-52" sheetId="114" r:id="rId109"/>
    <sheet name="MPA1-P3-01" sheetId="115" r:id="rId110"/>
    <sheet name="MPA1-P3-02" sheetId="116" r:id="rId111"/>
    <sheet name="MPA1-P3-03" sheetId="117" r:id="rId112"/>
    <sheet name="MPA1-P3-04" sheetId="118" r:id="rId113"/>
    <sheet name="PA-53" sheetId="119" r:id="rId114"/>
    <sheet name="PA-54" sheetId="120" r:id="rId115"/>
    <sheet name="PA-55" sheetId="121" r:id="rId116"/>
    <sheet name="MPA1-P4-01" sheetId="122" r:id="rId117"/>
    <sheet name="MPA1-P4-02" sheetId="123" r:id="rId118"/>
    <sheet name="MPA1-P4-03" sheetId="124" r:id="rId119"/>
    <sheet name="MPA1-P4-04" sheetId="215" r:id="rId120"/>
    <sheet name="PA-56" sheetId="125" r:id="rId121"/>
    <sheet name="PA-57" sheetId="126" r:id="rId122"/>
    <sheet name="PA-58" sheetId="128" r:id="rId123"/>
    <sheet name="PA-59" sheetId="129" r:id="rId124"/>
    <sheet name="PA-60" sheetId="135" r:id="rId125"/>
    <sheet name="PA-61" sheetId="136" r:id="rId126"/>
    <sheet name="PA-62" sheetId="140" r:id="rId127"/>
    <sheet name="MPA1-P5-01" sheetId="127" r:id="rId128"/>
    <sheet name="MPA1-P5-02" sheetId="130" r:id="rId129"/>
    <sheet name="MPA1-P5-03" sheetId="131" r:id="rId130"/>
    <sheet name="MPA1-P5-04" sheetId="132" r:id="rId131"/>
    <sheet name="MPA1-P5-05" sheetId="133" r:id="rId132"/>
    <sheet name="MPA1-P5-06" sheetId="134" r:id="rId133"/>
    <sheet name="MPA1-P5-07" sheetId="137" r:id="rId134"/>
    <sheet name="MPA1-P5-08" sheetId="138" r:id="rId135"/>
    <sheet name="MPA1-P5-09" sheetId="139" r:id="rId136"/>
    <sheet name="MPA1-P5-10" sheetId="141" r:id="rId137"/>
    <sheet name="MPA1-P5-11" sheetId="142" r:id="rId138"/>
    <sheet name="MPA1-P5-12" sheetId="218" r:id="rId139"/>
    <sheet name="PA-63" sheetId="143" r:id="rId140"/>
    <sheet name="PA-64" sheetId="144" r:id="rId141"/>
    <sheet name="PA-65" sheetId="148" r:id="rId142"/>
    <sheet name="MPA2-01" sheetId="145" r:id="rId143"/>
    <sheet name="MPA2-02" sheetId="146" r:id="rId144"/>
    <sheet name="MPA2-03" sheetId="147" r:id="rId145"/>
    <sheet name="PA-66" sheetId="149" r:id="rId146"/>
    <sheet name="PA-67" sheetId="150" r:id="rId147"/>
    <sheet name="PA-68" sheetId="151" r:id="rId148"/>
    <sheet name="PA-69" sheetId="152" r:id="rId149"/>
    <sheet name="PA-70" sheetId="153" r:id="rId150"/>
    <sheet name="PA-71" sheetId="154" r:id="rId151"/>
    <sheet name="MPA4-01" sheetId="217" r:id="rId152"/>
    <sheet name="PA-72" sheetId="155" r:id="rId153"/>
    <sheet name="PA-73" sheetId="156" r:id="rId154"/>
    <sheet name="PA-74" sheetId="157" r:id="rId155"/>
    <sheet name="MPA5-P2-01" sheetId="158" r:id="rId156"/>
    <sheet name="MPA5-P2-02" sheetId="159" r:id="rId157"/>
    <sheet name="MPA5-P2-03" sheetId="216" r:id="rId158"/>
    <sheet name="PA-75" sheetId="160" r:id="rId159"/>
    <sheet name="PA-76" sheetId="161" r:id="rId160"/>
    <sheet name="MPA6-01" sheetId="162" r:id="rId161"/>
    <sheet name="MPA6-02" sheetId="163" r:id="rId162"/>
    <sheet name="MPA6-03" sheetId="164" r:id="rId163"/>
    <sheet name="MPA6-04" sheetId="165" r:id="rId164"/>
    <sheet name="MPA6-05" sheetId="213" r:id="rId165"/>
    <sheet name="PA-77" sheetId="166" r:id="rId166"/>
    <sheet name="PA-78" sheetId="167" r:id="rId167"/>
    <sheet name="PA-79" sheetId="168" r:id="rId168"/>
    <sheet name="MPA7-01" sheetId="211" r:id="rId169"/>
    <sheet name="PA-80" sheetId="169" r:id="rId170"/>
    <sheet name="PA-81" sheetId="170" r:id="rId171"/>
    <sheet name="PA-82" sheetId="171" r:id="rId172"/>
    <sheet name="PA-83" sheetId="172" r:id="rId173"/>
    <sheet name="PA-84" sheetId="173" r:id="rId174"/>
    <sheet name="PA-85" sheetId="174" r:id="rId175"/>
    <sheet name="MPE1-01" sheetId="210" r:id="rId176"/>
    <sheet name="MPE1-02" sheetId="203" r:id="rId177"/>
    <sheet name="PA-86" sheetId="176" r:id="rId178"/>
    <sheet name="PA-87" sheetId="177" r:id="rId179"/>
    <sheet name="PA-88" sheetId="178" r:id="rId180"/>
    <sheet name="PA-89" sheetId="181" r:id="rId181"/>
    <sheet name="MPE2-01" sheetId="175" r:id="rId182"/>
    <sheet name="MPE2-02" sheetId="179" r:id="rId183"/>
    <sheet name="MPE2-03" sheetId="180" r:id="rId184"/>
    <sheet name="MPE2-04" sheetId="182" r:id="rId185"/>
    <sheet name="MPE2-05" sheetId="183" r:id="rId186"/>
    <sheet name="MPE2-06" sheetId="224" r:id="rId187"/>
    <sheet name="PA-90" sheetId="184" r:id="rId188"/>
    <sheet name="PA-91" sheetId="185" r:id="rId189"/>
    <sheet name="PA-92" sheetId="186" r:id="rId190"/>
    <sheet name="PA-93" sheetId="187" r:id="rId191"/>
    <sheet name="PA-94" sheetId="188" r:id="rId192"/>
    <sheet name="PA-95" sheetId="189" r:id="rId193"/>
    <sheet name="MPE3-01" sheetId="212" r:id="rId194"/>
    <sheet name="PA-96" sheetId="190" r:id="rId195"/>
    <sheet name="PA-97" sheetId="191" r:id="rId196"/>
    <sheet name="PA-98" sheetId="192" r:id="rId197"/>
    <sheet name="MPEV1-P1-01" sheetId="193" r:id="rId198"/>
    <sheet name="MPEV1-P1-02" sheetId="194" r:id="rId199"/>
    <sheet name="PA-99" sheetId="195" r:id="rId200"/>
    <sheet name="PA-100" sheetId="196" r:id="rId201"/>
    <sheet name="PA-101" sheetId="197" r:id="rId202"/>
    <sheet name="PA-102" sheetId="198" r:id="rId203"/>
    <sheet name="PA-103" sheetId="199" r:id="rId204"/>
    <sheet name="PA-104" sheetId="200" r:id="rId205"/>
    <sheet name="PA-105" sheetId="201" r:id="rId206"/>
    <sheet name="MPEV2-P1-01" sheetId="214" r:id="rId207"/>
    <sheet name="PA-106" sheetId="202" r:id="rId208"/>
  </sheets>
  <externalReferences>
    <externalReference r:id="rId209"/>
    <externalReference r:id="rId210"/>
    <externalReference r:id="rId211"/>
    <externalReference r:id="rId212"/>
  </externalReferences>
  <definedNames>
    <definedName name="_xlnm._FilterDatabase" localSheetId="0" hidden="1">'hoja resumen'!$B$3:$C$284</definedName>
    <definedName name="_xlnm._FilterDatabase" localSheetId="3" hidden="1">tablero!$A$4:$BK$201</definedName>
    <definedName name="ambito">[1]base!$H$9:$H$11</definedName>
    <definedName name="_xlnm.Print_Area" localSheetId="102">'MPA1-P1-10'!$B$2:$O$112</definedName>
    <definedName name="_xlnm.Print_Area" localSheetId="107">'MPA1-P2-03'!$B$2:$O$112</definedName>
    <definedName name="_xlnm.Print_Area" localSheetId="119">'MPA1-P4-04'!$B$2:$O$112</definedName>
    <definedName name="_xlnm.Print_Area" localSheetId="138">'MPA1-P5-12'!$B$2:$O$112</definedName>
    <definedName name="_xlnm.Print_Area" localSheetId="151">'MPA4-01'!$B$2:$O$112</definedName>
    <definedName name="_xlnm.Print_Area" localSheetId="157">'MPA5-P2-03'!$B$2:$O$112</definedName>
    <definedName name="_xlnm.Print_Area" localSheetId="164">'MPA6-05'!$B$2:$O$112</definedName>
    <definedName name="_xlnm.Print_Area" localSheetId="168">'MPA7-01'!$B$2:$O$112</definedName>
    <definedName name="_xlnm.Print_Area" localSheetId="175">'MPE1-01'!$B$2:$O$112</definedName>
    <definedName name="_xlnm.Print_Area" localSheetId="193">'MPE3-01'!$B$2:$O$112</definedName>
    <definedName name="_xlnm.Print_Area" localSheetId="206">'MPEV2-P1-01'!$B$2:$O$112</definedName>
    <definedName name="_xlnm.Print_Area" localSheetId="24">'MPM1-10'!$B$2:$O$112</definedName>
    <definedName name="_xlnm.Print_Area" localSheetId="36">'MPM2-05'!$B$2:$O$112</definedName>
    <definedName name="_xlnm.Print_Area" localSheetId="41">'MPM3-01'!$B$2:$O$112</definedName>
    <definedName name="_xlnm.Print_Area" localSheetId="59">'MPM4-09'!$B$2:$O$112</definedName>
    <definedName name="_xlnm.Print_Area" localSheetId="60">'MPM4-10'!$A$1:$N$113</definedName>
    <definedName name="_xlnm.Print_Area" localSheetId="78">'MPM5-P1-10'!$B$2:$O$112</definedName>
    <definedName name="dimen">[1]base!$H$12:$H$18</definedName>
    <definedName name="lineas">[1]base!$A$41:$A$45</definedName>
    <definedName name="macroproceso">[1]base!$A$9:$A$25</definedName>
    <definedName name="macroprocesos" localSheetId="102">[1]base!#REF!</definedName>
    <definedName name="macroprocesos" localSheetId="107">[1]base!#REF!</definedName>
    <definedName name="macroprocesos" localSheetId="119">[1]base!#REF!</definedName>
    <definedName name="macroprocesos" localSheetId="138">[1]base!#REF!</definedName>
    <definedName name="macroprocesos" localSheetId="151">[1]base!#REF!</definedName>
    <definedName name="macroprocesos" localSheetId="157">[1]base!#REF!</definedName>
    <definedName name="macroprocesos" localSheetId="164">[1]base!#REF!</definedName>
    <definedName name="macroprocesos" localSheetId="168">[1]base!#REF!</definedName>
    <definedName name="macroprocesos" localSheetId="175">[1]base!#REF!</definedName>
    <definedName name="macroprocesos" localSheetId="186">[1]base!#REF!</definedName>
    <definedName name="macroprocesos" localSheetId="193">[1]base!#REF!</definedName>
    <definedName name="macroprocesos" localSheetId="206">[1]base!#REF!</definedName>
    <definedName name="macroprocesos" localSheetId="24">[1]base!#REF!</definedName>
    <definedName name="macroprocesos" localSheetId="36">[1]base!#REF!</definedName>
    <definedName name="macroprocesos" localSheetId="41">[1]base!#REF!</definedName>
    <definedName name="macroprocesos" localSheetId="59">[1]base!#REF!</definedName>
    <definedName name="macroprocesos" localSheetId="78">[1]base!#REF!</definedName>
    <definedName name="macroprocesos" localSheetId="79">[1]base!#REF!</definedName>
    <definedName name="macroprocesos">[1]base!#REF!</definedName>
    <definedName name="medidas">[1]base!$H$19:$H$22</definedName>
    <definedName name="objetivos">[1]base!$A$1:$A$6</definedName>
    <definedName name="proyectos">[1]base!$G$37:$G$47</definedName>
    <definedName name="tendencia" localSheetId="24">[1]base!$H$29:$H$31</definedName>
    <definedName name="tendencia">[2]base!$H$29:$H$31</definedName>
    <definedName name="_xlnm.Print_Titles" localSheetId="102">'MPA1-P1-10'!$2:$6</definedName>
    <definedName name="_xlnm.Print_Titles" localSheetId="107">'MPA1-P2-03'!$2:$6</definedName>
    <definedName name="_xlnm.Print_Titles" localSheetId="119">'MPA1-P4-04'!$2:$6</definedName>
    <definedName name="_xlnm.Print_Titles" localSheetId="138">'MPA1-P5-12'!$2:$6</definedName>
    <definedName name="_xlnm.Print_Titles" localSheetId="151">'MPA4-01'!$2:$6</definedName>
    <definedName name="_xlnm.Print_Titles" localSheetId="157">'MPA5-P2-03'!$2:$6</definedName>
    <definedName name="_xlnm.Print_Titles" localSheetId="164">'MPA6-05'!$2:$6</definedName>
    <definedName name="_xlnm.Print_Titles" localSheetId="168">'MPA7-01'!$2:$6</definedName>
    <definedName name="_xlnm.Print_Titles" localSheetId="175">'MPE1-01'!$2:$6</definedName>
    <definedName name="_xlnm.Print_Titles" localSheetId="193">'MPE3-01'!$2:$6</definedName>
    <definedName name="_xlnm.Print_Titles" localSheetId="206">'MPEV2-P1-01'!$2:$6</definedName>
    <definedName name="_xlnm.Print_Titles" localSheetId="24">'MPM1-10'!$2:$6</definedName>
    <definedName name="_xlnm.Print_Titles" localSheetId="36">'MPM2-05'!$2:$6</definedName>
    <definedName name="_xlnm.Print_Titles" localSheetId="41">'MPM3-01'!$2:$6</definedName>
    <definedName name="_xlnm.Print_Titles" localSheetId="59">'MPM4-09'!$2:$6</definedName>
    <definedName name="_xlnm.Print_Titles" localSheetId="78">'MPM5-P1-10'!$2:$6</definedName>
  </definedNames>
  <calcPr calcId="152511"/>
  <pivotCaches>
    <pivotCache cacheId="8" r:id="rId213"/>
  </pivotCache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10" i="227" l="1"/>
  <c r="G109" i="227"/>
  <c r="AJ86" i="227"/>
  <c r="AG86" i="227"/>
  <c r="AJ85" i="227"/>
  <c r="AG85" i="227"/>
  <c r="AH85" i="227" s="1"/>
  <c r="AJ84" i="227"/>
  <c r="AG84" i="227"/>
  <c r="AJ83" i="227"/>
  <c r="AG83" i="227"/>
  <c r="AH83" i="227" s="1"/>
  <c r="AJ82" i="227"/>
  <c r="AG82" i="227"/>
  <c r="AJ81" i="227"/>
  <c r="AG81" i="227"/>
  <c r="AH81" i="227" s="1"/>
  <c r="AJ80" i="227"/>
  <c r="AG80" i="227"/>
  <c r="AJ79" i="227"/>
  <c r="AG79" i="227"/>
  <c r="AH79" i="227" s="1"/>
  <c r="AJ78" i="227"/>
  <c r="AG78" i="227"/>
  <c r="AJ77" i="227"/>
  <c r="AG77" i="227"/>
  <c r="AJ76" i="227"/>
  <c r="AG76" i="227"/>
  <c r="AJ75" i="227"/>
  <c r="AG75" i="227"/>
  <c r="AH84" i="227" s="1"/>
  <c r="U69" i="227"/>
  <c r="Q47" i="227"/>
  <c r="Q45" i="227"/>
  <c r="Q33" i="227"/>
  <c r="Q30" i="227"/>
  <c r="X12" i="227"/>
  <c r="W12" i="227"/>
  <c r="AI83" i="227" l="1"/>
  <c r="AK83" i="227" s="1"/>
  <c r="AI84" i="227"/>
  <c r="AK84" i="227" s="1"/>
  <c r="AI79" i="227"/>
  <c r="AK79" i="227" s="1"/>
  <c r="AI81" i="227"/>
  <c r="AK81" i="227" s="1"/>
  <c r="AI85" i="227"/>
  <c r="AK85" i="227" s="1"/>
  <c r="AH77" i="227"/>
  <c r="AI77" i="227" s="1"/>
  <c r="AK77" i="227" s="1"/>
  <c r="AH86" i="227"/>
  <c r="AI86" i="227" s="1"/>
  <c r="AK86" i="227" s="1"/>
  <c r="AH82" i="227"/>
  <c r="AI82" i="227" s="1"/>
  <c r="AK82" i="227" s="1"/>
  <c r="AH75" i="227"/>
  <c r="AI75" i="227" s="1"/>
  <c r="AK75" i="227" s="1"/>
  <c r="AH78" i="227"/>
  <c r="AI78" i="227" s="1"/>
  <c r="AK78" i="227" s="1"/>
  <c r="AH76" i="227"/>
  <c r="AI76" i="227" s="1"/>
  <c r="AK76" i="227" s="1"/>
  <c r="AH80" i="227"/>
  <c r="AI80" i="227" s="1"/>
  <c r="AK80" i="227" s="1"/>
  <c r="AV56" i="204"/>
  <c r="G110" i="226" l="1"/>
  <c r="AJ86" i="226"/>
  <c r="AG86" i="226"/>
  <c r="AJ85" i="226"/>
  <c r="AG85" i="226"/>
  <c r="AJ84" i="226"/>
  <c r="AG84" i="226"/>
  <c r="AJ83" i="226"/>
  <c r="AG83" i="226"/>
  <c r="AJ82" i="226"/>
  <c r="AG82" i="226"/>
  <c r="AJ81" i="226"/>
  <c r="AG81" i="226"/>
  <c r="AJ80" i="226"/>
  <c r="AG80" i="226"/>
  <c r="AJ79" i="226"/>
  <c r="AG79" i="226"/>
  <c r="AJ78" i="226"/>
  <c r="AG78" i="226"/>
  <c r="AJ77" i="226"/>
  <c r="AH77" i="226"/>
  <c r="AI77" i="226" s="1"/>
  <c r="AK77" i="226" s="1"/>
  <c r="AG77" i="226"/>
  <c r="AJ76" i="226"/>
  <c r="AG76" i="226"/>
  <c r="AH76" i="226" s="1"/>
  <c r="AI76" i="226" s="1"/>
  <c r="AK76" i="226" s="1"/>
  <c r="AJ75" i="226"/>
  <c r="AG75" i="226"/>
  <c r="AH86" i="226" s="1"/>
  <c r="U69" i="226"/>
  <c r="Q47" i="226"/>
  <c r="Q45" i="226"/>
  <c r="Q33" i="226"/>
  <c r="Q30" i="226"/>
  <c r="X12" i="226"/>
  <c r="W12" i="226"/>
  <c r="AH75" i="226" l="1"/>
  <c r="AI75" i="226" s="1"/>
  <c r="AK75" i="226" s="1"/>
  <c r="AH80" i="226"/>
  <c r="AI80" i="226" s="1"/>
  <c r="AK80" i="226" s="1"/>
  <c r="AH84" i="226"/>
  <c r="AI84" i="226" s="1"/>
  <c r="AK84" i="226" s="1"/>
  <c r="AI86" i="226"/>
  <c r="AK86" i="226" s="1"/>
  <c r="AH79" i="226"/>
  <c r="AI79" i="226" s="1"/>
  <c r="AK79" i="226" s="1"/>
  <c r="AH83" i="226"/>
  <c r="AI83" i="226" s="1"/>
  <c r="AK83" i="226" s="1"/>
  <c r="AH81" i="226"/>
  <c r="AI81" i="226" s="1"/>
  <c r="AK81" i="226" s="1"/>
  <c r="AH85" i="226"/>
  <c r="AI85" i="226" s="1"/>
  <c r="AK85" i="226" s="1"/>
  <c r="AH78" i="226"/>
  <c r="AI78" i="226" s="1"/>
  <c r="AK78" i="226" s="1"/>
  <c r="AH82" i="226"/>
  <c r="AI82" i="226" s="1"/>
  <c r="AK82" i="226" s="1"/>
  <c r="R133" i="204" l="1"/>
  <c r="R132" i="204"/>
  <c r="R131" i="204"/>
  <c r="R130" i="204"/>
  <c r="R129" i="204"/>
  <c r="R128" i="204"/>
  <c r="R127" i="204"/>
  <c r="R126" i="204"/>
  <c r="R125" i="204"/>
  <c r="R124" i="204"/>
  <c r="R123" i="204"/>
  <c r="R122" i="204"/>
  <c r="R121" i="204"/>
  <c r="R120" i="204"/>
  <c r="R119" i="204"/>
  <c r="R118" i="204"/>
  <c r="R117" i="204"/>
  <c r="R116" i="204"/>
  <c r="R115" i="204"/>
  <c r="G8" i="31" l="1"/>
  <c r="G9" i="31"/>
  <c r="G10" i="31"/>
  <c r="G11" i="31"/>
  <c r="G12" i="31"/>
  <c r="G13" i="31"/>
  <c r="G14" i="31"/>
  <c r="G15" i="31"/>
  <c r="G16" i="31"/>
  <c r="G18" i="31"/>
  <c r="G19" i="31"/>
  <c r="G20" i="31"/>
  <c r="G21" i="31"/>
  <c r="G22" i="31"/>
  <c r="G25" i="31"/>
  <c r="G26" i="31"/>
  <c r="F59" i="162" l="1"/>
  <c r="Z33" i="206"/>
  <c r="AA28" i="206"/>
  <c r="AA29" i="206"/>
  <c r="AA30" i="206"/>
  <c r="AA31" i="206"/>
  <c r="AA32" i="206"/>
  <c r="AA27" i="206"/>
  <c r="AS27" i="206"/>
  <c r="AT27" i="206"/>
  <c r="AS28" i="206"/>
  <c r="AT28" i="206"/>
  <c r="AS29" i="206"/>
  <c r="AT29" i="206"/>
  <c r="AS30" i="206"/>
  <c r="AT30" i="206"/>
  <c r="AT26" i="206"/>
  <c r="AS26" i="206"/>
  <c r="AS10" i="206"/>
  <c r="AT10" i="206"/>
  <c r="AS11" i="206"/>
  <c r="AT11" i="206"/>
  <c r="AS12" i="206"/>
  <c r="AT12" i="206"/>
  <c r="AS13" i="206"/>
  <c r="AT13" i="206"/>
  <c r="AS14" i="206"/>
  <c r="AT14" i="206"/>
  <c r="AS15" i="206"/>
  <c r="AT15" i="206"/>
  <c r="AS16" i="206"/>
  <c r="AT16" i="206"/>
  <c r="AS17" i="206"/>
  <c r="AT17" i="206"/>
  <c r="AS18" i="206"/>
  <c r="AT18" i="206"/>
  <c r="AS19" i="206"/>
  <c r="AT19" i="206"/>
  <c r="AS20" i="206"/>
  <c r="AT20" i="206"/>
  <c r="AS21" i="206"/>
  <c r="AT21" i="206"/>
  <c r="AS22" i="206"/>
  <c r="AT22" i="206"/>
  <c r="AS23" i="206"/>
  <c r="AT23" i="206"/>
  <c r="AS24" i="206"/>
  <c r="AT24" i="206"/>
  <c r="AT9" i="206"/>
  <c r="AS9" i="206"/>
  <c r="AS5" i="206"/>
  <c r="AT5" i="206"/>
  <c r="AS6" i="206"/>
  <c r="AT6" i="206"/>
  <c r="AS7" i="206"/>
  <c r="AT7" i="206"/>
  <c r="AT4" i="206"/>
  <c r="AS4" i="206"/>
  <c r="AQ27" i="206"/>
  <c r="AR27" i="206"/>
  <c r="AQ28" i="206"/>
  <c r="AR28" i="206"/>
  <c r="AQ29" i="206"/>
  <c r="AR29" i="206"/>
  <c r="AQ30" i="206"/>
  <c r="AR30" i="206"/>
  <c r="AR26" i="206"/>
  <c r="AQ26" i="206"/>
  <c r="AQ10" i="206"/>
  <c r="AR10" i="206"/>
  <c r="AQ11" i="206"/>
  <c r="AR11" i="206"/>
  <c r="AQ12" i="206"/>
  <c r="AR12" i="206"/>
  <c r="AQ13" i="206"/>
  <c r="AR13" i="206"/>
  <c r="AQ14" i="206"/>
  <c r="AR14" i="206"/>
  <c r="AQ15" i="206"/>
  <c r="AR15" i="206"/>
  <c r="AQ16" i="206"/>
  <c r="AR16" i="206"/>
  <c r="AQ17" i="206"/>
  <c r="AR17" i="206"/>
  <c r="AQ18" i="206"/>
  <c r="AR18" i="206"/>
  <c r="AQ19" i="206"/>
  <c r="AR19" i="206"/>
  <c r="AQ20" i="206"/>
  <c r="AR20" i="206"/>
  <c r="AQ21" i="206"/>
  <c r="AR21" i="206"/>
  <c r="AQ22" i="206"/>
  <c r="AR22" i="206"/>
  <c r="AQ23" i="206"/>
  <c r="AR23" i="206"/>
  <c r="AQ24" i="206"/>
  <c r="AR24" i="206"/>
  <c r="AR9" i="206"/>
  <c r="AQ9" i="206"/>
  <c r="AQ5" i="206"/>
  <c r="AR5" i="206"/>
  <c r="AQ6" i="206"/>
  <c r="AR6" i="206"/>
  <c r="AQ7" i="206"/>
  <c r="AR7" i="206"/>
  <c r="AR4" i="206"/>
  <c r="AQ4" i="206"/>
  <c r="AP4" i="206"/>
  <c r="AP5" i="206"/>
  <c r="AP6" i="206"/>
  <c r="AP7" i="206"/>
  <c r="AP9" i="206"/>
  <c r="AP10" i="206"/>
  <c r="AP11" i="206"/>
  <c r="AP12" i="206"/>
  <c r="AP13" i="206"/>
  <c r="AP14" i="206"/>
  <c r="AP15" i="206"/>
  <c r="AP16" i="206"/>
  <c r="AP17" i="206"/>
  <c r="AP18" i="206"/>
  <c r="AP19" i="206"/>
  <c r="AP20" i="206"/>
  <c r="AP21" i="206"/>
  <c r="AP22" i="206"/>
  <c r="AP23" i="206"/>
  <c r="AP24" i="206"/>
  <c r="AP25" i="206"/>
  <c r="AP26" i="206"/>
  <c r="AP27" i="206"/>
  <c r="AP28" i="206"/>
  <c r="AP29" i="206"/>
  <c r="AP30" i="206"/>
  <c r="AO13" i="206"/>
  <c r="AO14" i="206"/>
  <c r="AO15" i="206"/>
  <c r="AO16" i="206"/>
  <c r="AO17" i="206"/>
  <c r="AO18" i="206"/>
  <c r="AO19" i="206"/>
  <c r="AO20" i="206"/>
  <c r="AO21" i="206"/>
  <c r="AO22" i="206"/>
  <c r="AO23" i="206"/>
  <c r="AO24" i="206"/>
  <c r="AO25" i="206"/>
  <c r="AO26" i="206"/>
  <c r="AO27" i="206"/>
  <c r="AO28" i="206"/>
  <c r="AO29" i="206"/>
  <c r="AO30" i="206"/>
  <c r="AO10" i="206"/>
  <c r="AO11" i="206"/>
  <c r="AO12" i="206"/>
  <c r="AO9" i="206"/>
  <c r="AO5" i="206"/>
  <c r="AO6" i="206"/>
  <c r="AO7" i="206"/>
  <c r="AO4" i="206"/>
  <c r="AA33" i="206" l="1"/>
  <c r="AP8" i="206"/>
  <c r="H86" i="224"/>
  <c r="J86" i="224"/>
  <c r="J78" i="224"/>
  <c r="J82" i="224"/>
  <c r="H82" i="224"/>
  <c r="K86" i="224"/>
  <c r="K82" i="224"/>
  <c r="K78" i="224"/>
  <c r="H78" i="224"/>
  <c r="K86" i="19" l="1"/>
  <c r="I86" i="19"/>
  <c r="G86" i="19"/>
  <c r="K84" i="19"/>
  <c r="I84" i="19"/>
  <c r="G84" i="19"/>
  <c r="K82" i="19"/>
  <c r="I82" i="19"/>
  <c r="G82" i="19"/>
  <c r="K80" i="19"/>
  <c r="I80" i="19"/>
  <c r="G80" i="19"/>
  <c r="K78" i="19"/>
  <c r="I78" i="19"/>
  <c r="G78" i="19"/>
  <c r="K86" i="18"/>
  <c r="I86" i="18"/>
  <c r="G86" i="18"/>
  <c r="K84" i="18"/>
  <c r="I84" i="18"/>
  <c r="G84" i="18"/>
  <c r="K82" i="18"/>
  <c r="I82" i="18"/>
  <c r="G82" i="18"/>
  <c r="K80" i="18"/>
  <c r="I80" i="18"/>
  <c r="G80" i="18"/>
  <c r="K78" i="18"/>
  <c r="I78" i="18"/>
  <c r="G78" i="18"/>
  <c r="K86" i="97" l="1"/>
  <c r="I86" i="97"/>
  <c r="G86" i="97"/>
  <c r="K84" i="97"/>
  <c r="I84" i="97"/>
  <c r="G84" i="97"/>
  <c r="K82" i="97"/>
  <c r="I82" i="97"/>
  <c r="G82" i="97"/>
  <c r="K80" i="97"/>
  <c r="I80" i="97"/>
  <c r="G80" i="97"/>
  <c r="K78" i="97"/>
  <c r="I78" i="97"/>
  <c r="G78" i="97"/>
  <c r="F132" i="31" l="1"/>
  <c r="F80" i="31"/>
  <c r="F81" i="31"/>
  <c r="F82" i="31"/>
  <c r="F83" i="31"/>
  <c r="F84" i="31"/>
  <c r="F85" i="31"/>
  <c r="F86" i="31"/>
  <c r="F87" i="31"/>
  <c r="F88" i="31"/>
  <c r="F89" i="31"/>
  <c r="F90" i="31"/>
  <c r="F91" i="31"/>
  <c r="F92" i="31"/>
  <c r="F93" i="31"/>
  <c r="F94" i="31"/>
  <c r="F95" i="31"/>
  <c r="F96" i="31"/>
  <c r="F10" i="31"/>
  <c r="F11" i="31"/>
  <c r="F12" i="31"/>
  <c r="F13" i="31"/>
  <c r="F14" i="31"/>
  <c r="F15" i="31"/>
  <c r="F16" i="31"/>
  <c r="F17" i="31"/>
  <c r="F18" i="31"/>
  <c r="F19" i="31"/>
  <c r="F20" i="31"/>
  <c r="F21" i="31"/>
  <c r="F22" i="31"/>
  <c r="F23" i="31"/>
  <c r="F24" i="31"/>
  <c r="F25" i="31"/>
  <c r="F26" i="31"/>
  <c r="L8" i="225" l="1"/>
  <c r="K8" i="225"/>
  <c r="L7" i="225"/>
  <c r="K7" i="225"/>
  <c r="L6" i="225"/>
  <c r="K6" i="225"/>
  <c r="L5" i="225"/>
  <c r="K5" i="225"/>
  <c r="J8" i="225"/>
  <c r="J7" i="225"/>
  <c r="J6" i="225"/>
  <c r="J5" i="225"/>
  <c r="F48" i="225"/>
  <c r="E48" i="225"/>
  <c r="E49" i="225" s="1"/>
  <c r="D48" i="225"/>
  <c r="L9" i="225" l="1"/>
  <c r="J9" i="225"/>
  <c r="K9" i="225"/>
  <c r="D49" i="225"/>
  <c r="G110" i="2" l="1"/>
  <c r="G110" i="3"/>
  <c r="G110" i="4"/>
  <c r="G110" i="5"/>
  <c r="G110" i="6"/>
  <c r="G110" i="7"/>
  <c r="G110" i="8"/>
  <c r="G110" i="9"/>
  <c r="G110" i="10"/>
  <c r="G110" i="11"/>
  <c r="G110" i="12"/>
  <c r="G110" i="13"/>
  <c r="G110" i="14"/>
  <c r="G110" i="15"/>
  <c r="G110" i="16"/>
  <c r="G110" i="17"/>
  <c r="G110" i="18"/>
  <c r="G110" i="19"/>
  <c r="G110" i="20"/>
  <c r="G110" i="21"/>
  <c r="G110" i="22"/>
  <c r="G110" i="23"/>
  <c r="G110" i="24"/>
  <c r="G110" i="25"/>
  <c r="G110" i="27"/>
  <c r="G110" i="26"/>
  <c r="G110" i="28"/>
  <c r="G110" i="29"/>
  <c r="G110" i="30"/>
  <c r="G110" i="33"/>
  <c r="G110" i="34"/>
  <c r="G110" i="35"/>
  <c r="G110" i="36"/>
  <c r="G110" i="37"/>
  <c r="G110" i="38"/>
  <c r="G110" i="48"/>
  <c r="G110" i="57"/>
  <c r="G110" i="65"/>
  <c r="G110" i="66"/>
  <c r="G110" i="67"/>
  <c r="G110" i="68"/>
  <c r="G110" i="69"/>
  <c r="G110" i="58"/>
  <c r="G110" i="59"/>
  <c r="G110" i="60"/>
  <c r="G110" i="61"/>
  <c r="G110" i="62"/>
  <c r="G110" i="63"/>
  <c r="G110" i="64"/>
  <c r="G110" i="70"/>
  <c r="G110" i="71"/>
  <c r="G110" i="72"/>
  <c r="G110" i="73"/>
  <c r="G110" i="74"/>
  <c r="G110" i="75"/>
  <c r="G110" i="85"/>
  <c r="G110" i="86"/>
  <c r="G110" i="87"/>
  <c r="G110" i="76"/>
  <c r="G110" i="77"/>
  <c r="G110" i="78"/>
  <c r="G110" i="79"/>
  <c r="G110" i="80"/>
  <c r="G110" i="84"/>
  <c r="G110" i="81"/>
  <c r="G110" i="82"/>
  <c r="G110" i="83"/>
  <c r="G110" i="88"/>
  <c r="G110" i="89"/>
  <c r="G110" i="90"/>
  <c r="G110" i="91"/>
  <c r="G110" i="92"/>
  <c r="G110" i="93"/>
  <c r="G110" i="94"/>
  <c r="G110" i="95"/>
  <c r="G110" i="96"/>
  <c r="G110" i="100"/>
  <c r="G110" i="101"/>
  <c r="G110" i="102"/>
  <c r="G110" i="104"/>
  <c r="G110" i="97"/>
  <c r="G110" i="98"/>
  <c r="G110" i="99"/>
  <c r="G110" i="103"/>
  <c r="G110" i="105"/>
  <c r="G110" i="106"/>
  <c r="G110" i="107"/>
  <c r="G110" i="108"/>
  <c r="G110" i="109"/>
  <c r="G110" i="110"/>
  <c r="G110" i="111"/>
  <c r="G110" i="113"/>
  <c r="G110" i="112"/>
  <c r="G110" i="114"/>
  <c r="G110" i="115"/>
  <c r="G110" i="116"/>
  <c r="G110" i="117"/>
  <c r="G110" i="118"/>
  <c r="G110" i="119"/>
  <c r="G110" i="120"/>
  <c r="G110" i="121"/>
  <c r="G110" i="122"/>
  <c r="G110" i="123"/>
  <c r="G110" i="124"/>
  <c r="G110" i="125"/>
  <c r="G110" i="126"/>
  <c r="G110" i="128"/>
  <c r="G110" i="129"/>
  <c r="G110" i="135"/>
  <c r="G110" i="136"/>
  <c r="G110" i="140"/>
  <c r="G110" i="127"/>
  <c r="G110" i="130"/>
  <c r="G110" i="131"/>
  <c r="G110" i="132"/>
  <c r="G110" i="133"/>
  <c r="G110" i="134"/>
  <c r="G110" i="137"/>
  <c r="G110" i="138"/>
  <c r="G110" i="139"/>
  <c r="G110" i="141"/>
  <c r="G110" i="142"/>
  <c r="G110" i="143"/>
  <c r="G110" i="144"/>
  <c r="G110" i="148"/>
  <c r="G110" i="145"/>
  <c r="G110" i="146"/>
  <c r="G110" i="147"/>
  <c r="G110" i="149"/>
  <c r="G110" i="150"/>
  <c r="G110" i="151"/>
  <c r="G110" i="152"/>
  <c r="G110" i="153"/>
  <c r="G110" i="154"/>
  <c r="G110" i="155"/>
  <c r="G110" i="156"/>
  <c r="G110" i="157"/>
  <c r="G110" i="158"/>
  <c r="G110" i="159"/>
  <c r="G110" i="160"/>
  <c r="G110" i="161"/>
  <c r="G110" i="162"/>
  <c r="G110" i="163"/>
  <c r="G110" i="164"/>
  <c r="G110" i="165"/>
  <c r="G110" i="166"/>
  <c r="G110" i="167"/>
  <c r="G110" i="168"/>
  <c r="G110" i="169"/>
  <c r="G110" i="170"/>
  <c r="G110" i="171"/>
  <c r="G110" i="172"/>
  <c r="G110" i="173"/>
  <c r="G110" i="174"/>
  <c r="G110" i="203"/>
  <c r="G110" i="176"/>
  <c r="G110" i="177"/>
  <c r="G110" i="178"/>
  <c r="G110" i="181"/>
  <c r="G110" i="175"/>
  <c r="G110" i="179"/>
  <c r="G110" i="180"/>
  <c r="G110" i="182"/>
  <c r="G110" i="183"/>
  <c r="G110" i="224"/>
  <c r="G110" i="184"/>
  <c r="G110" i="185"/>
  <c r="G110" i="186"/>
  <c r="G110" i="187"/>
  <c r="G110" i="188"/>
  <c r="G110" i="189"/>
  <c r="G110" i="190"/>
  <c r="G110" i="191"/>
  <c r="G110" i="192"/>
  <c r="G110" i="193"/>
  <c r="G110" i="194"/>
  <c r="G110" i="195"/>
  <c r="G110" i="196"/>
  <c r="G110" i="197"/>
  <c r="G110" i="198"/>
  <c r="G110" i="199"/>
  <c r="G110" i="200"/>
  <c r="G110" i="201"/>
  <c r="G110" i="202"/>
  <c r="G110" i="1"/>
  <c r="G109" i="2"/>
  <c r="G109" i="3"/>
  <c r="G109" i="4"/>
  <c r="G109" i="5"/>
  <c r="G109" i="6"/>
  <c r="G109" i="7"/>
  <c r="G109" i="8"/>
  <c r="G109" i="9"/>
  <c r="G109" i="10"/>
  <c r="G109" i="11"/>
  <c r="G109" i="12"/>
  <c r="G109" i="13"/>
  <c r="G109" i="14"/>
  <c r="G109" i="15"/>
  <c r="G109" i="16"/>
  <c r="G109" i="17"/>
  <c r="G109" i="18"/>
  <c r="G109" i="19"/>
  <c r="G109" i="20"/>
  <c r="G109" i="21"/>
  <c r="G109" i="22"/>
  <c r="G109" i="23"/>
  <c r="G109" i="24"/>
  <c r="G109" i="25"/>
  <c r="G109" i="27"/>
  <c r="G109" i="26"/>
  <c r="G109" i="28"/>
  <c r="G109" i="29"/>
  <c r="G109" i="30"/>
  <c r="G109" i="33"/>
  <c r="G109" i="34"/>
  <c r="G109" i="35"/>
  <c r="G109" i="36"/>
  <c r="G109" i="37"/>
  <c r="G109" i="38"/>
  <c r="G109" i="48"/>
  <c r="G109" i="57"/>
  <c r="G109" i="65"/>
  <c r="G109" i="66"/>
  <c r="G109" i="67"/>
  <c r="G109" i="68"/>
  <c r="G109" i="69"/>
  <c r="G109" i="58"/>
  <c r="G109" i="59"/>
  <c r="G109" i="60"/>
  <c r="G109" i="61"/>
  <c r="G109" i="62"/>
  <c r="G109" i="63"/>
  <c r="G109" i="64"/>
  <c r="G109" i="70"/>
  <c r="G109" i="71"/>
  <c r="G109" i="72"/>
  <c r="G109" i="73"/>
  <c r="G109" i="74"/>
  <c r="G109" i="75"/>
  <c r="G109" i="85"/>
  <c r="G109" i="86"/>
  <c r="G109" i="87"/>
  <c r="G109" i="76"/>
  <c r="G109" i="77"/>
  <c r="G109" i="78"/>
  <c r="G109" i="79"/>
  <c r="G109" i="80"/>
  <c r="G109" i="84"/>
  <c r="G109" i="81"/>
  <c r="G109" i="82"/>
  <c r="G109" i="83"/>
  <c r="G109" i="88"/>
  <c r="G109" i="89"/>
  <c r="G109" i="90"/>
  <c r="G109" i="91"/>
  <c r="G109" i="92"/>
  <c r="G109" i="93"/>
  <c r="G109" i="94"/>
  <c r="G109" i="95"/>
  <c r="G109" i="96"/>
  <c r="G109" i="100"/>
  <c r="G109" i="101"/>
  <c r="G109" i="102"/>
  <c r="G109" i="104"/>
  <c r="G109" i="97"/>
  <c r="G109" i="98"/>
  <c r="G109" i="99"/>
  <c r="G109" i="103"/>
  <c r="G109" i="105"/>
  <c r="G109" i="106"/>
  <c r="G109" i="107"/>
  <c r="G109" i="108"/>
  <c r="G109" i="109"/>
  <c r="G109" i="110"/>
  <c r="G109" i="111"/>
  <c r="G109" i="113"/>
  <c r="G109" i="112"/>
  <c r="G109" i="114"/>
  <c r="G109" i="115"/>
  <c r="G109" i="116"/>
  <c r="G109" i="117"/>
  <c r="G109" i="118"/>
  <c r="G109" i="119"/>
  <c r="G109" i="120"/>
  <c r="G109" i="121"/>
  <c r="G109" i="122"/>
  <c r="G109" i="123"/>
  <c r="G109" i="124"/>
  <c r="G109" i="125"/>
  <c r="G109" i="126"/>
  <c r="G109" i="128"/>
  <c r="G109" i="129"/>
  <c r="G109" i="135"/>
  <c r="G109" i="136"/>
  <c r="G109" i="140"/>
  <c r="G109" i="127"/>
  <c r="G109" i="130"/>
  <c r="G109" i="131"/>
  <c r="G109" i="132"/>
  <c r="G109" i="133"/>
  <c r="G109" i="134"/>
  <c r="G109" i="137"/>
  <c r="G109" i="138"/>
  <c r="G109" i="139"/>
  <c r="G109" i="141"/>
  <c r="G109" i="142"/>
  <c r="G109" i="143"/>
  <c r="G109" i="144"/>
  <c r="G109" i="148"/>
  <c r="G109" i="145"/>
  <c r="G109" i="146"/>
  <c r="G109" i="147"/>
  <c r="G109" i="149"/>
  <c r="G109" i="150"/>
  <c r="G109" i="151"/>
  <c r="G109" i="152"/>
  <c r="G109" i="153"/>
  <c r="G109" i="154"/>
  <c r="G109" i="155"/>
  <c r="G109" i="156"/>
  <c r="G109" i="157"/>
  <c r="G109" i="158"/>
  <c r="G109" i="159"/>
  <c r="G109" i="160"/>
  <c r="G109" i="161"/>
  <c r="G109" i="162"/>
  <c r="G109" i="163"/>
  <c r="G109" i="164"/>
  <c r="G109" i="165"/>
  <c r="G109" i="166"/>
  <c r="G109" i="167"/>
  <c r="G109" i="168"/>
  <c r="G109" i="169"/>
  <c r="G109" i="170"/>
  <c r="G109" i="171"/>
  <c r="G109" i="172"/>
  <c r="G109" i="173"/>
  <c r="G109" i="174"/>
  <c r="G109" i="203"/>
  <c r="G109" i="176"/>
  <c r="G109" i="177"/>
  <c r="G109" i="178"/>
  <c r="G109" i="181"/>
  <c r="G109" i="175"/>
  <c r="G109" i="179"/>
  <c r="G109" i="180"/>
  <c r="G109" i="182"/>
  <c r="G109" i="183"/>
  <c r="G109" i="224"/>
  <c r="G109" i="184"/>
  <c r="G109" i="185"/>
  <c r="G109" i="186"/>
  <c r="G109" i="187"/>
  <c r="G109" i="188"/>
  <c r="G109" i="189"/>
  <c r="G109" i="190"/>
  <c r="G109" i="191"/>
  <c r="G109" i="192"/>
  <c r="G109" i="193"/>
  <c r="G109" i="194"/>
  <c r="G109" i="195"/>
  <c r="G109" i="196"/>
  <c r="G109" i="197"/>
  <c r="G109" i="198"/>
  <c r="G109" i="199"/>
  <c r="G109" i="200"/>
  <c r="G109" i="201"/>
  <c r="G109" i="202"/>
  <c r="G109" i="1"/>
  <c r="G108" i="9"/>
  <c r="G108" i="60"/>
  <c r="G108" i="62"/>
  <c r="G108" i="106"/>
  <c r="R201" i="204"/>
  <c r="G108" i="202" s="1"/>
  <c r="G108" i="214"/>
  <c r="R200" i="204"/>
  <c r="G108" i="201" s="1"/>
  <c r="R199" i="204"/>
  <c r="G108" i="200" s="1"/>
  <c r="R198" i="204"/>
  <c r="G108" i="199" s="1"/>
  <c r="R197" i="204"/>
  <c r="G108" i="198" s="1"/>
  <c r="R196" i="204"/>
  <c r="G108" i="197" s="1"/>
  <c r="R195" i="204"/>
  <c r="G108" i="196" s="1"/>
  <c r="R194" i="204"/>
  <c r="G108" i="195" s="1"/>
  <c r="R193" i="204"/>
  <c r="G108" i="194" s="1"/>
  <c r="R192" i="204"/>
  <c r="G108" i="193" s="1"/>
  <c r="R191" i="204"/>
  <c r="G108" i="192" s="1"/>
  <c r="R190" i="204"/>
  <c r="G108" i="191" s="1"/>
  <c r="R189" i="204"/>
  <c r="G108" i="190" s="1"/>
  <c r="R188" i="204"/>
  <c r="G108" i="212" s="1"/>
  <c r="R187" i="204"/>
  <c r="G108" i="189" s="1"/>
  <c r="R186" i="204"/>
  <c r="G108" i="188" s="1"/>
  <c r="R185" i="204"/>
  <c r="G108" i="187" s="1"/>
  <c r="R184" i="204"/>
  <c r="G108" i="186" s="1"/>
  <c r="R183" i="204"/>
  <c r="G108" i="185" s="1"/>
  <c r="R182" i="204"/>
  <c r="G108" i="184" s="1"/>
  <c r="R181" i="204"/>
  <c r="G108" i="224" s="1"/>
  <c r="R180" i="204"/>
  <c r="G108" i="183" s="1"/>
  <c r="R179" i="204"/>
  <c r="G108" i="182" s="1"/>
  <c r="R178" i="204"/>
  <c r="G108" i="180" s="1"/>
  <c r="R177" i="204"/>
  <c r="G108" i="179" s="1"/>
  <c r="R176" i="204"/>
  <c r="G108" i="175" s="1"/>
  <c r="R175" i="204"/>
  <c r="G108" i="181" s="1"/>
  <c r="R174" i="204"/>
  <c r="G108" i="178" s="1"/>
  <c r="R173" i="204"/>
  <c r="G108" i="177" s="1"/>
  <c r="R172" i="204"/>
  <c r="G108" i="176" s="1"/>
  <c r="R171" i="204"/>
  <c r="G108" i="203" s="1"/>
  <c r="R170" i="204"/>
  <c r="G108" i="210" s="1"/>
  <c r="R169" i="204"/>
  <c r="G108" i="174" s="1"/>
  <c r="R168" i="204"/>
  <c r="G108" i="173" s="1"/>
  <c r="R167" i="204"/>
  <c r="G108" i="172" s="1"/>
  <c r="R166" i="204"/>
  <c r="G108" i="171" s="1"/>
  <c r="R165" i="204"/>
  <c r="G108" i="170" s="1"/>
  <c r="R164" i="204"/>
  <c r="G108" i="169" s="1"/>
  <c r="R163" i="204"/>
  <c r="G108" i="211" s="1"/>
  <c r="R162" i="204"/>
  <c r="G108" i="168" s="1"/>
  <c r="R161" i="204"/>
  <c r="G108" i="167" s="1"/>
  <c r="R160" i="204"/>
  <c r="G108" i="166" s="1"/>
  <c r="R159" i="204"/>
  <c r="G108" i="213" s="1"/>
  <c r="R158" i="204"/>
  <c r="G108" i="165" s="1"/>
  <c r="R157" i="204"/>
  <c r="G108" i="164" s="1"/>
  <c r="R156" i="204"/>
  <c r="G108" i="163" s="1"/>
  <c r="R155" i="204"/>
  <c r="G108" i="162" s="1"/>
  <c r="R154" i="204"/>
  <c r="G108" i="161" s="1"/>
  <c r="R153" i="204"/>
  <c r="G108" i="160" s="1"/>
  <c r="R152" i="204"/>
  <c r="G108" i="216" s="1"/>
  <c r="R151" i="204"/>
  <c r="R150" i="204"/>
  <c r="G108" i="158" s="1"/>
  <c r="R149" i="204"/>
  <c r="G108" i="157" s="1"/>
  <c r="R148" i="204"/>
  <c r="G108" i="156" s="1"/>
  <c r="R147" i="204"/>
  <c r="G108" i="155" s="1"/>
  <c r="R146" i="204"/>
  <c r="G108" i="217" s="1"/>
  <c r="R145" i="204"/>
  <c r="G108" i="154" s="1"/>
  <c r="R144" i="204"/>
  <c r="G108" i="153" s="1"/>
  <c r="R143" i="204"/>
  <c r="G108" i="152" s="1"/>
  <c r="R142" i="204"/>
  <c r="G108" i="151" s="1"/>
  <c r="R141" i="204"/>
  <c r="G108" i="150" s="1"/>
  <c r="R140" i="204"/>
  <c r="G108" i="149" s="1"/>
  <c r="R139" i="204"/>
  <c r="G108" i="147" s="1"/>
  <c r="R138" i="204"/>
  <c r="G108" i="146" s="1"/>
  <c r="R137" i="204"/>
  <c r="G108" i="145" s="1"/>
  <c r="R136" i="204"/>
  <c r="G108" i="148" s="1"/>
  <c r="R135" i="204"/>
  <c r="G108" i="144" s="1"/>
  <c r="R134" i="204"/>
  <c r="G108" i="143" s="1"/>
  <c r="G108" i="218"/>
  <c r="G108" i="142"/>
  <c r="G108" i="141"/>
  <c r="G108" i="139"/>
  <c r="G108" i="138"/>
  <c r="G108" i="137"/>
  <c r="G108" i="134"/>
  <c r="G108" i="133"/>
  <c r="G108" i="132"/>
  <c r="G108" i="131"/>
  <c r="G108" i="130"/>
  <c r="G108" i="127"/>
  <c r="G108" i="140"/>
  <c r="G108" i="136"/>
  <c r="G108" i="135"/>
  <c r="G108" i="129"/>
  <c r="G108" i="128"/>
  <c r="G108" i="126"/>
  <c r="G108" i="125"/>
  <c r="R114" i="204"/>
  <c r="G108" i="215" s="1"/>
  <c r="R113" i="204"/>
  <c r="G108" i="124" s="1"/>
  <c r="R112" i="204"/>
  <c r="G108" i="123" s="1"/>
  <c r="R111" i="204"/>
  <c r="G108" i="122" s="1"/>
  <c r="R110" i="204"/>
  <c r="G108" i="121" s="1"/>
  <c r="R109" i="204"/>
  <c r="G108" i="120" s="1"/>
  <c r="R108" i="204"/>
  <c r="G108" i="119" s="1"/>
  <c r="R104" i="204"/>
  <c r="G108" i="115" s="1"/>
  <c r="R105" i="204"/>
  <c r="G108" i="116" s="1"/>
  <c r="R106" i="204"/>
  <c r="G108" i="117" s="1"/>
  <c r="R107" i="204"/>
  <c r="G108" i="118" s="1"/>
  <c r="R103" i="204"/>
  <c r="G108" i="114" s="1"/>
  <c r="R86" i="204"/>
  <c r="G108" i="101" s="1"/>
  <c r="R87" i="204"/>
  <c r="G108" i="102" s="1"/>
  <c r="R88" i="204"/>
  <c r="G108" i="104" s="1"/>
  <c r="R89" i="204"/>
  <c r="G108" i="97" s="1"/>
  <c r="R90" i="204"/>
  <c r="G108" i="98" s="1"/>
  <c r="R91" i="204"/>
  <c r="G108" i="99" s="1"/>
  <c r="R92" i="204"/>
  <c r="G108" i="103" s="1"/>
  <c r="R93" i="204"/>
  <c r="G108" i="105" s="1"/>
  <c r="R94" i="204"/>
  <c r="G108" i="107" s="1"/>
  <c r="R95" i="204"/>
  <c r="G108" i="108" s="1"/>
  <c r="R96" i="204"/>
  <c r="G108" i="109" s="1"/>
  <c r="R97" i="204"/>
  <c r="G108" i="219" s="1"/>
  <c r="R98" i="204"/>
  <c r="G108" i="110" s="1"/>
  <c r="R99" i="204"/>
  <c r="G108" i="111" s="1"/>
  <c r="R100" i="204"/>
  <c r="G108" i="113" s="1"/>
  <c r="R101" i="204"/>
  <c r="G108" i="112" s="1"/>
  <c r="R102" i="204"/>
  <c r="G108" i="209" s="1"/>
  <c r="R85" i="204"/>
  <c r="G108" i="100" s="1"/>
  <c r="R58" i="204"/>
  <c r="G108" i="72" s="1"/>
  <c r="R59" i="204"/>
  <c r="G108" i="73" s="1"/>
  <c r="R60" i="204"/>
  <c r="G108" i="74" s="1"/>
  <c r="R61" i="204"/>
  <c r="G108" i="75" s="1"/>
  <c r="R62" i="204"/>
  <c r="G108" i="85" s="1"/>
  <c r="R63" i="204"/>
  <c r="G108" i="86" s="1"/>
  <c r="R64" i="204"/>
  <c r="G108" i="87" s="1"/>
  <c r="R65" i="204"/>
  <c r="G108" i="76" s="1"/>
  <c r="R66" i="204"/>
  <c r="G108" i="77" s="1"/>
  <c r="R67" i="204"/>
  <c r="G108" i="78" s="1"/>
  <c r="R68" i="204"/>
  <c r="G108" i="79" s="1"/>
  <c r="R69" i="204"/>
  <c r="G108" i="80" s="1"/>
  <c r="R70" i="204"/>
  <c r="G108" i="84" s="1"/>
  <c r="R71" i="204"/>
  <c r="G108" i="81" s="1"/>
  <c r="R72" i="204"/>
  <c r="G108" i="82" s="1"/>
  <c r="R73" i="204"/>
  <c r="G108" i="83" s="1"/>
  <c r="R74" i="204"/>
  <c r="G108" i="223" s="1"/>
  <c r="R76" i="204"/>
  <c r="G108" i="88" s="1"/>
  <c r="R77" i="204"/>
  <c r="G108" i="89" s="1"/>
  <c r="R78" i="204"/>
  <c r="G108" i="90" s="1"/>
  <c r="R79" i="204"/>
  <c r="G108" i="91" s="1"/>
  <c r="R80" i="204"/>
  <c r="G108" i="92" s="1"/>
  <c r="R81" i="204"/>
  <c r="G108" i="93" s="1"/>
  <c r="R82" i="204"/>
  <c r="G108" i="94" s="1"/>
  <c r="R83" i="204"/>
  <c r="G108" i="95" s="1"/>
  <c r="R84" i="204"/>
  <c r="G108" i="96" s="1"/>
  <c r="R57" i="204"/>
  <c r="G108" i="71" s="1"/>
  <c r="R6" i="204"/>
  <c r="G108" i="2" s="1"/>
  <c r="R7" i="204"/>
  <c r="G108" i="3" s="1"/>
  <c r="R8" i="204"/>
  <c r="G108" i="4" s="1"/>
  <c r="R9" i="204"/>
  <c r="G108" i="5" s="1"/>
  <c r="R10" i="204"/>
  <c r="G108" i="6" s="1"/>
  <c r="R11" i="204"/>
  <c r="G108" i="7" s="1"/>
  <c r="R12" i="204"/>
  <c r="G108" i="8" s="1"/>
  <c r="R13" i="204"/>
  <c r="G108" i="10" s="1"/>
  <c r="R14" i="204"/>
  <c r="G108" i="11" s="1"/>
  <c r="R15" i="204"/>
  <c r="G108" i="12" s="1"/>
  <c r="R16" i="204"/>
  <c r="G108" i="13" s="1"/>
  <c r="R17" i="204"/>
  <c r="G108" i="14" s="1"/>
  <c r="R18" i="204"/>
  <c r="G108" i="15" s="1"/>
  <c r="R19" i="204"/>
  <c r="G108" i="16" s="1"/>
  <c r="R20" i="204"/>
  <c r="G108" i="17" s="1"/>
  <c r="R21" i="204"/>
  <c r="G108" i="18" s="1"/>
  <c r="R22" i="204"/>
  <c r="G108" i="19" s="1"/>
  <c r="R23" i="204"/>
  <c r="G108" i="207" s="1"/>
  <c r="R24" i="204"/>
  <c r="G108" i="20" s="1"/>
  <c r="R25" i="204"/>
  <c r="G108" i="21" s="1"/>
  <c r="R26" i="204"/>
  <c r="G108" i="22" s="1"/>
  <c r="R27" i="204"/>
  <c r="G108" i="23" s="1"/>
  <c r="R28" i="204"/>
  <c r="G108" i="24" s="1"/>
  <c r="R29" i="204"/>
  <c r="G108" i="25" s="1"/>
  <c r="R30" i="204"/>
  <c r="G108" i="27" s="1"/>
  <c r="R31" i="204"/>
  <c r="G108" i="26" s="1"/>
  <c r="R32" i="204"/>
  <c r="G108" i="28" s="1"/>
  <c r="R33" i="204"/>
  <c r="G108" i="29" s="1"/>
  <c r="R34" i="204"/>
  <c r="G108" i="30" s="1"/>
  <c r="R35" i="204"/>
  <c r="G108" i="221" s="1"/>
  <c r="R36" i="204"/>
  <c r="G108" i="33" s="1"/>
  <c r="R37" i="204"/>
  <c r="G108" i="34" s="1"/>
  <c r="R38" i="204"/>
  <c r="G108" i="35" s="1"/>
  <c r="R39" i="204"/>
  <c r="G108" i="36" s="1"/>
  <c r="R40" i="204"/>
  <c r="G108" i="220" s="1"/>
  <c r="R41" i="204"/>
  <c r="G108" i="37" s="1"/>
  <c r="R42" i="204"/>
  <c r="G108" i="38" s="1"/>
  <c r="R43" i="204"/>
  <c r="G108" i="48" s="1"/>
  <c r="R44" i="204"/>
  <c r="G108" i="57" s="1"/>
  <c r="R45" i="204"/>
  <c r="G108" i="65" s="1"/>
  <c r="R46" i="204"/>
  <c r="G108" i="66" s="1"/>
  <c r="R47" i="204"/>
  <c r="G108" i="67" s="1"/>
  <c r="R48" i="204"/>
  <c r="G108" i="68" s="1"/>
  <c r="R49" i="204"/>
  <c r="G108" i="69" s="1"/>
  <c r="R50" i="204"/>
  <c r="G108" i="58" s="1"/>
  <c r="R51" i="204"/>
  <c r="G108" i="59" s="1"/>
  <c r="R52" i="204"/>
  <c r="G108" i="61" s="1"/>
  <c r="G108" i="63"/>
  <c r="R53" i="204"/>
  <c r="G108" i="64" s="1"/>
  <c r="R54" i="204"/>
  <c r="G108" i="70" s="1"/>
  <c r="R55" i="204"/>
  <c r="G108" i="222" s="1"/>
  <c r="R5" i="204"/>
  <c r="G108" i="1" s="1"/>
  <c r="G108" i="159" l="1"/>
  <c r="AV6" i="204"/>
  <c r="AV7" i="204"/>
  <c r="AV8" i="204"/>
  <c r="AV9" i="204"/>
  <c r="AV10" i="204"/>
  <c r="AV11" i="204"/>
  <c r="AV12" i="204"/>
  <c r="AV13" i="204"/>
  <c r="AV14" i="204"/>
  <c r="AV15" i="204"/>
  <c r="AV16" i="204"/>
  <c r="AV17" i="204"/>
  <c r="AV18" i="204"/>
  <c r="AV19" i="204"/>
  <c r="AV20" i="204"/>
  <c r="AV21" i="204"/>
  <c r="AV22" i="204"/>
  <c r="AV23" i="204"/>
  <c r="AV24" i="204"/>
  <c r="AV25" i="204"/>
  <c r="AV26" i="204"/>
  <c r="AV27" i="204"/>
  <c r="AV28" i="204"/>
  <c r="AV29" i="204"/>
  <c r="AV30" i="204"/>
  <c r="AV31" i="204"/>
  <c r="AV32" i="204"/>
  <c r="AV33" i="204"/>
  <c r="AV34" i="204"/>
  <c r="AV35" i="204"/>
  <c r="AV36" i="204"/>
  <c r="AV37" i="204"/>
  <c r="AV38" i="204"/>
  <c r="AV39" i="204"/>
  <c r="AV40" i="204"/>
  <c r="AV41" i="204"/>
  <c r="AV42" i="204"/>
  <c r="AV43" i="204"/>
  <c r="AV44" i="204"/>
  <c r="AV45" i="204"/>
  <c r="AV46" i="204"/>
  <c r="AV47" i="204"/>
  <c r="AV48" i="204"/>
  <c r="AV49" i="204"/>
  <c r="AV50" i="204"/>
  <c r="AV51" i="204"/>
  <c r="AV52" i="204"/>
  <c r="AV53" i="204"/>
  <c r="AV54" i="204"/>
  <c r="AV55" i="204"/>
  <c r="AV57" i="204"/>
  <c r="AV58" i="204"/>
  <c r="AV59" i="204"/>
  <c r="AV60" i="204"/>
  <c r="AV61" i="204"/>
  <c r="AV62" i="204"/>
  <c r="AV63" i="204"/>
  <c r="AV64" i="204"/>
  <c r="AV65" i="204"/>
  <c r="AV66" i="204"/>
  <c r="AV67" i="204"/>
  <c r="AV68" i="204"/>
  <c r="AV69" i="204"/>
  <c r="AV70" i="204"/>
  <c r="AV71" i="204"/>
  <c r="AV72" i="204"/>
  <c r="AV73" i="204"/>
  <c r="AV74" i="204"/>
  <c r="AV76" i="204"/>
  <c r="AV77" i="204"/>
  <c r="AV78" i="204"/>
  <c r="AV79" i="204"/>
  <c r="AV80" i="204"/>
  <c r="AV81" i="204"/>
  <c r="AV82" i="204"/>
  <c r="AV83" i="204"/>
  <c r="AV84" i="204"/>
  <c r="AV85" i="204"/>
  <c r="AV86" i="204"/>
  <c r="AV87" i="204"/>
  <c r="AV88" i="204"/>
  <c r="AV89" i="204"/>
  <c r="AV90" i="204"/>
  <c r="AV91" i="204"/>
  <c r="AV92" i="204"/>
  <c r="AV93" i="204"/>
  <c r="AV94" i="204"/>
  <c r="AV95" i="204"/>
  <c r="AV96" i="204"/>
  <c r="AV97" i="204"/>
  <c r="AV98" i="204"/>
  <c r="AV99" i="204"/>
  <c r="AV100" i="204"/>
  <c r="AV101" i="204"/>
  <c r="AV102" i="204"/>
  <c r="AV103" i="204"/>
  <c r="AV104" i="204"/>
  <c r="AV105" i="204"/>
  <c r="AV106" i="204"/>
  <c r="AV107" i="204"/>
  <c r="AV108" i="204"/>
  <c r="AV109" i="204"/>
  <c r="AV110" i="204"/>
  <c r="AV111" i="204"/>
  <c r="AV112" i="204"/>
  <c r="AV113" i="204"/>
  <c r="AV114" i="204"/>
  <c r="AV115" i="204"/>
  <c r="AV116" i="204"/>
  <c r="AV117" i="204"/>
  <c r="AV118" i="204"/>
  <c r="AV119" i="204"/>
  <c r="AV120" i="204"/>
  <c r="AV121" i="204"/>
  <c r="AV122" i="204"/>
  <c r="AV123" i="204"/>
  <c r="AV124" i="204"/>
  <c r="AV125" i="204"/>
  <c r="AV126" i="204"/>
  <c r="AV127" i="204"/>
  <c r="AV128" i="204"/>
  <c r="AV129" i="204"/>
  <c r="AV130" i="204"/>
  <c r="AV131" i="204"/>
  <c r="AV132" i="204"/>
  <c r="AV133" i="204"/>
  <c r="AV134" i="204"/>
  <c r="AV135" i="204"/>
  <c r="AV136" i="204"/>
  <c r="AV137" i="204"/>
  <c r="AV138" i="204"/>
  <c r="AV139" i="204"/>
  <c r="AV140" i="204"/>
  <c r="AV141" i="204"/>
  <c r="AV142" i="204"/>
  <c r="AV143" i="204"/>
  <c r="AV144" i="204"/>
  <c r="AV145" i="204"/>
  <c r="AV146" i="204"/>
  <c r="AV147" i="204"/>
  <c r="AV148" i="204"/>
  <c r="AV149" i="204"/>
  <c r="AV150" i="204"/>
  <c r="AV151" i="204"/>
  <c r="AV152" i="204"/>
  <c r="AV153" i="204"/>
  <c r="AV154" i="204"/>
  <c r="AV155" i="204"/>
  <c r="AV156" i="204"/>
  <c r="AV157" i="204"/>
  <c r="AV158" i="204"/>
  <c r="AV159" i="204"/>
  <c r="AV160" i="204"/>
  <c r="AV161" i="204"/>
  <c r="AV162" i="204"/>
  <c r="AV163" i="204"/>
  <c r="AV164" i="204"/>
  <c r="AV165" i="204"/>
  <c r="AV166" i="204"/>
  <c r="AV167" i="204"/>
  <c r="AV168" i="204"/>
  <c r="AV169" i="204"/>
  <c r="AV170" i="204"/>
  <c r="AV171" i="204"/>
  <c r="AV172" i="204"/>
  <c r="AV173" i="204"/>
  <c r="AV174" i="204"/>
  <c r="AV175" i="204"/>
  <c r="AV176" i="204"/>
  <c r="AV177" i="204"/>
  <c r="AV178" i="204"/>
  <c r="AV179" i="204"/>
  <c r="AV180" i="204"/>
  <c r="AV181" i="204"/>
  <c r="AV182" i="204"/>
  <c r="AV183" i="204"/>
  <c r="AV184" i="204"/>
  <c r="AV185" i="204"/>
  <c r="AV186" i="204"/>
  <c r="AV187" i="204"/>
  <c r="AV188" i="204"/>
  <c r="AV189" i="204"/>
  <c r="AV190" i="204"/>
  <c r="AV191" i="204"/>
  <c r="AV192" i="204"/>
  <c r="AV193" i="204"/>
  <c r="AV194" i="204"/>
  <c r="AV195" i="204"/>
  <c r="AV196" i="204"/>
  <c r="AV197" i="204"/>
  <c r="AV198" i="204"/>
  <c r="AV199" i="204"/>
  <c r="AV200" i="204"/>
  <c r="AV201" i="204"/>
  <c r="AV5" i="204"/>
  <c r="AP36" i="206"/>
  <c r="AQ36" i="206"/>
  <c r="AR36" i="206"/>
  <c r="AS36" i="206"/>
  <c r="AT36" i="206"/>
  <c r="AP37" i="206"/>
  <c r="AQ37" i="206"/>
  <c r="AR37" i="206"/>
  <c r="AS37" i="206"/>
  <c r="AT37" i="206"/>
  <c r="AP38" i="206"/>
  <c r="AQ38" i="206"/>
  <c r="AR38" i="206"/>
  <c r="AS38" i="206"/>
  <c r="AT38" i="206"/>
  <c r="AO38" i="206"/>
  <c r="AO37" i="206"/>
  <c r="AO36" i="206"/>
  <c r="AP35" i="206"/>
  <c r="AQ8" i="206"/>
  <c r="AQ31" i="206" s="1"/>
  <c r="AR8" i="206"/>
  <c r="AR35" i="206" s="1"/>
  <c r="AS8" i="206"/>
  <c r="AS31" i="206" s="1"/>
  <c r="AT8" i="206"/>
  <c r="AT35" i="206" s="1"/>
  <c r="AO8" i="206"/>
  <c r="AO31" i="206" s="1"/>
  <c r="AR31" i="206" l="1"/>
  <c r="AT31" i="206"/>
  <c r="AP31" i="206"/>
  <c r="AQ35" i="206"/>
  <c r="AQ39" i="206" s="1"/>
  <c r="AO35" i="206"/>
  <c r="AO39" i="206" s="1"/>
  <c r="AT39" i="206"/>
  <c r="AR39" i="206"/>
  <c r="AS35" i="206"/>
  <c r="AS39" i="206" s="1"/>
  <c r="AP39" i="206"/>
  <c r="AJ86" i="224"/>
  <c r="AG86" i="224"/>
  <c r="AJ85" i="224"/>
  <c r="AG85" i="224"/>
  <c r="AJ84" i="224"/>
  <c r="AG84" i="224"/>
  <c r="AJ83" i="224"/>
  <c r="AG83" i="224"/>
  <c r="AJ82" i="224"/>
  <c r="AG82" i="224"/>
  <c r="AJ81" i="224"/>
  <c r="AG81" i="224"/>
  <c r="AJ80" i="224"/>
  <c r="AG80" i="224"/>
  <c r="AJ79" i="224"/>
  <c r="AG79" i="224"/>
  <c r="AJ78" i="224"/>
  <c r="AG78" i="224"/>
  <c r="AJ77" i="224"/>
  <c r="AG77" i="224"/>
  <c r="AJ76" i="224"/>
  <c r="AG76" i="224"/>
  <c r="AH76" i="224" s="1"/>
  <c r="AI76" i="224" s="1"/>
  <c r="AJ75" i="224"/>
  <c r="AG75" i="224"/>
  <c r="U69" i="224"/>
  <c r="Q47" i="224"/>
  <c r="Q45" i="224"/>
  <c r="Q33" i="224"/>
  <c r="Q30" i="224"/>
  <c r="X12" i="224"/>
  <c r="W12" i="224"/>
  <c r="AH86" i="224" l="1"/>
  <c r="AI86" i="224" s="1"/>
  <c r="AK86" i="224" s="1"/>
  <c r="AK76" i="224"/>
  <c r="AH77" i="224"/>
  <c r="AI77" i="224" s="1"/>
  <c r="AK77" i="224" s="1"/>
  <c r="AH79" i="224"/>
  <c r="AI79" i="224" s="1"/>
  <c r="AK79" i="224" s="1"/>
  <c r="AH81" i="224"/>
  <c r="AI81" i="224" s="1"/>
  <c r="AK81" i="224" s="1"/>
  <c r="AH83" i="224"/>
  <c r="AI83" i="224" s="1"/>
  <c r="AK83" i="224" s="1"/>
  <c r="AH85" i="224"/>
  <c r="AI85" i="224" s="1"/>
  <c r="AK85" i="224" s="1"/>
  <c r="AH80" i="224"/>
  <c r="AI80" i="224" s="1"/>
  <c r="AK80" i="224" s="1"/>
  <c r="AH84" i="224"/>
  <c r="AI84" i="224" s="1"/>
  <c r="AK84" i="224" s="1"/>
  <c r="AH78" i="224"/>
  <c r="AI78" i="224" s="1"/>
  <c r="AK78" i="224" s="1"/>
  <c r="AH82" i="224"/>
  <c r="AI82" i="224" s="1"/>
  <c r="AK82" i="224" s="1"/>
  <c r="AH75" i="224"/>
  <c r="AI75" i="224" s="1"/>
  <c r="AK75" i="224" s="1"/>
  <c r="Q33" i="214" l="1"/>
  <c r="F97" i="223"/>
  <c r="AR87" i="223"/>
  <c r="AL86" i="223"/>
  <c r="AJ86" i="223"/>
  <c r="AL85" i="223"/>
  <c r="AJ85" i="223"/>
  <c r="AL84" i="223"/>
  <c r="AJ84" i="223"/>
  <c r="AL83" i="223"/>
  <c r="AJ83" i="223"/>
  <c r="AL82" i="223"/>
  <c r="AJ82" i="223"/>
  <c r="AL81" i="223"/>
  <c r="AJ81" i="223"/>
  <c r="AL80" i="223"/>
  <c r="AJ80" i="223"/>
  <c r="AL79" i="223"/>
  <c r="AJ79" i="223"/>
  <c r="AL78" i="223"/>
  <c r="AJ78" i="223"/>
  <c r="AL77" i="223"/>
  <c r="AJ77" i="223"/>
  <c r="AL76" i="223"/>
  <c r="AJ76" i="223"/>
  <c r="AL75" i="223"/>
  <c r="AJ75" i="223"/>
  <c r="M74" i="223"/>
  <c r="L74" i="223"/>
  <c r="K74" i="223"/>
  <c r="J74" i="223"/>
  <c r="I74" i="223"/>
  <c r="H74" i="223"/>
  <c r="G74" i="223"/>
  <c r="F74" i="223"/>
  <c r="S71" i="223"/>
  <c r="G71" i="223"/>
  <c r="AG81" i="223" s="1"/>
  <c r="F61" i="223"/>
  <c r="F60" i="223"/>
  <c r="F51" i="223"/>
  <c r="I51" i="223" s="1"/>
  <c r="F49" i="223"/>
  <c r="F47" i="223"/>
  <c r="G45" i="223"/>
  <c r="F25" i="223"/>
  <c r="M24" i="223"/>
  <c r="G110" i="223" s="1"/>
  <c r="M23" i="223"/>
  <c r="G109" i="223" s="1"/>
  <c r="I23" i="223"/>
  <c r="F23" i="223"/>
  <c r="S69" i="223" s="1"/>
  <c r="U69" i="223" s="1"/>
  <c r="M22" i="223"/>
  <c r="I22" i="223"/>
  <c r="F97" i="222"/>
  <c r="AR87" i="222"/>
  <c r="AL86" i="222"/>
  <c r="AJ86" i="222"/>
  <c r="AL85" i="222"/>
  <c r="AJ85" i="222"/>
  <c r="AL84" i="222"/>
  <c r="AJ84" i="222"/>
  <c r="AL83" i="222"/>
  <c r="AJ83" i="222"/>
  <c r="AL82" i="222"/>
  <c r="AJ82" i="222"/>
  <c r="AL81" i="222"/>
  <c r="AJ81" i="222"/>
  <c r="AL80" i="222"/>
  <c r="AJ80" i="222"/>
  <c r="AL79" i="222"/>
  <c r="AJ79" i="222"/>
  <c r="AL78" i="222"/>
  <c r="AJ78" i="222"/>
  <c r="AL77" i="222"/>
  <c r="AJ77" i="222"/>
  <c r="AL76" i="222"/>
  <c r="AJ76" i="222"/>
  <c r="AL75" i="222"/>
  <c r="AJ75" i="222"/>
  <c r="M74" i="222"/>
  <c r="L74" i="222"/>
  <c r="K74" i="222"/>
  <c r="J74" i="222"/>
  <c r="I74" i="222"/>
  <c r="H74" i="222"/>
  <c r="G74" i="222"/>
  <c r="F74" i="222"/>
  <c r="S71" i="222"/>
  <c r="G71" i="222"/>
  <c r="AG77" i="222" s="1"/>
  <c r="F61" i="222"/>
  <c r="F60" i="222"/>
  <c r="F51" i="222"/>
  <c r="I51" i="222" s="1"/>
  <c r="F49" i="222"/>
  <c r="F47" i="222"/>
  <c r="G45" i="222"/>
  <c r="F45" i="222" s="1"/>
  <c r="Q47" i="222" s="1"/>
  <c r="F33" i="222"/>
  <c r="F25" i="222"/>
  <c r="M24" i="222"/>
  <c r="G110" i="222" s="1"/>
  <c r="M23" i="222"/>
  <c r="G109" i="222" s="1"/>
  <c r="I23" i="222"/>
  <c r="F23" i="222"/>
  <c r="S69" i="222" s="1"/>
  <c r="U69" i="222" s="1"/>
  <c r="M22" i="222"/>
  <c r="I22" i="222"/>
  <c r="F97" i="221"/>
  <c r="AR87" i="221"/>
  <c r="AL86" i="221"/>
  <c r="AJ86" i="221"/>
  <c r="AL85" i="221"/>
  <c r="AJ85" i="221"/>
  <c r="AL84" i="221"/>
  <c r="AJ84" i="221"/>
  <c r="AL83" i="221"/>
  <c r="AJ83" i="221"/>
  <c r="AL82" i="221"/>
  <c r="AJ82" i="221"/>
  <c r="AL81" i="221"/>
  <c r="AJ81" i="221"/>
  <c r="AL80" i="221"/>
  <c r="AJ80" i="221"/>
  <c r="AL79" i="221"/>
  <c r="AJ79" i="221"/>
  <c r="AL78" i="221"/>
  <c r="AJ78" i="221"/>
  <c r="AL77" i="221"/>
  <c r="AJ77" i="221"/>
  <c r="AL76" i="221"/>
  <c r="AJ76" i="221"/>
  <c r="AL75" i="221"/>
  <c r="AJ75" i="221"/>
  <c r="M74" i="221"/>
  <c r="L74" i="221"/>
  <c r="K74" i="221"/>
  <c r="J74" i="221"/>
  <c r="I74" i="221"/>
  <c r="H74" i="221"/>
  <c r="G74" i="221"/>
  <c r="F74" i="221"/>
  <c r="S71" i="221"/>
  <c r="G71" i="221"/>
  <c r="AG79" i="221" s="1"/>
  <c r="F61" i="221"/>
  <c r="F60" i="221"/>
  <c r="F51" i="221"/>
  <c r="I51" i="221" s="1"/>
  <c r="F49" i="221"/>
  <c r="F47" i="221"/>
  <c r="G45" i="221"/>
  <c r="F45" i="221" s="1"/>
  <c r="Q47" i="221" s="1"/>
  <c r="F33" i="221"/>
  <c r="Q33" i="221"/>
  <c r="F25" i="221"/>
  <c r="M24" i="221"/>
  <c r="G110" i="221" s="1"/>
  <c r="M23" i="221"/>
  <c r="G109" i="221" s="1"/>
  <c r="I23" i="221"/>
  <c r="F23" i="221"/>
  <c r="S69" i="221" s="1"/>
  <c r="U69" i="221" s="1"/>
  <c r="M22" i="221"/>
  <c r="I22" i="221"/>
  <c r="F97" i="220"/>
  <c r="AR87" i="220"/>
  <c r="AL86" i="220"/>
  <c r="AJ86" i="220"/>
  <c r="AL85" i="220"/>
  <c r="AJ85" i="220"/>
  <c r="AL84" i="220"/>
  <c r="AJ84" i="220"/>
  <c r="AL83" i="220"/>
  <c r="AJ83" i="220"/>
  <c r="AL82" i="220"/>
  <c r="AJ82" i="220"/>
  <c r="AL81" i="220"/>
  <c r="AJ81" i="220"/>
  <c r="AL80" i="220"/>
  <c r="AJ80" i="220"/>
  <c r="AL79" i="220"/>
  <c r="AJ79" i="220"/>
  <c r="AL78" i="220"/>
  <c r="AJ78" i="220"/>
  <c r="AL77" i="220"/>
  <c r="AJ77" i="220"/>
  <c r="AL76" i="220"/>
  <c r="AJ76" i="220"/>
  <c r="AL75" i="220"/>
  <c r="AJ75" i="220"/>
  <c r="M74" i="220"/>
  <c r="L74" i="220"/>
  <c r="K74" i="220"/>
  <c r="J74" i="220"/>
  <c r="I74" i="220"/>
  <c r="H74" i="220"/>
  <c r="G74" i="220"/>
  <c r="F74" i="220"/>
  <c r="S71" i="220"/>
  <c r="G71" i="220"/>
  <c r="AG80" i="220" s="1"/>
  <c r="F61" i="220"/>
  <c r="F60" i="220"/>
  <c r="F51" i="220"/>
  <c r="I51" i="220" s="1"/>
  <c r="F49" i="220"/>
  <c r="F47" i="220"/>
  <c r="G45" i="220"/>
  <c r="Q45" i="220" s="1"/>
  <c r="F33" i="220"/>
  <c r="Q30" i="220"/>
  <c r="F25" i="220"/>
  <c r="M24" i="220"/>
  <c r="G110" i="220" s="1"/>
  <c r="M23" i="220"/>
  <c r="G109" i="220" s="1"/>
  <c r="I23" i="220"/>
  <c r="F23" i="220"/>
  <c r="S69" i="220" s="1"/>
  <c r="U69" i="220" s="1"/>
  <c r="M22" i="220"/>
  <c r="I22" i="220"/>
  <c r="F97" i="219"/>
  <c r="AR87" i="219"/>
  <c r="AL86" i="219"/>
  <c r="AJ86" i="219"/>
  <c r="AL85" i="219"/>
  <c r="AJ85" i="219"/>
  <c r="AL84" i="219"/>
  <c r="AJ84" i="219"/>
  <c r="AL83" i="219"/>
  <c r="AJ83" i="219"/>
  <c r="AL82" i="219"/>
  <c r="AJ82" i="219"/>
  <c r="AL81" i="219"/>
  <c r="AJ81" i="219"/>
  <c r="AL80" i="219"/>
  <c r="AJ80" i="219"/>
  <c r="AL79" i="219"/>
  <c r="AJ79" i="219"/>
  <c r="AL78" i="219"/>
  <c r="AJ78" i="219"/>
  <c r="AL77" i="219"/>
  <c r="AJ77" i="219"/>
  <c r="AL76" i="219"/>
  <c r="AJ76" i="219"/>
  <c r="AL75" i="219"/>
  <c r="AJ75" i="219"/>
  <c r="M74" i="219"/>
  <c r="L74" i="219"/>
  <c r="K74" i="219"/>
  <c r="J74" i="219"/>
  <c r="I74" i="219"/>
  <c r="H74" i="219"/>
  <c r="G74" i="219"/>
  <c r="F74" i="219"/>
  <c r="S71" i="219"/>
  <c r="G71" i="219"/>
  <c r="AG78" i="219" s="1"/>
  <c r="F61" i="219"/>
  <c r="F60" i="219"/>
  <c r="F51" i="219"/>
  <c r="I51" i="219" s="1"/>
  <c r="F49" i="219"/>
  <c r="F47" i="219"/>
  <c r="G45" i="219"/>
  <c r="Q45" i="219" s="1"/>
  <c r="Q30" i="219"/>
  <c r="F25" i="219"/>
  <c r="M24" i="219"/>
  <c r="G110" i="219" s="1"/>
  <c r="M23" i="219"/>
  <c r="G109" i="219" s="1"/>
  <c r="I23" i="219"/>
  <c r="F23" i="219"/>
  <c r="S69" i="219" s="1"/>
  <c r="U69" i="219" s="1"/>
  <c r="M22" i="219"/>
  <c r="I22" i="219"/>
  <c r="F97" i="218"/>
  <c r="AR87" i="218"/>
  <c r="AL86" i="218"/>
  <c r="AJ86" i="218"/>
  <c r="AL85" i="218"/>
  <c r="AJ85" i="218"/>
  <c r="AL84" i="218"/>
  <c r="AJ84" i="218"/>
  <c r="AL83" i="218"/>
  <c r="AJ83" i="218"/>
  <c r="AL82" i="218"/>
  <c r="AJ82" i="218"/>
  <c r="AL81" i="218"/>
  <c r="AJ81" i="218"/>
  <c r="AL80" i="218"/>
  <c r="AJ80" i="218"/>
  <c r="AL79" i="218"/>
  <c r="AJ79" i="218"/>
  <c r="AL78" i="218"/>
  <c r="AJ78" i="218"/>
  <c r="AL77" i="218"/>
  <c r="AJ77" i="218"/>
  <c r="AL76" i="218"/>
  <c r="AJ76" i="218"/>
  <c r="AL75" i="218"/>
  <c r="AJ75" i="218"/>
  <c r="M74" i="218"/>
  <c r="L74" i="218"/>
  <c r="K74" i="218"/>
  <c r="J74" i="218"/>
  <c r="I74" i="218"/>
  <c r="H74" i="218"/>
  <c r="G74" i="218"/>
  <c r="F74" i="218"/>
  <c r="S71" i="218"/>
  <c r="G71" i="218"/>
  <c r="AG85" i="218" s="1"/>
  <c r="F61" i="218"/>
  <c r="F60" i="218"/>
  <c r="F51" i="218"/>
  <c r="I51" i="218" s="1"/>
  <c r="F49" i="218"/>
  <c r="F47" i="218"/>
  <c r="G45" i="218"/>
  <c r="F45" i="218" s="1"/>
  <c r="Q47" i="218" s="1"/>
  <c r="F25" i="218"/>
  <c r="M24" i="218"/>
  <c r="G110" i="218" s="1"/>
  <c r="M23" i="218"/>
  <c r="G109" i="218" s="1"/>
  <c r="I23" i="218"/>
  <c r="F23" i="218"/>
  <c r="S69" i="218" s="1"/>
  <c r="U69" i="218" s="1"/>
  <c r="M22" i="218"/>
  <c r="I22" i="218"/>
  <c r="F97" i="217"/>
  <c r="AR87" i="217"/>
  <c r="AL86" i="217"/>
  <c r="AJ86" i="217"/>
  <c r="AL85" i="217"/>
  <c r="AJ85" i="217"/>
  <c r="AL84" i="217"/>
  <c r="AJ84" i="217"/>
  <c r="AL83" i="217"/>
  <c r="AJ83" i="217"/>
  <c r="AL82" i="217"/>
  <c r="AJ82" i="217"/>
  <c r="AL81" i="217"/>
  <c r="AJ81" i="217"/>
  <c r="AL80" i="217"/>
  <c r="AJ80" i="217"/>
  <c r="AL79" i="217"/>
  <c r="AJ79" i="217"/>
  <c r="AL78" i="217"/>
  <c r="AJ78" i="217"/>
  <c r="AL77" i="217"/>
  <c r="AJ77" i="217"/>
  <c r="AL76" i="217"/>
  <c r="AJ76" i="217"/>
  <c r="AL75" i="217"/>
  <c r="AJ75" i="217"/>
  <c r="M74" i="217"/>
  <c r="L74" i="217"/>
  <c r="K74" i="217"/>
  <c r="J74" i="217"/>
  <c r="I74" i="217"/>
  <c r="H74" i="217"/>
  <c r="G74" i="217"/>
  <c r="F74" i="217"/>
  <c r="S71" i="217"/>
  <c r="G71" i="217"/>
  <c r="AG85" i="217" s="1"/>
  <c r="F61" i="217"/>
  <c r="F60" i="217"/>
  <c r="F51" i="217"/>
  <c r="I51" i="217" s="1"/>
  <c r="F49" i="217"/>
  <c r="F47" i="217"/>
  <c r="G45" i="217"/>
  <c r="F45" i="217" s="1"/>
  <c r="Q47" i="217" s="1"/>
  <c r="Q33" i="217"/>
  <c r="F25" i="217"/>
  <c r="M24" i="217"/>
  <c r="G110" i="217" s="1"/>
  <c r="M23" i="217"/>
  <c r="G109" i="217" s="1"/>
  <c r="I23" i="217"/>
  <c r="F23" i="217"/>
  <c r="S69" i="217" s="1"/>
  <c r="U69" i="217" s="1"/>
  <c r="M22" i="217"/>
  <c r="I22" i="217"/>
  <c r="F97" i="216"/>
  <c r="AR87" i="216"/>
  <c r="AL86" i="216"/>
  <c r="AJ86" i="216"/>
  <c r="AL85" i="216"/>
  <c r="AJ85" i="216"/>
  <c r="AL84" i="216"/>
  <c r="AJ84" i="216"/>
  <c r="AL83" i="216"/>
  <c r="AJ83" i="216"/>
  <c r="AL82" i="216"/>
  <c r="AJ82" i="216"/>
  <c r="AL81" i="216"/>
  <c r="AJ81" i="216"/>
  <c r="AL80" i="216"/>
  <c r="AJ80" i="216"/>
  <c r="AL79" i="216"/>
  <c r="AJ79" i="216"/>
  <c r="AL78" i="216"/>
  <c r="AJ78" i="216"/>
  <c r="AL77" i="216"/>
  <c r="AJ77" i="216"/>
  <c r="AL76" i="216"/>
  <c r="AJ76" i="216"/>
  <c r="AL75" i="216"/>
  <c r="AJ75" i="216"/>
  <c r="M74" i="216"/>
  <c r="L74" i="216"/>
  <c r="K74" i="216"/>
  <c r="J74" i="216"/>
  <c r="I74" i="216"/>
  <c r="H74" i="216"/>
  <c r="G74" i="216"/>
  <c r="F74" i="216"/>
  <c r="S71" i="216"/>
  <c r="G71" i="216"/>
  <c r="AG85" i="216" s="1"/>
  <c r="F61" i="216"/>
  <c r="F60" i="216"/>
  <c r="F51" i="216"/>
  <c r="I51" i="216" s="1"/>
  <c r="F49" i="216"/>
  <c r="F47" i="216"/>
  <c r="G45" i="216"/>
  <c r="Q45" i="216" s="1"/>
  <c r="F25" i="216"/>
  <c r="M24" i="216"/>
  <c r="G110" i="216" s="1"/>
  <c r="M23" i="216"/>
  <c r="G109" i="216" s="1"/>
  <c r="I23" i="216"/>
  <c r="F23" i="216"/>
  <c r="S69" i="216" s="1"/>
  <c r="U69" i="216" s="1"/>
  <c r="M22" i="216"/>
  <c r="I22" i="216"/>
  <c r="F97" i="215"/>
  <c r="AR87" i="215"/>
  <c r="AL86" i="215"/>
  <c r="AJ86" i="215"/>
  <c r="AL85" i="215"/>
  <c r="AJ85" i="215"/>
  <c r="AL84" i="215"/>
  <c r="AJ84" i="215"/>
  <c r="AL83" i="215"/>
  <c r="AJ83" i="215"/>
  <c r="AL82" i="215"/>
  <c r="AJ82" i="215"/>
  <c r="AL81" i="215"/>
  <c r="AJ81" i="215"/>
  <c r="AL80" i="215"/>
  <c r="AJ80" i="215"/>
  <c r="AL79" i="215"/>
  <c r="AJ79" i="215"/>
  <c r="AL78" i="215"/>
  <c r="AJ78" i="215"/>
  <c r="AL77" i="215"/>
  <c r="AJ77" i="215"/>
  <c r="AL76" i="215"/>
  <c r="AJ76" i="215"/>
  <c r="AL75" i="215"/>
  <c r="AJ75" i="215"/>
  <c r="M74" i="215"/>
  <c r="L74" i="215"/>
  <c r="K74" i="215"/>
  <c r="J74" i="215"/>
  <c r="I74" i="215"/>
  <c r="H74" i="215"/>
  <c r="G74" i="215"/>
  <c r="F74" i="215"/>
  <c r="S71" i="215"/>
  <c r="G71" i="215"/>
  <c r="AG85" i="215" s="1"/>
  <c r="F61" i="215"/>
  <c r="F60" i="215"/>
  <c r="F51" i="215"/>
  <c r="I51" i="215" s="1"/>
  <c r="F49" i="215"/>
  <c r="F47" i="215"/>
  <c r="G45" i="215"/>
  <c r="F45" i="215" s="1"/>
  <c r="Q47" i="215" s="1"/>
  <c r="Q30" i="215"/>
  <c r="F25" i="215"/>
  <c r="M24" i="215"/>
  <c r="G110" i="215" s="1"/>
  <c r="M23" i="215"/>
  <c r="G109" i="215" s="1"/>
  <c r="I23" i="215"/>
  <c r="F23" i="215"/>
  <c r="S69" i="215" s="1"/>
  <c r="U69" i="215" s="1"/>
  <c r="M22" i="215"/>
  <c r="I22" i="215"/>
  <c r="F97" i="214"/>
  <c r="AR87" i="214"/>
  <c r="AL86" i="214"/>
  <c r="AJ86" i="214"/>
  <c r="AL85" i="214"/>
  <c r="AJ85" i="214"/>
  <c r="AL84" i="214"/>
  <c r="AJ84" i="214"/>
  <c r="AL83" i="214"/>
  <c r="AJ83" i="214"/>
  <c r="AL82" i="214"/>
  <c r="AJ82" i="214"/>
  <c r="AL81" i="214"/>
  <c r="AJ81" i="214"/>
  <c r="AL80" i="214"/>
  <c r="AJ80" i="214"/>
  <c r="AL79" i="214"/>
  <c r="AJ79" i="214"/>
  <c r="AL78" i="214"/>
  <c r="AJ78" i="214"/>
  <c r="AL77" i="214"/>
  <c r="AJ77" i="214"/>
  <c r="AL76" i="214"/>
  <c r="AJ76" i="214"/>
  <c r="AL75" i="214"/>
  <c r="AJ75" i="214"/>
  <c r="M74" i="214"/>
  <c r="L74" i="214"/>
  <c r="K74" i="214"/>
  <c r="J74" i="214"/>
  <c r="I74" i="214"/>
  <c r="H74" i="214"/>
  <c r="G74" i="214"/>
  <c r="F74" i="214"/>
  <c r="S71" i="214"/>
  <c r="G71" i="214"/>
  <c r="F61" i="214"/>
  <c r="F60" i="214"/>
  <c r="F51" i="214"/>
  <c r="I51" i="214" s="1"/>
  <c r="F49" i="214"/>
  <c r="F47" i="214"/>
  <c r="G45" i="214"/>
  <c r="F45" i="214" s="1"/>
  <c r="Q47" i="214" s="1"/>
  <c r="F25" i="214"/>
  <c r="M24" i="214"/>
  <c r="G110" i="214" s="1"/>
  <c r="M23" i="214"/>
  <c r="G109" i="214" s="1"/>
  <c r="I23" i="214"/>
  <c r="F23" i="214"/>
  <c r="S69" i="214" s="1"/>
  <c r="U69" i="214" s="1"/>
  <c r="M22" i="214"/>
  <c r="I22" i="214"/>
  <c r="F97" i="213"/>
  <c r="AR87" i="213"/>
  <c r="AL86" i="213"/>
  <c r="AJ86" i="213"/>
  <c r="AL85" i="213"/>
  <c r="AJ85" i="213"/>
  <c r="AL84" i="213"/>
  <c r="AJ84" i="213"/>
  <c r="AL83" i="213"/>
  <c r="AJ83" i="213"/>
  <c r="AL82" i="213"/>
  <c r="AJ82" i="213"/>
  <c r="AL81" i="213"/>
  <c r="AJ81" i="213"/>
  <c r="AL80" i="213"/>
  <c r="AJ80" i="213"/>
  <c r="AL79" i="213"/>
  <c r="AJ79" i="213"/>
  <c r="AL78" i="213"/>
  <c r="AJ78" i="213"/>
  <c r="AL77" i="213"/>
  <c r="AJ77" i="213"/>
  <c r="AL76" i="213"/>
  <c r="AJ76" i="213"/>
  <c r="AL75" i="213"/>
  <c r="AJ75" i="213"/>
  <c r="M74" i="213"/>
  <c r="L74" i="213"/>
  <c r="K74" i="213"/>
  <c r="J74" i="213"/>
  <c r="I74" i="213"/>
  <c r="H74" i="213"/>
  <c r="G74" i="213"/>
  <c r="F74" i="213"/>
  <c r="S71" i="213"/>
  <c r="G71" i="213"/>
  <c r="AG80" i="213" s="1"/>
  <c r="F61" i="213"/>
  <c r="F60" i="213"/>
  <c r="F51" i="213"/>
  <c r="I51" i="213" s="1"/>
  <c r="F49" i="213"/>
  <c r="F47" i="213"/>
  <c r="G45" i="213"/>
  <c r="Q45" i="213" s="1"/>
  <c r="F33" i="213"/>
  <c r="Q30" i="213"/>
  <c r="F25" i="213"/>
  <c r="M24" i="213"/>
  <c r="G110" i="213" s="1"/>
  <c r="M23" i="213"/>
  <c r="G109" i="213" s="1"/>
  <c r="I23" i="213"/>
  <c r="F23" i="213"/>
  <c r="S69" i="213" s="1"/>
  <c r="U69" i="213" s="1"/>
  <c r="M22" i="213"/>
  <c r="I22" i="213"/>
  <c r="F97" i="212"/>
  <c r="AR87" i="212"/>
  <c r="AL86" i="212"/>
  <c r="AJ86" i="212"/>
  <c r="AL85" i="212"/>
  <c r="AJ85" i="212"/>
  <c r="AL84" i="212"/>
  <c r="AJ84" i="212"/>
  <c r="AL83" i="212"/>
  <c r="AJ83" i="212"/>
  <c r="AL82" i="212"/>
  <c r="AJ82" i="212"/>
  <c r="AL81" i="212"/>
  <c r="AJ81" i="212"/>
  <c r="AL80" i="212"/>
  <c r="AJ80" i="212"/>
  <c r="AL79" i="212"/>
  <c r="AJ79" i="212"/>
  <c r="AL78" i="212"/>
  <c r="AJ78" i="212"/>
  <c r="AL77" i="212"/>
  <c r="AJ77" i="212"/>
  <c r="AL76" i="212"/>
  <c r="AJ76" i="212"/>
  <c r="AL75" i="212"/>
  <c r="AJ75" i="212"/>
  <c r="M74" i="212"/>
  <c r="L74" i="212"/>
  <c r="K74" i="212"/>
  <c r="J74" i="212"/>
  <c r="I74" i="212"/>
  <c r="H74" i="212"/>
  <c r="G74" i="212"/>
  <c r="F74" i="212"/>
  <c r="S71" i="212"/>
  <c r="G71" i="212"/>
  <c r="AG75" i="212" s="1"/>
  <c r="AH75" i="212" s="1"/>
  <c r="AI75" i="212" s="1"/>
  <c r="F61" i="212"/>
  <c r="F60" i="212"/>
  <c r="F51" i="212"/>
  <c r="I51" i="212" s="1"/>
  <c r="F49" i="212"/>
  <c r="F47" i="212"/>
  <c r="G45" i="212"/>
  <c r="F33" i="212"/>
  <c r="F25" i="212"/>
  <c r="M24" i="212"/>
  <c r="G110" i="212" s="1"/>
  <c r="M23" i="212"/>
  <c r="G109" i="212" s="1"/>
  <c r="I23" i="212"/>
  <c r="F23" i="212"/>
  <c r="S69" i="212" s="1"/>
  <c r="U69" i="212" s="1"/>
  <c r="M22" i="212"/>
  <c r="I22" i="212"/>
  <c r="F97" i="211"/>
  <c r="AR87" i="211"/>
  <c r="AL86" i="211"/>
  <c r="AJ86" i="211"/>
  <c r="AL85" i="211"/>
  <c r="AJ85" i="211"/>
  <c r="AL84" i="211"/>
  <c r="AJ84" i="211"/>
  <c r="AL83" i="211"/>
  <c r="AJ83" i="211"/>
  <c r="AL82" i="211"/>
  <c r="AJ82" i="211"/>
  <c r="AL81" i="211"/>
  <c r="AJ81" i="211"/>
  <c r="AL80" i="211"/>
  <c r="AJ80" i="211"/>
  <c r="AL79" i="211"/>
  <c r="AJ79" i="211"/>
  <c r="AL78" i="211"/>
  <c r="AJ78" i="211"/>
  <c r="AL77" i="211"/>
  <c r="AJ77" i="211"/>
  <c r="AL76" i="211"/>
  <c r="AJ76" i="211"/>
  <c r="AL75" i="211"/>
  <c r="AJ75" i="211"/>
  <c r="M74" i="211"/>
  <c r="L74" i="211"/>
  <c r="K74" i="211"/>
  <c r="J74" i="211"/>
  <c r="I74" i="211"/>
  <c r="H74" i="211"/>
  <c r="G74" i="211"/>
  <c r="F74" i="211"/>
  <c r="S71" i="211"/>
  <c r="G71" i="211"/>
  <c r="AG85" i="211" s="1"/>
  <c r="F61" i="211"/>
  <c r="F60" i="211"/>
  <c r="F51" i="211"/>
  <c r="I51" i="211" s="1"/>
  <c r="F49" i="211"/>
  <c r="F47" i="211"/>
  <c r="G45" i="211"/>
  <c r="F45" i="211" s="1"/>
  <c r="Q47" i="211" s="1"/>
  <c r="F33" i="211"/>
  <c r="Q33" i="211"/>
  <c r="F25" i="211"/>
  <c r="M24" i="211"/>
  <c r="G110" i="211" s="1"/>
  <c r="M23" i="211"/>
  <c r="G109" i="211" s="1"/>
  <c r="I23" i="211"/>
  <c r="F23" i="211"/>
  <c r="S69" i="211" s="1"/>
  <c r="U69" i="211" s="1"/>
  <c r="M22" i="211"/>
  <c r="I22" i="211"/>
  <c r="F97" i="210"/>
  <c r="AR87" i="210"/>
  <c r="AL86" i="210"/>
  <c r="AJ86" i="210"/>
  <c r="AL85" i="210"/>
  <c r="AJ85" i="210"/>
  <c r="AL84" i="210"/>
  <c r="AJ84" i="210"/>
  <c r="AL83" i="210"/>
  <c r="AJ83" i="210"/>
  <c r="AL82" i="210"/>
  <c r="AJ82" i="210"/>
  <c r="AL81" i="210"/>
  <c r="AJ81" i="210"/>
  <c r="AL80" i="210"/>
  <c r="AJ80" i="210"/>
  <c r="AL79" i="210"/>
  <c r="AJ79" i="210"/>
  <c r="AL78" i="210"/>
  <c r="AJ78" i="210"/>
  <c r="AL77" i="210"/>
  <c r="AJ77" i="210"/>
  <c r="AL76" i="210"/>
  <c r="AJ76" i="210"/>
  <c r="AL75" i="210"/>
  <c r="AJ75" i="210"/>
  <c r="M74" i="210"/>
  <c r="L74" i="210"/>
  <c r="K74" i="210"/>
  <c r="J74" i="210"/>
  <c r="I74" i="210"/>
  <c r="H74" i="210"/>
  <c r="G74" i="210"/>
  <c r="F74" i="210"/>
  <c r="S71" i="210"/>
  <c r="G71" i="210"/>
  <c r="AG85" i="210" s="1"/>
  <c r="F61" i="210"/>
  <c r="F60" i="210"/>
  <c r="F51" i="210"/>
  <c r="I51" i="210" s="1"/>
  <c r="F49" i="210"/>
  <c r="F47" i="210"/>
  <c r="G45" i="210"/>
  <c r="Q45" i="210" s="1"/>
  <c r="F33" i="210"/>
  <c r="G31" i="210"/>
  <c r="Q30" i="210" s="1"/>
  <c r="F25" i="210"/>
  <c r="M24" i="210"/>
  <c r="G110" i="210" s="1"/>
  <c r="M23" i="210"/>
  <c r="G109" i="210" s="1"/>
  <c r="I23" i="210"/>
  <c r="F23" i="210"/>
  <c r="S69" i="210" s="1"/>
  <c r="U69" i="210" s="1"/>
  <c r="M22" i="210"/>
  <c r="I22" i="210"/>
  <c r="F97" i="209"/>
  <c r="AR87" i="209"/>
  <c r="AL86" i="209"/>
  <c r="AJ86" i="209"/>
  <c r="AL85" i="209"/>
  <c r="AJ85" i="209"/>
  <c r="AL84" i="209"/>
  <c r="AJ84" i="209"/>
  <c r="AL83" i="209"/>
  <c r="AJ83" i="209"/>
  <c r="AL82" i="209"/>
  <c r="AJ82" i="209"/>
  <c r="AL81" i="209"/>
  <c r="AJ81" i="209"/>
  <c r="AL80" i="209"/>
  <c r="AJ80" i="209"/>
  <c r="AL79" i="209"/>
  <c r="AJ79" i="209"/>
  <c r="AL78" i="209"/>
  <c r="AJ78" i="209"/>
  <c r="AL77" i="209"/>
  <c r="AJ77" i="209"/>
  <c r="AL76" i="209"/>
  <c r="AJ76" i="209"/>
  <c r="AL75" i="209"/>
  <c r="AJ75" i="209"/>
  <c r="M74" i="209"/>
  <c r="L74" i="209"/>
  <c r="K74" i="209"/>
  <c r="J74" i="209"/>
  <c r="I74" i="209"/>
  <c r="H74" i="209"/>
  <c r="G74" i="209"/>
  <c r="F74" i="209"/>
  <c r="S71" i="209"/>
  <c r="G71" i="209"/>
  <c r="AG85" i="209" s="1"/>
  <c r="F61" i="209"/>
  <c r="F60" i="209"/>
  <c r="F51" i="209"/>
  <c r="I51" i="209" s="1"/>
  <c r="F49" i="209"/>
  <c r="F47" i="209"/>
  <c r="G45" i="209"/>
  <c r="Q45" i="209" s="1"/>
  <c r="Q30" i="209"/>
  <c r="F25" i="209"/>
  <c r="M24" i="209"/>
  <c r="G110" i="209" s="1"/>
  <c r="M23" i="209"/>
  <c r="G109" i="209" s="1"/>
  <c r="I23" i="209"/>
  <c r="F23" i="209"/>
  <c r="S69" i="209" s="1"/>
  <c r="U69" i="209" s="1"/>
  <c r="M22" i="209"/>
  <c r="I22" i="209"/>
  <c r="F97" i="207"/>
  <c r="AR87" i="207"/>
  <c r="AL86" i="207"/>
  <c r="AJ86" i="207"/>
  <c r="AL85" i="207"/>
  <c r="AJ85" i="207"/>
  <c r="AL84" i="207"/>
  <c r="AJ84" i="207"/>
  <c r="AL83" i="207"/>
  <c r="AJ83" i="207"/>
  <c r="AL82" i="207"/>
  <c r="AJ82" i="207"/>
  <c r="AL81" i="207"/>
  <c r="AJ81" i="207"/>
  <c r="AL80" i="207"/>
  <c r="AJ80" i="207"/>
  <c r="AL79" i="207"/>
  <c r="AJ79" i="207"/>
  <c r="AL78" i="207"/>
  <c r="AJ78" i="207"/>
  <c r="AL77" i="207"/>
  <c r="AJ77" i="207"/>
  <c r="AL76" i="207"/>
  <c r="AJ76" i="207"/>
  <c r="AL75" i="207"/>
  <c r="AJ75" i="207"/>
  <c r="M74" i="207"/>
  <c r="L74" i="207"/>
  <c r="K74" i="207"/>
  <c r="J74" i="207"/>
  <c r="I74" i="207"/>
  <c r="H74" i="207"/>
  <c r="G74" i="207"/>
  <c r="F74" i="207"/>
  <c r="S71" i="207"/>
  <c r="G71" i="207"/>
  <c r="AG80" i="207" s="1"/>
  <c r="F61" i="207"/>
  <c r="F60" i="207"/>
  <c r="F51" i="207"/>
  <c r="I51" i="207" s="1"/>
  <c r="F49" i="207"/>
  <c r="F47" i="207"/>
  <c r="G45" i="207"/>
  <c r="Q45" i="207" s="1"/>
  <c r="F33" i="207"/>
  <c r="Q30" i="207"/>
  <c r="F25" i="207"/>
  <c r="M24" i="207"/>
  <c r="G110" i="207" s="1"/>
  <c r="M23" i="207"/>
  <c r="G109" i="207" s="1"/>
  <c r="I23" i="207"/>
  <c r="F23" i="207"/>
  <c r="S69" i="207" s="1"/>
  <c r="U69" i="207" s="1"/>
  <c r="M22" i="207"/>
  <c r="I22" i="207"/>
  <c r="F59" i="210" l="1"/>
  <c r="AG83" i="210"/>
  <c r="AG77" i="211"/>
  <c r="Q33" i="209"/>
  <c r="F31" i="210"/>
  <c r="Q33" i="210" s="1"/>
  <c r="Q33" i="220"/>
  <c r="AG77" i="223"/>
  <c r="AG86" i="210"/>
  <c r="Q30" i="211"/>
  <c r="Q45" i="211"/>
  <c r="F59" i="211"/>
  <c r="F59" i="212"/>
  <c r="AG80" i="215"/>
  <c r="AG80" i="210"/>
  <c r="AK75" i="212"/>
  <c r="AM75" i="212" s="1"/>
  <c r="F59" i="216"/>
  <c r="AG75" i="209"/>
  <c r="AH75" i="209" s="1"/>
  <c r="AI75" i="209" s="1"/>
  <c r="AK75" i="209" s="1"/>
  <c r="AM75" i="209" s="1"/>
  <c r="F45" i="213"/>
  <c r="Q47" i="213" s="1"/>
  <c r="F59" i="219"/>
  <c r="F59" i="207"/>
  <c r="AG79" i="210"/>
  <c r="AG82" i="210"/>
  <c r="AG83" i="211"/>
  <c r="AG75" i="215"/>
  <c r="AH75" i="215" s="1"/>
  <c r="AI75" i="215" s="1"/>
  <c r="AK75" i="215" s="1"/>
  <c r="AR75" i="215" s="1"/>
  <c r="Q45" i="217"/>
  <c r="AG86" i="217"/>
  <c r="AG82" i="220"/>
  <c r="AG83" i="223"/>
  <c r="AG78" i="217"/>
  <c r="F45" i="210"/>
  <c r="Q47" i="210" s="1"/>
  <c r="AG78" i="210"/>
  <c r="AG82" i="211"/>
  <c r="F59" i="213"/>
  <c r="AG80" i="216"/>
  <c r="Q30" i="217"/>
  <c r="AG80" i="217"/>
  <c r="AG83" i="217"/>
  <c r="F59" i="223"/>
  <c r="AG80" i="223"/>
  <c r="AG79" i="217"/>
  <c r="AG82" i="217"/>
  <c r="AG81" i="209"/>
  <c r="AG78" i="213"/>
  <c r="Q45" i="214"/>
  <c r="AG86" i="215"/>
  <c r="AG77" i="216"/>
  <c r="F59" i="217"/>
  <c r="AG84" i="220"/>
  <c r="AG76" i="222"/>
  <c r="AH76" i="222" s="1"/>
  <c r="AI76" i="222" s="1"/>
  <c r="AK76" i="222" s="1"/>
  <c r="AR76" i="222" s="1"/>
  <c r="AG85" i="222"/>
  <c r="AG85" i="223"/>
  <c r="AG76" i="211"/>
  <c r="AH76" i="211" s="1"/>
  <c r="AI76" i="211" s="1"/>
  <c r="AK76" i="211" s="1"/>
  <c r="AR76" i="211" s="1"/>
  <c r="AG79" i="211"/>
  <c r="Q33" i="207"/>
  <c r="F59" i="209"/>
  <c r="AG80" i="209"/>
  <c r="AG76" i="210"/>
  <c r="AH76" i="210" s="1"/>
  <c r="AI76" i="210" s="1"/>
  <c r="AK76" i="210" s="1"/>
  <c r="AS76" i="210" s="1"/>
  <c r="AG77" i="210"/>
  <c r="AG84" i="210"/>
  <c r="AG86" i="211"/>
  <c r="Q33" i="213"/>
  <c r="F59" i="214"/>
  <c r="Q45" i="215"/>
  <c r="F59" i="215"/>
  <c r="AG76" i="217"/>
  <c r="AH76" i="217" s="1"/>
  <c r="AI76" i="217" s="1"/>
  <c r="AK76" i="217" s="1"/>
  <c r="AM76" i="217" s="1"/>
  <c r="AG77" i="217"/>
  <c r="AG84" i="217"/>
  <c r="Q45" i="218"/>
  <c r="F59" i="218"/>
  <c r="F45" i="219"/>
  <c r="Q47" i="219" s="1"/>
  <c r="AG83" i="219"/>
  <c r="AG78" i="220"/>
  <c r="AG86" i="220"/>
  <c r="Q30" i="221"/>
  <c r="Q45" i="222"/>
  <c r="Q33" i="219"/>
  <c r="F59" i="220"/>
  <c r="AG75" i="220"/>
  <c r="AH75" i="220" s="1"/>
  <c r="AI75" i="220" s="1"/>
  <c r="AK75" i="220" s="1"/>
  <c r="AM75" i="220" s="1"/>
  <c r="F59" i="222"/>
  <c r="AG75" i="223"/>
  <c r="AH75" i="223" s="1"/>
  <c r="AI75" i="223" s="1"/>
  <c r="AK75" i="223" s="1"/>
  <c r="AG78" i="223"/>
  <c r="AQ75" i="212"/>
  <c r="AS75" i="212"/>
  <c r="F45" i="212"/>
  <c r="Q47" i="212" s="1"/>
  <c r="Q45" i="212"/>
  <c r="F45" i="207"/>
  <c r="Q47" i="207" s="1"/>
  <c r="AG83" i="207"/>
  <c r="AG84" i="207"/>
  <c r="AG78" i="207"/>
  <c r="F45" i="209"/>
  <c r="Q47" i="209" s="1"/>
  <c r="AG78" i="209"/>
  <c r="AG84" i="209"/>
  <c r="Q33" i="212"/>
  <c r="Q30" i="212"/>
  <c r="AG84" i="212"/>
  <c r="AG80" i="212"/>
  <c r="AG78" i="212"/>
  <c r="AG83" i="212"/>
  <c r="AG79" i="212"/>
  <c r="AG77" i="212"/>
  <c r="AG86" i="212"/>
  <c r="AG82" i="212"/>
  <c r="AG76" i="212"/>
  <c r="AH76" i="212" s="1"/>
  <c r="AI76" i="212" s="1"/>
  <c r="AK76" i="212" s="1"/>
  <c r="AG85" i="212"/>
  <c r="AG81" i="212"/>
  <c r="AG83" i="209"/>
  <c r="AG79" i="209"/>
  <c r="AG77" i="209"/>
  <c r="AG86" i="209"/>
  <c r="AG82" i="209"/>
  <c r="AG76" i="209"/>
  <c r="AH76" i="209" s="1"/>
  <c r="AI76" i="209" s="1"/>
  <c r="AK76" i="209" s="1"/>
  <c r="AG84" i="214"/>
  <c r="AG80" i="214"/>
  <c r="AG78" i="214"/>
  <c r="AG79" i="214"/>
  <c r="AG81" i="214"/>
  <c r="AG86" i="214"/>
  <c r="Q33" i="216"/>
  <c r="Q30" i="216"/>
  <c r="AG85" i="213"/>
  <c r="AG81" i="213"/>
  <c r="AG75" i="213"/>
  <c r="AH75" i="213" s="1"/>
  <c r="AI75" i="213" s="1"/>
  <c r="AK75" i="213" s="1"/>
  <c r="AG83" i="213"/>
  <c r="AG76" i="214"/>
  <c r="AH76" i="214" s="1"/>
  <c r="AI76" i="214" s="1"/>
  <c r="AK76" i="214" s="1"/>
  <c r="AG83" i="214"/>
  <c r="AG85" i="214"/>
  <c r="AG83" i="215"/>
  <c r="AG79" i="215"/>
  <c r="AG77" i="215"/>
  <c r="AG76" i="215"/>
  <c r="AH76" i="215" s="1"/>
  <c r="AI76" i="215" s="1"/>
  <c r="AK76" i="215" s="1"/>
  <c r="AG78" i="215"/>
  <c r="AG81" i="215"/>
  <c r="AG75" i="210"/>
  <c r="AG81" i="210"/>
  <c r="AG78" i="211"/>
  <c r="AG80" i="211"/>
  <c r="AG84" i="211"/>
  <c r="AG76" i="213"/>
  <c r="AH76" i="213" s="1"/>
  <c r="AI76" i="213" s="1"/>
  <c r="AK76" i="213" s="1"/>
  <c r="AG82" i="213"/>
  <c r="AG75" i="214"/>
  <c r="AH75" i="214" s="1"/>
  <c r="AI75" i="214" s="1"/>
  <c r="AK75" i="214" s="1"/>
  <c r="AG75" i="211"/>
  <c r="AH75" i="211" s="1"/>
  <c r="AI75" i="211" s="1"/>
  <c r="AK75" i="211" s="1"/>
  <c r="AG81" i="211"/>
  <c r="AG77" i="213"/>
  <c r="AG79" i="213"/>
  <c r="AG84" i="213"/>
  <c r="AG86" i="213"/>
  <c r="Q30" i="214"/>
  <c r="AG77" i="214"/>
  <c r="AG82" i="214"/>
  <c r="Q33" i="215"/>
  <c r="AG82" i="215"/>
  <c r="AG84" i="215"/>
  <c r="AG78" i="216"/>
  <c r="F45" i="216"/>
  <c r="Q47" i="216" s="1"/>
  <c r="AG86" i="216"/>
  <c r="AG82" i="216"/>
  <c r="AG75" i="216"/>
  <c r="AH75" i="216" s="1"/>
  <c r="AI75" i="216" s="1"/>
  <c r="AK75" i="216" s="1"/>
  <c r="AG79" i="216"/>
  <c r="AG84" i="216"/>
  <c r="Q33" i="218"/>
  <c r="Q30" i="218"/>
  <c r="AG76" i="216"/>
  <c r="AH76" i="216" s="1"/>
  <c r="AI76" i="216" s="1"/>
  <c r="AK76" i="216" s="1"/>
  <c r="AG81" i="216"/>
  <c r="AG83" i="216"/>
  <c r="AG84" i="218"/>
  <c r="AG80" i="218"/>
  <c r="AG78" i="218"/>
  <c r="AG83" i="218"/>
  <c r="AG79" i="218"/>
  <c r="AG77" i="218"/>
  <c r="AG86" i="218"/>
  <c r="AG75" i="218"/>
  <c r="AH75" i="218" s="1"/>
  <c r="AI75" i="218" s="1"/>
  <c r="AK75" i="218" s="1"/>
  <c r="AG76" i="218"/>
  <c r="AH76" i="218" s="1"/>
  <c r="AI76" i="218" s="1"/>
  <c r="AK76" i="218" s="1"/>
  <c r="AG81" i="218"/>
  <c r="AG82" i="218"/>
  <c r="AG84" i="219"/>
  <c r="AG80" i="219"/>
  <c r="AG75" i="219"/>
  <c r="AH75" i="219" s="1"/>
  <c r="AI75" i="219" s="1"/>
  <c r="AK75" i="219" s="1"/>
  <c r="F45" i="220"/>
  <c r="Q47" i="220" s="1"/>
  <c r="AG76" i="219"/>
  <c r="AH76" i="219" s="1"/>
  <c r="AI76" i="219" s="1"/>
  <c r="AK76" i="219" s="1"/>
  <c r="AG82" i="219"/>
  <c r="AG75" i="217"/>
  <c r="AH75" i="217" s="1"/>
  <c r="AI75" i="217" s="1"/>
  <c r="AK75" i="217" s="1"/>
  <c r="AG81" i="217"/>
  <c r="AG77" i="219"/>
  <c r="AG79" i="219"/>
  <c r="AG81" i="219"/>
  <c r="AG86" i="219"/>
  <c r="AG85" i="220"/>
  <c r="AG81" i="220"/>
  <c r="AG83" i="220"/>
  <c r="AG79" i="220"/>
  <c r="AG77" i="220"/>
  <c r="AG76" i="220"/>
  <c r="AH76" i="220" s="1"/>
  <c r="AI76" i="220" s="1"/>
  <c r="AK76" i="220" s="1"/>
  <c r="AG85" i="219"/>
  <c r="Q45" i="221"/>
  <c r="AG85" i="221"/>
  <c r="AG86" i="221"/>
  <c r="AG81" i="221"/>
  <c r="AG75" i="221"/>
  <c r="AH75" i="221" s="1"/>
  <c r="AI75" i="221" s="1"/>
  <c r="AK75" i="221" s="1"/>
  <c r="AG84" i="221"/>
  <c r="AG80" i="221"/>
  <c r="AG78" i="221"/>
  <c r="Q33" i="222"/>
  <c r="Q30" i="222"/>
  <c r="Q45" i="223"/>
  <c r="F45" i="223"/>
  <c r="Q47" i="223" s="1"/>
  <c r="F59" i="221"/>
  <c r="AG76" i="221"/>
  <c r="AH76" i="221" s="1"/>
  <c r="AI76" i="221" s="1"/>
  <c r="AK76" i="221" s="1"/>
  <c r="AG77" i="221"/>
  <c r="AG82" i="221"/>
  <c r="AG83" i="221"/>
  <c r="AG75" i="222"/>
  <c r="AH75" i="222" s="1"/>
  <c r="AI75" i="222" s="1"/>
  <c r="AK75" i="222" s="1"/>
  <c r="AG81" i="222"/>
  <c r="AG82" i="222"/>
  <c r="Q33" i="223"/>
  <c r="Q30" i="223"/>
  <c r="AG83" i="222"/>
  <c r="AG86" i="222"/>
  <c r="AG80" i="222"/>
  <c r="AG78" i="222"/>
  <c r="AG84" i="222"/>
  <c r="AG79" i="222"/>
  <c r="AG86" i="223"/>
  <c r="AG82" i="223"/>
  <c r="AG76" i="223"/>
  <c r="AH76" i="223" s="1"/>
  <c r="AI76" i="223" s="1"/>
  <c r="AK76" i="223" s="1"/>
  <c r="AG79" i="223"/>
  <c r="AG84" i="223"/>
  <c r="AG75" i="207"/>
  <c r="AH75" i="207" s="1"/>
  <c r="AI75" i="207" s="1"/>
  <c r="AK75" i="207" s="1"/>
  <c r="AG81" i="207"/>
  <c r="AG85" i="207"/>
  <c r="AG76" i="207"/>
  <c r="AH76" i="207" s="1"/>
  <c r="AI76" i="207" s="1"/>
  <c r="AK76" i="207" s="1"/>
  <c r="AG82" i="207"/>
  <c r="AG86" i="207"/>
  <c r="AG77" i="207"/>
  <c r="AG79" i="207"/>
  <c r="AN76" i="222" l="1"/>
  <c r="U73" i="222"/>
  <c r="AS75" i="209"/>
  <c r="AP75" i="220"/>
  <c r="AO75" i="220"/>
  <c r="AN75" i="220"/>
  <c r="U73" i="217"/>
  <c r="AQ75" i="220"/>
  <c r="AS75" i="215"/>
  <c r="S73" i="215"/>
  <c r="AM76" i="211"/>
  <c r="AS76" i="222"/>
  <c r="AM76" i="222"/>
  <c r="AP75" i="209"/>
  <c r="AO76" i="222"/>
  <c r="AQ76" i="222"/>
  <c r="AO76" i="210"/>
  <c r="S73" i="209"/>
  <c r="AP76" i="222"/>
  <c r="AP76" i="217"/>
  <c r="AN75" i="209"/>
  <c r="AM76" i="210"/>
  <c r="AQ76" i="217"/>
  <c r="U73" i="210"/>
  <c r="AO75" i="209"/>
  <c r="AQ75" i="209"/>
  <c r="AN76" i="217"/>
  <c r="AN76" i="210"/>
  <c r="AH82" i="209"/>
  <c r="AI82" i="209" s="1"/>
  <c r="AK82" i="209" s="1"/>
  <c r="AO82" i="209" s="1"/>
  <c r="AP75" i="212"/>
  <c r="AN75" i="212"/>
  <c r="AR75" i="220"/>
  <c r="S73" i="220"/>
  <c r="S73" i="212"/>
  <c r="AR75" i="212"/>
  <c r="AS75" i="220"/>
  <c r="AS76" i="217"/>
  <c r="AR76" i="217"/>
  <c r="AH79" i="210"/>
  <c r="AI79" i="210" s="1"/>
  <c r="AK79" i="210" s="1"/>
  <c r="AR79" i="210" s="1"/>
  <c r="AO75" i="212"/>
  <c r="AQ76" i="210"/>
  <c r="AR76" i="210"/>
  <c r="AR75" i="209"/>
  <c r="AH80" i="217"/>
  <c r="AI80" i="217" s="1"/>
  <c r="AK80" i="217" s="1"/>
  <c r="AS80" i="217" s="1"/>
  <c r="AO75" i="215"/>
  <c r="AM75" i="215"/>
  <c r="AS76" i="211"/>
  <c r="AQ76" i="211"/>
  <c r="AH77" i="217"/>
  <c r="AI77" i="217" s="1"/>
  <c r="AK77" i="217" s="1"/>
  <c r="AM77" i="217" s="1"/>
  <c r="AP75" i="215"/>
  <c r="AQ75" i="215"/>
  <c r="AO76" i="211"/>
  <c r="AN76" i="211"/>
  <c r="AH81" i="217"/>
  <c r="AI81" i="217" s="1"/>
  <c r="AK81" i="217" s="1"/>
  <c r="AO81" i="217" s="1"/>
  <c r="AN75" i="215"/>
  <c r="AP76" i="211"/>
  <c r="AO76" i="217"/>
  <c r="AH85" i="212"/>
  <c r="AI85" i="212" s="1"/>
  <c r="AK85" i="212" s="1"/>
  <c r="AR85" i="212" s="1"/>
  <c r="AH77" i="212"/>
  <c r="AI77" i="212" s="1"/>
  <c r="AK77" i="212" s="1"/>
  <c r="AP77" i="212" s="1"/>
  <c r="AP76" i="210"/>
  <c r="U73" i="211"/>
  <c r="AH84" i="210"/>
  <c r="AI84" i="210" s="1"/>
  <c r="AK84" i="210" s="1"/>
  <c r="AQ84" i="210" s="1"/>
  <c r="AH79" i="207"/>
  <c r="AI79" i="207" s="1"/>
  <c r="AK79" i="207" s="1"/>
  <c r="AA73" i="207" s="1"/>
  <c r="AH83" i="219"/>
  <c r="AI83" i="219" s="1"/>
  <c r="AK83" i="219" s="1"/>
  <c r="AP83" i="219" s="1"/>
  <c r="AH81" i="215"/>
  <c r="AI81" i="215" s="1"/>
  <c r="AK81" i="215" s="1"/>
  <c r="AQ81" i="215" s="1"/>
  <c r="AH79" i="215"/>
  <c r="AI79" i="215" s="1"/>
  <c r="AK79" i="215" s="1"/>
  <c r="AO79" i="215" s="1"/>
  <c r="AH79" i="223"/>
  <c r="AI79" i="223" s="1"/>
  <c r="AK79" i="223" s="1"/>
  <c r="AR79" i="223" s="1"/>
  <c r="AH77" i="223"/>
  <c r="AI77" i="223" s="1"/>
  <c r="AK77" i="223" s="1"/>
  <c r="AN77" i="223" s="1"/>
  <c r="AH78" i="222"/>
  <c r="AI78" i="222" s="1"/>
  <c r="AK78" i="222" s="1"/>
  <c r="AS78" i="222" s="1"/>
  <c r="AH77" i="221"/>
  <c r="AI77" i="221" s="1"/>
  <c r="AK77" i="221" s="1"/>
  <c r="AN77" i="221" s="1"/>
  <c r="AH79" i="219"/>
  <c r="AI79" i="219" s="1"/>
  <c r="AK79" i="219" s="1"/>
  <c r="AR79" i="219" s="1"/>
  <c r="AH82" i="219"/>
  <c r="AI82" i="219" s="1"/>
  <c r="AK82" i="219" s="1"/>
  <c r="AS82" i="219" s="1"/>
  <c r="AH77" i="213"/>
  <c r="AI77" i="213" s="1"/>
  <c r="AK77" i="213" s="1"/>
  <c r="AS77" i="213" s="1"/>
  <c r="AH82" i="213"/>
  <c r="AI82" i="213" s="1"/>
  <c r="AK82" i="213" s="1"/>
  <c r="AR82" i="213" s="1"/>
  <c r="AH85" i="210"/>
  <c r="AI85" i="210" s="1"/>
  <c r="AK85" i="210" s="1"/>
  <c r="AA79" i="210" s="1"/>
  <c r="AH78" i="223"/>
  <c r="AI78" i="223" s="1"/>
  <c r="AK78" i="223" s="1"/>
  <c r="AO78" i="223" s="1"/>
  <c r="AH79" i="220"/>
  <c r="AI79" i="220" s="1"/>
  <c r="AK79" i="220" s="1"/>
  <c r="AA73" i="220" s="1"/>
  <c r="AH86" i="219"/>
  <c r="AI86" i="219" s="1"/>
  <c r="AK86" i="219" s="1"/>
  <c r="AS86" i="219" s="1"/>
  <c r="AH82" i="214"/>
  <c r="AI82" i="214" s="1"/>
  <c r="AK82" i="214" s="1"/>
  <c r="AR82" i="214" s="1"/>
  <c r="AH84" i="213"/>
  <c r="AI84" i="213" s="1"/>
  <c r="AK84" i="213" s="1"/>
  <c r="AS84" i="213" s="1"/>
  <c r="AH77" i="215"/>
  <c r="AI77" i="215" s="1"/>
  <c r="AK77" i="215" s="1"/>
  <c r="AP77" i="215" s="1"/>
  <c r="AH86" i="209"/>
  <c r="AI86" i="209" s="1"/>
  <c r="AK86" i="209" s="1"/>
  <c r="AP86" i="209" s="1"/>
  <c r="AH83" i="210"/>
  <c r="AI83" i="210" s="1"/>
  <c r="AK83" i="210" s="1"/>
  <c r="AM83" i="210" s="1"/>
  <c r="AH80" i="209"/>
  <c r="AI80" i="209" s="1"/>
  <c r="AK80" i="209" s="1"/>
  <c r="AN80" i="209" s="1"/>
  <c r="AH84" i="223"/>
  <c r="AI84" i="223" s="1"/>
  <c r="AK84" i="223" s="1"/>
  <c r="AH86" i="223"/>
  <c r="AI86" i="223" s="1"/>
  <c r="AK86" i="223" s="1"/>
  <c r="AH80" i="223"/>
  <c r="AI80" i="223" s="1"/>
  <c r="AK80" i="223" s="1"/>
  <c r="AH84" i="222"/>
  <c r="AI84" i="222" s="1"/>
  <c r="AK84" i="222" s="1"/>
  <c r="AH83" i="222"/>
  <c r="AI83" i="222" s="1"/>
  <c r="AK83" i="222" s="1"/>
  <c r="AR76" i="221"/>
  <c r="AN76" i="221"/>
  <c r="AQ76" i="221"/>
  <c r="AM76" i="221"/>
  <c r="U73" i="221"/>
  <c r="AS76" i="221"/>
  <c r="AP76" i="221"/>
  <c r="AO76" i="221"/>
  <c r="AS75" i="221"/>
  <c r="AO75" i="221"/>
  <c r="AR75" i="221"/>
  <c r="AN75" i="221"/>
  <c r="AQ75" i="221"/>
  <c r="AP75" i="221"/>
  <c r="AM75" i="221"/>
  <c r="S73" i="221"/>
  <c r="AH79" i="221"/>
  <c r="AI79" i="221" s="1"/>
  <c r="AK79" i="221" s="1"/>
  <c r="AH83" i="220"/>
  <c r="AI83" i="220" s="1"/>
  <c r="AK83" i="220" s="1"/>
  <c r="AH81" i="219"/>
  <c r="AI81" i="219" s="1"/>
  <c r="AK81" i="219" s="1"/>
  <c r="AS75" i="217"/>
  <c r="AO75" i="217"/>
  <c r="AR75" i="217"/>
  <c r="AN75" i="217"/>
  <c r="AQ75" i="217"/>
  <c r="AP75" i="217"/>
  <c r="S73" i="217"/>
  <c r="AM75" i="217"/>
  <c r="AP76" i="219"/>
  <c r="AS76" i="219"/>
  <c r="AO76" i="219"/>
  <c r="AR76" i="219"/>
  <c r="AN76" i="219"/>
  <c r="AM76" i="219"/>
  <c r="U73" i="219"/>
  <c r="AQ76" i="219"/>
  <c r="AQ75" i="219"/>
  <c r="AM75" i="219"/>
  <c r="S73" i="219"/>
  <c r="AP75" i="219"/>
  <c r="AS75" i="219"/>
  <c r="AO75" i="219"/>
  <c r="AR75" i="219"/>
  <c r="AN75" i="219"/>
  <c r="AH82" i="218"/>
  <c r="AI82" i="218" s="1"/>
  <c r="AK82" i="218" s="1"/>
  <c r="AH86" i="218"/>
  <c r="AI86" i="218" s="1"/>
  <c r="AK86" i="218" s="1"/>
  <c r="AH78" i="218"/>
  <c r="AI78" i="218" s="1"/>
  <c r="AK78" i="218" s="1"/>
  <c r="AH79" i="217"/>
  <c r="AI79" i="217" s="1"/>
  <c r="AK79" i="217" s="1"/>
  <c r="AH84" i="216"/>
  <c r="AI84" i="216" s="1"/>
  <c r="AK84" i="216" s="1"/>
  <c r="AH86" i="216"/>
  <c r="AI86" i="216" s="1"/>
  <c r="AK86" i="216" s="1"/>
  <c r="AH78" i="217"/>
  <c r="AI78" i="217" s="1"/>
  <c r="AK78" i="217" s="1"/>
  <c r="AH82" i="217"/>
  <c r="AI82" i="217" s="1"/>
  <c r="AK82" i="217" s="1"/>
  <c r="AH86" i="213"/>
  <c r="AI86" i="213" s="1"/>
  <c r="AK86" i="213" s="1"/>
  <c r="AH81" i="211"/>
  <c r="AI81" i="211" s="1"/>
  <c r="AK81" i="211" s="1"/>
  <c r="AR75" i="214"/>
  <c r="AN75" i="214"/>
  <c r="AQ75" i="214"/>
  <c r="AP75" i="214"/>
  <c r="S73" i="214"/>
  <c r="AO75" i="214"/>
  <c r="AS75" i="214"/>
  <c r="AM75" i="214"/>
  <c r="AH80" i="211"/>
  <c r="AI80" i="211" s="1"/>
  <c r="AK80" i="211" s="1"/>
  <c r="AH85" i="217"/>
  <c r="AI85" i="217" s="1"/>
  <c r="AK85" i="217" s="1"/>
  <c r="AS77" i="215"/>
  <c r="AH83" i="214"/>
  <c r="AI83" i="214" s="1"/>
  <c r="AK83" i="214" s="1"/>
  <c r="AH81" i="213"/>
  <c r="AI81" i="213" s="1"/>
  <c r="AK81" i="213" s="1"/>
  <c r="AH79" i="214"/>
  <c r="AI79" i="214" s="1"/>
  <c r="AK79" i="214" s="1"/>
  <c r="AH86" i="211"/>
  <c r="AI86" i="211" s="1"/>
  <c r="AK86" i="211" s="1"/>
  <c r="AS82" i="209"/>
  <c r="AR82" i="209"/>
  <c r="AH83" i="209"/>
  <c r="AI83" i="209" s="1"/>
  <c r="AK83" i="209" s="1"/>
  <c r="AH81" i="212"/>
  <c r="AI81" i="212" s="1"/>
  <c r="AK81" i="212" s="1"/>
  <c r="AH86" i="212"/>
  <c r="AI86" i="212" s="1"/>
  <c r="AK86" i="212" s="1"/>
  <c r="AH78" i="212"/>
  <c r="AI78" i="212" s="1"/>
  <c r="AK78" i="212" s="1"/>
  <c r="AH83" i="211"/>
  <c r="AI83" i="211" s="1"/>
  <c r="AK83" i="211" s="1"/>
  <c r="AH78" i="210"/>
  <c r="AI78" i="210" s="1"/>
  <c r="AK78" i="210" s="1"/>
  <c r="AH77" i="210"/>
  <c r="AI77" i="210" s="1"/>
  <c r="AK77" i="210" s="1"/>
  <c r="AH85" i="223"/>
  <c r="AI85" i="223" s="1"/>
  <c r="AK85" i="223" s="1"/>
  <c r="AH82" i="222"/>
  <c r="AI82" i="222" s="1"/>
  <c r="AK82" i="222" s="1"/>
  <c r="AH83" i="221"/>
  <c r="AI83" i="221" s="1"/>
  <c r="AK83" i="221" s="1"/>
  <c r="AH78" i="221"/>
  <c r="AI78" i="221" s="1"/>
  <c r="AK78" i="221" s="1"/>
  <c r="AH81" i="221"/>
  <c r="AI81" i="221" s="1"/>
  <c r="AK81" i="221" s="1"/>
  <c r="AH80" i="220"/>
  <c r="AI80" i="220" s="1"/>
  <c r="AK80" i="220" s="1"/>
  <c r="AP76" i="220"/>
  <c r="AS76" i="220"/>
  <c r="AO76" i="220"/>
  <c r="AN76" i="220"/>
  <c r="AM76" i="220"/>
  <c r="AR76" i="220"/>
  <c r="AQ76" i="220"/>
  <c r="U73" i="220"/>
  <c r="AH81" i="220"/>
  <c r="AI81" i="220" s="1"/>
  <c r="AK81" i="220" s="1"/>
  <c r="AH77" i="222"/>
  <c r="AI77" i="222" s="1"/>
  <c r="AK77" i="222" s="1"/>
  <c r="AH85" i="222"/>
  <c r="AI85" i="222" s="1"/>
  <c r="AK85" i="222" s="1"/>
  <c r="AH80" i="219"/>
  <c r="AI80" i="219" s="1"/>
  <c r="AK80" i="219" s="1"/>
  <c r="AH81" i="218"/>
  <c r="AI81" i="218" s="1"/>
  <c r="AK81" i="218" s="1"/>
  <c r="AH77" i="218"/>
  <c r="AI77" i="218" s="1"/>
  <c r="AK77" i="218" s="1"/>
  <c r="AH80" i="218"/>
  <c r="AI80" i="218" s="1"/>
  <c r="AK80" i="218" s="1"/>
  <c r="AH83" i="216"/>
  <c r="AI83" i="216" s="1"/>
  <c r="AK83" i="216" s="1"/>
  <c r="AH79" i="216"/>
  <c r="AI79" i="216" s="1"/>
  <c r="AK79" i="216" s="1"/>
  <c r="AH78" i="220"/>
  <c r="AI78" i="220" s="1"/>
  <c r="AK78" i="220" s="1"/>
  <c r="AH80" i="216"/>
  <c r="AI80" i="216" s="1"/>
  <c r="AK80" i="216" s="1"/>
  <c r="AS75" i="211"/>
  <c r="AO75" i="211"/>
  <c r="AR75" i="211"/>
  <c r="AN75" i="211"/>
  <c r="AQ75" i="211"/>
  <c r="AM75" i="211"/>
  <c r="S73" i="211"/>
  <c r="AP75" i="211"/>
  <c r="AH78" i="211"/>
  <c r="AI78" i="211" s="1"/>
  <c r="AK78" i="211" s="1"/>
  <c r="AQ76" i="214"/>
  <c r="AM76" i="214"/>
  <c r="U73" i="214"/>
  <c r="AO76" i="214"/>
  <c r="AS76" i="214"/>
  <c r="AN76" i="214"/>
  <c r="AR76" i="214"/>
  <c r="AP76" i="214"/>
  <c r="AH85" i="213"/>
  <c r="AI85" i="213" s="1"/>
  <c r="AK85" i="213" s="1"/>
  <c r="AH86" i="215"/>
  <c r="AI86" i="215" s="1"/>
  <c r="AK86" i="215" s="1"/>
  <c r="AH78" i="214"/>
  <c r="AI78" i="214" s="1"/>
  <c r="AK78" i="214" s="1"/>
  <c r="AH82" i="211"/>
  <c r="AI82" i="211" s="1"/>
  <c r="AK82" i="211" s="1"/>
  <c r="AO85" i="212"/>
  <c r="AH80" i="212"/>
  <c r="AI80" i="212" s="1"/>
  <c r="AK80" i="212" s="1"/>
  <c r="AH79" i="211"/>
  <c r="AI79" i="211" s="1"/>
  <c r="AK79" i="211" s="1"/>
  <c r="AS76" i="223"/>
  <c r="AO76" i="223"/>
  <c r="AP76" i="223"/>
  <c r="AN76" i="223"/>
  <c r="U73" i="223"/>
  <c r="AR76" i="223"/>
  <c r="AM76" i="223"/>
  <c r="AQ76" i="223"/>
  <c r="AH83" i="223"/>
  <c r="AI83" i="223" s="1"/>
  <c r="AK83" i="223" s="1"/>
  <c r="AP75" i="223"/>
  <c r="AR75" i="223"/>
  <c r="AM75" i="223"/>
  <c r="AQ75" i="223"/>
  <c r="AO75" i="223"/>
  <c r="S73" i="223"/>
  <c r="AS75" i="223"/>
  <c r="AN75" i="223"/>
  <c r="AH80" i="222"/>
  <c r="AI80" i="222" s="1"/>
  <c r="AK80" i="222" s="1"/>
  <c r="AH81" i="222"/>
  <c r="AI81" i="222" s="1"/>
  <c r="AK81" i="222" s="1"/>
  <c r="AH82" i="221"/>
  <c r="AI82" i="221" s="1"/>
  <c r="AK82" i="221" s="1"/>
  <c r="AH80" i="221"/>
  <c r="AI80" i="221" s="1"/>
  <c r="AK80" i="221" s="1"/>
  <c r="AH86" i="221"/>
  <c r="AI86" i="221" s="1"/>
  <c r="AK86" i="221" s="1"/>
  <c r="AH85" i="219"/>
  <c r="AI85" i="219" s="1"/>
  <c r="AK85" i="219" s="1"/>
  <c r="AH77" i="220"/>
  <c r="AI77" i="220" s="1"/>
  <c r="AK77" i="220" s="1"/>
  <c r="AH85" i="220"/>
  <c r="AI85" i="220" s="1"/>
  <c r="AK85" i="220" s="1"/>
  <c r="AH77" i="219"/>
  <c r="AI77" i="219" s="1"/>
  <c r="AK77" i="219" s="1"/>
  <c r="AH86" i="220"/>
  <c r="AI86" i="220" s="1"/>
  <c r="AK86" i="220" s="1"/>
  <c r="AH84" i="220"/>
  <c r="AI84" i="220" s="1"/>
  <c r="AK84" i="220" s="1"/>
  <c r="AH84" i="219"/>
  <c r="AI84" i="219" s="1"/>
  <c r="AK84" i="219" s="1"/>
  <c r="AQ76" i="218"/>
  <c r="AM76" i="218"/>
  <c r="U73" i="218"/>
  <c r="AP76" i="218"/>
  <c r="AN76" i="218"/>
  <c r="AS76" i="218"/>
  <c r="AR76" i="218"/>
  <c r="AO76" i="218"/>
  <c r="AH79" i="218"/>
  <c r="AI79" i="218" s="1"/>
  <c r="AK79" i="218" s="1"/>
  <c r="AH84" i="218"/>
  <c r="AI84" i="218" s="1"/>
  <c r="AK84" i="218" s="1"/>
  <c r="AH81" i="216"/>
  <c r="AI81" i="216" s="1"/>
  <c r="AK81" i="216" s="1"/>
  <c r="AH84" i="217"/>
  <c r="AI84" i="217" s="1"/>
  <c r="AK84" i="217" s="1"/>
  <c r="AP75" i="216"/>
  <c r="AS75" i="216"/>
  <c r="AO75" i="216"/>
  <c r="AR75" i="216"/>
  <c r="AN75" i="216"/>
  <c r="AQ75" i="216"/>
  <c r="AM75" i="216"/>
  <c r="S73" i="216"/>
  <c r="AH78" i="219"/>
  <c r="AI78" i="219" s="1"/>
  <c r="AK78" i="219" s="1"/>
  <c r="AH78" i="216"/>
  <c r="AI78" i="216" s="1"/>
  <c r="AK78" i="216" s="1"/>
  <c r="AH84" i="215"/>
  <c r="AI84" i="215" s="1"/>
  <c r="AK84" i="215" s="1"/>
  <c r="AH77" i="214"/>
  <c r="AI77" i="214" s="1"/>
  <c r="AK77" i="214" s="1"/>
  <c r="AH79" i="213"/>
  <c r="AI79" i="213" s="1"/>
  <c r="AK79" i="213" s="1"/>
  <c r="AH86" i="217"/>
  <c r="AI86" i="217" s="1"/>
  <c r="AK86" i="217" s="1"/>
  <c r="AP76" i="213"/>
  <c r="AS76" i="213"/>
  <c r="AO76" i="213"/>
  <c r="AR76" i="213"/>
  <c r="AN76" i="213"/>
  <c r="AQ76" i="213"/>
  <c r="AM76" i="213"/>
  <c r="U73" i="213"/>
  <c r="AH81" i="210"/>
  <c r="AI81" i="210" s="1"/>
  <c r="AK81" i="210" s="1"/>
  <c r="AH78" i="215"/>
  <c r="AI78" i="215" s="1"/>
  <c r="AK78" i="215" s="1"/>
  <c r="AH83" i="215"/>
  <c r="AI83" i="215" s="1"/>
  <c r="AK83" i="215" s="1"/>
  <c r="AH83" i="213"/>
  <c r="AI83" i="213" s="1"/>
  <c r="AK83" i="213" s="1"/>
  <c r="AH77" i="216"/>
  <c r="AI77" i="216" s="1"/>
  <c r="AK77" i="216" s="1"/>
  <c r="AH86" i="214"/>
  <c r="AI86" i="214" s="1"/>
  <c r="AK86" i="214" s="1"/>
  <c r="AH80" i="214"/>
  <c r="AI80" i="214" s="1"/>
  <c r="AK80" i="214" s="1"/>
  <c r="AH77" i="209"/>
  <c r="AI77" i="209" s="1"/>
  <c r="AK77" i="209" s="1"/>
  <c r="AQ76" i="212"/>
  <c r="AM76" i="212"/>
  <c r="U73" i="212"/>
  <c r="AP76" i="212"/>
  <c r="AS76" i="212"/>
  <c r="AO76" i="212"/>
  <c r="AR76" i="212"/>
  <c r="AN76" i="212"/>
  <c r="AH79" i="212"/>
  <c r="AI79" i="212" s="1"/>
  <c r="AK79" i="212" s="1"/>
  <c r="AH84" i="212"/>
  <c r="AI84" i="212" s="1"/>
  <c r="AK84" i="212" s="1"/>
  <c r="AH84" i="209"/>
  <c r="AI84" i="209" s="1"/>
  <c r="AK84" i="209" s="1"/>
  <c r="AH85" i="215"/>
  <c r="AI85" i="215" s="1"/>
  <c r="AK85" i="215" s="1"/>
  <c r="AH77" i="211"/>
  <c r="AI77" i="211" s="1"/>
  <c r="AK77" i="211" s="1"/>
  <c r="AH78" i="213"/>
  <c r="AI78" i="213" s="1"/>
  <c r="AK78" i="213" s="1"/>
  <c r="AH81" i="209"/>
  <c r="AI81" i="209" s="1"/>
  <c r="AK81" i="209" s="1"/>
  <c r="AH85" i="211"/>
  <c r="AI85" i="211" s="1"/>
  <c r="AK85" i="211" s="1"/>
  <c r="AH82" i="223"/>
  <c r="AI82" i="223" s="1"/>
  <c r="AK82" i="223" s="1"/>
  <c r="AH81" i="223"/>
  <c r="AI81" i="223" s="1"/>
  <c r="AK81" i="223" s="1"/>
  <c r="AH79" i="222"/>
  <c r="AI79" i="222" s="1"/>
  <c r="AK79" i="222" s="1"/>
  <c r="AH86" i="222"/>
  <c r="AI86" i="222" s="1"/>
  <c r="AK86" i="222" s="1"/>
  <c r="AR75" i="222"/>
  <c r="AN75" i="222"/>
  <c r="AS75" i="222"/>
  <c r="AM75" i="222"/>
  <c r="AQ75" i="222"/>
  <c r="AP75" i="222"/>
  <c r="S73" i="222"/>
  <c r="AO75" i="222"/>
  <c r="AH84" i="221"/>
  <c r="AI84" i="221" s="1"/>
  <c r="AK84" i="221" s="1"/>
  <c r="AH85" i="221"/>
  <c r="AI85" i="221" s="1"/>
  <c r="AK85" i="221" s="1"/>
  <c r="AS79" i="220"/>
  <c r="AO79" i="220"/>
  <c r="AN79" i="220"/>
  <c r="AQ79" i="220"/>
  <c r="AH82" i="220"/>
  <c r="AI82" i="220" s="1"/>
  <c r="AK82" i="220" s="1"/>
  <c r="AR75" i="218"/>
  <c r="AN75" i="218"/>
  <c r="AQ75" i="218"/>
  <c r="AM75" i="218"/>
  <c r="S73" i="218"/>
  <c r="AS75" i="218"/>
  <c r="AP75" i="218"/>
  <c r="AO75" i="218"/>
  <c r="AH83" i="218"/>
  <c r="AI83" i="218" s="1"/>
  <c r="AK83" i="218" s="1"/>
  <c r="AS76" i="216"/>
  <c r="AO76" i="216"/>
  <c r="AQ76" i="216"/>
  <c r="AP76" i="216"/>
  <c r="AN76" i="216"/>
  <c r="U73" i="216"/>
  <c r="AR76" i="216"/>
  <c r="AM76" i="216"/>
  <c r="AH83" i="217"/>
  <c r="AI83" i="217" s="1"/>
  <c r="AK83" i="217" s="1"/>
  <c r="AH82" i="216"/>
  <c r="AI82" i="216" s="1"/>
  <c r="AK82" i="216" s="1"/>
  <c r="AH85" i="218"/>
  <c r="AI85" i="218" s="1"/>
  <c r="AK85" i="218" s="1"/>
  <c r="AH82" i="215"/>
  <c r="AI82" i="215" s="1"/>
  <c r="AK82" i="215" s="1"/>
  <c r="AH85" i="216"/>
  <c r="AI85" i="216" s="1"/>
  <c r="AK85" i="216" s="1"/>
  <c r="AH84" i="211"/>
  <c r="AI84" i="211" s="1"/>
  <c r="AK84" i="211" s="1"/>
  <c r="AH75" i="210"/>
  <c r="AI75" i="210" s="1"/>
  <c r="AK75" i="210" s="1"/>
  <c r="AH86" i="210"/>
  <c r="AI86" i="210" s="1"/>
  <c r="AK86" i="210" s="1"/>
  <c r="AH82" i="210"/>
  <c r="AI82" i="210" s="1"/>
  <c r="AK82" i="210" s="1"/>
  <c r="AP76" i="215"/>
  <c r="AS76" i="215"/>
  <c r="AN76" i="215"/>
  <c r="U73" i="215"/>
  <c r="AR76" i="215"/>
  <c r="AM76" i="215"/>
  <c r="AQ76" i="215"/>
  <c r="AO76" i="215"/>
  <c r="AH85" i="214"/>
  <c r="AI85" i="214" s="1"/>
  <c r="AK85" i="214" s="1"/>
  <c r="AQ75" i="213"/>
  <c r="AM75" i="213"/>
  <c r="S73" i="213"/>
  <c r="AP75" i="213"/>
  <c r="AS75" i="213"/>
  <c r="AO75" i="213"/>
  <c r="AR75" i="213"/>
  <c r="AN75" i="213"/>
  <c r="AH81" i="214"/>
  <c r="AI81" i="214" s="1"/>
  <c r="AK81" i="214" s="1"/>
  <c r="AH84" i="214"/>
  <c r="AI84" i="214" s="1"/>
  <c r="AK84" i="214" s="1"/>
  <c r="AP76" i="209"/>
  <c r="AS76" i="209"/>
  <c r="AO76" i="209"/>
  <c r="AM76" i="209"/>
  <c r="AR76" i="209"/>
  <c r="AQ76" i="209"/>
  <c r="U73" i="209"/>
  <c r="AN76" i="209"/>
  <c r="AH79" i="209"/>
  <c r="AI79" i="209" s="1"/>
  <c r="AK79" i="209" s="1"/>
  <c r="AH80" i="215"/>
  <c r="AI80" i="215" s="1"/>
  <c r="AK80" i="215" s="1"/>
  <c r="AH82" i="212"/>
  <c r="AI82" i="212" s="1"/>
  <c r="AK82" i="212" s="1"/>
  <c r="AH83" i="212"/>
  <c r="AI83" i="212" s="1"/>
  <c r="AK83" i="212" s="1"/>
  <c r="AH78" i="209"/>
  <c r="AI78" i="209" s="1"/>
  <c r="AK78" i="209" s="1"/>
  <c r="AH80" i="213"/>
  <c r="AI80" i="213" s="1"/>
  <c r="AK80" i="213" s="1"/>
  <c r="AH80" i="210"/>
  <c r="AI80" i="210" s="1"/>
  <c r="AK80" i="210" s="1"/>
  <c r="AH85" i="209"/>
  <c r="AI85" i="209" s="1"/>
  <c r="AK85" i="209" s="1"/>
  <c r="AH84" i="207"/>
  <c r="AI84" i="207" s="1"/>
  <c r="AK84" i="207" s="1"/>
  <c r="AH77" i="207"/>
  <c r="AI77" i="207" s="1"/>
  <c r="AK77" i="207" s="1"/>
  <c r="AH80" i="207"/>
  <c r="AI80" i="207" s="1"/>
  <c r="AK80" i="207" s="1"/>
  <c r="AH86" i="207"/>
  <c r="AI86" i="207" s="1"/>
  <c r="AK86" i="207" s="1"/>
  <c r="AH81" i="207"/>
  <c r="AI81" i="207" s="1"/>
  <c r="AK81" i="207" s="1"/>
  <c r="AH78" i="207"/>
  <c r="AI78" i="207" s="1"/>
  <c r="AK78" i="207" s="1"/>
  <c r="AP76" i="207"/>
  <c r="AS76" i="207"/>
  <c r="AO76" i="207"/>
  <c r="AQ76" i="207"/>
  <c r="AM76" i="207"/>
  <c r="U73" i="207"/>
  <c r="AR76" i="207"/>
  <c r="AN76" i="207"/>
  <c r="AH85" i="207"/>
  <c r="AI85" i="207" s="1"/>
  <c r="AK85" i="207" s="1"/>
  <c r="AH82" i="207"/>
  <c r="AI82" i="207" s="1"/>
  <c r="AK82" i="207" s="1"/>
  <c r="AQ75" i="207"/>
  <c r="AM75" i="207"/>
  <c r="S73" i="207"/>
  <c r="AP75" i="207"/>
  <c r="AR75" i="207"/>
  <c r="AN75" i="207"/>
  <c r="AS75" i="207"/>
  <c r="AO75" i="207"/>
  <c r="AH83" i="207"/>
  <c r="AI83" i="207" s="1"/>
  <c r="AK83" i="207" s="1"/>
  <c r="AM80" i="217" l="1"/>
  <c r="AR77" i="215"/>
  <c r="AR82" i="219"/>
  <c r="AA79" i="212"/>
  <c r="AP80" i="217"/>
  <c r="AO82" i="219"/>
  <c r="AM83" i="219"/>
  <c r="AP77" i="223"/>
  <c r="AO83" i="219"/>
  <c r="AR77" i="223"/>
  <c r="AM85" i="212"/>
  <c r="AQ85" i="212"/>
  <c r="AS81" i="217"/>
  <c r="AS85" i="212"/>
  <c r="AN85" i="212"/>
  <c r="AP85" i="212"/>
  <c r="AO85" i="210"/>
  <c r="AP77" i="213"/>
  <c r="AM79" i="220"/>
  <c r="AR79" i="220"/>
  <c r="AM82" i="209"/>
  <c r="AP82" i="209"/>
  <c r="AN77" i="215"/>
  <c r="AP79" i="220"/>
  <c r="AN82" i="209"/>
  <c r="U79" i="209"/>
  <c r="W73" i="215"/>
  <c r="AQ77" i="215"/>
  <c r="AQ82" i="209"/>
  <c r="AM77" i="215"/>
  <c r="AO77" i="215"/>
  <c r="AS77" i="223"/>
  <c r="W73" i="223"/>
  <c r="AN80" i="217"/>
  <c r="U79" i="219"/>
  <c r="AM82" i="219"/>
  <c r="AR83" i="219"/>
  <c r="AQ80" i="217"/>
  <c r="AO80" i="217"/>
  <c r="AN82" i="219"/>
  <c r="AQ82" i="219"/>
  <c r="AN83" i="219"/>
  <c r="AQ83" i="219"/>
  <c r="AM77" i="223"/>
  <c r="AQ77" i="223"/>
  <c r="AC73" i="217"/>
  <c r="W79" i="219"/>
  <c r="AR80" i="217"/>
  <c r="AP82" i="219"/>
  <c r="AS83" i="219"/>
  <c r="AO77" i="223"/>
  <c r="AQ77" i="217"/>
  <c r="AQ79" i="207"/>
  <c r="Y79" i="210"/>
  <c r="AO79" i="207"/>
  <c r="AN81" i="217"/>
  <c r="AS80" i="209"/>
  <c r="AA73" i="210"/>
  <c r="Y73" i="223"/>
  <c r="AQ79" i="210"/>
  <c r="AN79" i="207"/>
  <c r="AS79" i="207"/>
  <c r="AP81" i="217"/>
  <c r="AR81" i="217"/>
  <c r="AM80" i="209"/>
  <c r="AS85" i="210"/>
  <c r="AP84" i="210"/>
  <c r="AN84" i="213"/>
  <c r="AS79" i="210"/>
  <c r="AP79" i="210"/>
  <c r="AP79" i="207"/>
  <c r="AR79" i="207"/>
  <c r="AQ81" i="217"/>
  <c r="S79" i="217"/>
  <c r="AR80" i="209"/>
  <c r="AS84" i="210"/>
  <c r="AO84" i="213"/>
  <c r="AS79" i="219"/>
  <c r="AO79" i="223"/>
  <c r="AO79" i="210"/>
  <c r="AN79" i="210"/>
  <c r="AM79" i="207"/>
  <c r="AM81" i="217"/>
  <c r="AO80" i="209"/>
  <c r="AQ85" i="210"/>
  <c r="AN84" i="210"/>
  <c r="AM79" i="210"/>
  <c r="AP80" i="209"/>
  <c r="AQ80" i="209"/>
  <c r="AN85" i="210"/>
  <c r="AP85" i="210"/>
  <c r="AR84" i="210"/>
  <c r="AM84" i="210"/>
  <c r="AM84" i="213"/>
  <c r="AQ84" i="213"/>
  <c r="AM79" i="219"/>
  <c r="AC73" i="209"/>
  <c r="AR85" i="210"/>
  <c r="AO84" i="210"/>
  <c r="AR84" i="213"/>
  <c r="AP84" i="213"/>
  <c r="AN79" i="219"/>
  <c r="AP79" i="219"/>
  <c r="AA73" i="223"/>
  <c r="AR78" i="223"/>
  <c r="AA73" i="219"/>
  <c r="W73" i="221"/>
  <c r="AP77" i="221"/>
  <c r="AR86" i="209"/>
  <c r="AS77" i="217"/>
  <c r="AR77" i="221"/>
  <c r="AM77" i="221"/>
  <c r="W79" i="210"/>
  <c r="AM82" i="213"/>
  <c r="AN77" i="217"/>
  <c r="AP77" i="217"/>
  <c r="AS77" i="221"/>
  <c r="AQ77" i="221"/>
  <c r="AQ83" i="210"/>
  <c r="AN79" i="215"/>
  <c r="AO77" i="217"/>
  <c r="W73" i="217"/>
  <c r="AO77" i="221"/>
  <c r="AS79" i="215"/>
  <c r="AR77" i="217"/>
  <c r="AS82" i="214"/>
  <c r="AP82" i="213"/>
  <c r="AM82" i="214"/>
  <c r="AP86" i="219"/>
  <c r="S79" i="215"/>
  <c r="AN77" i="213"/>
  <c r="AM86" i="219"/>
  <c r="AC79" i="209"/>
  <c r="AS81" i="215"/>
  <c r="W73" i="212"/>
  <c r="AM78" i="222"/>
  <c r="AR77" i="212"/>
  <c r="AN78" i="222"/>
  <c r="AS83" i="210"/>
  <c r="AN83" i="210"/>
  <c r="AQ79" i="215"/>
  <c r="AP79" i="215"/>
  <c r="AS82" i="213"/>
  <c r="AQ82" i="213"/>
  <c r="AO82" i="214"/>
  <c r="AQ82" i="214"/>
  <c r="AP83" i="210"/>
  <c r="AR83" i="210"/>
  <c r="AM79" i="215"/>
  <c r="AA73" i="215"/>
  <c r="AO82" i="213"/>
  <c r="AN82" i="213"/>
  <c r="U79" i="214"/>
  <c r="AP82" i="214"/>
  <c r="AO83" i="210"/>
  <c r="AR79" i="215"/>
  <c r="U79" i="213"/>
  <c r="AN82" i="214"/>
  <c r="W73" i="213"/>
  <c r="AR77" i="213"/>
  <c r="AR86" i="219"/>
  <c r="AQ86" i="219"/>
  <c r="AM77" i="212"/>
  <c r="AO77" i="212"/>
  <c r="AM86" i="209"/>
  <c r="AO86" i="209"/>
  <c r="AP81" i="215"/>
  <c r="AO81" i="215"/>
  <c r="AP78" i="222"/>
  <c r="AR78" i="222"/>
  <c r="AM77" i="213"/>
  <c r="AO77" i="213"/>
  <c r="AO86" i="219"/>
  <c r="AN86" i="219"/>
  <c r="AQ77" i="212"/>
  <c r="AS77" i="212"/>
  <c r="AN86" i="209"/>
  <c r="AS86" i="209"/>
  <c r="AR81" i="215"/>
  <c r="AM81" i="215"/>
  <c r="AQ78" i="222"/>
  <c r="AO78" i="222"/>
  <c r="AQ77" i="213"/>
  <c r="AC79" i="219"/>
  <c r="AN77" i="212"/>
  <c r="AQ86" i="209"/>
  <c r="AN81" i="215"/>
  <c r="Y73" i="222"/>
  <c r="AQ79" i="219"/>
  <c r="AQ79" i="223"/>
  <c r="AP79" i="223"/>
  <c r="AN78" i="223"/>
  <c r="AM78" i="223"/>
  <c r="AM79" i="223"/>
  <c r="AN79" i="223"/>
  <c r="AS78" i="223"/>
  <c r="AQ78" i="223"/>
  <c r="AM85" i="210"/>
  <c r="Y79" i="213"/>
  <c r="AO79" i="219"/>
  <c r="AS79" i="223"/>
  <c r="AP78" i="223"/>
  <c r="AR80" i="215"/>
  <c r="AN80" i="215"/>
  <c r="AQ80" i="215"/>
  <c r="AP80" i="215"/>
  <c r="AC73" i="215"/>
  <c r="AO80" i="215"/>
  <c r="AS80" i="215"/>
  <c r="AM80" i="215"/>
  <c r="AR81" i="214"/>
  <c r="AN81" i="214"/>
  <c r="AO81" i="214"/>
  <c r="S79" i="214"/>
  <c r="AS81" i="214"/>
  <c r="AM81" i="214"/>
  <c r="AQ81" i="214"/>
  <c r="AP81" i="214"/>
  <c r="AP79" i="222"/>
  <c r="AS79" i="222"/>
  <c r="AO79" i="222"/>
  <c r="AN79" i="222"/>
  <c r="AM79" i="222"/>
  <c r="AR79" i="222"/>
  <c r="AA73" i="222"/>
  <c r="AQ79" i="222"/>
  <c r="AP81" i="210"/>
  <c r="AS81" i="210"/>
  <c r="AO81" i="210"/>
  <c r="S79" i="210"/>
  <c r="AN81" i="210"/>
  <c r="AR81" i="210"/>
  <c r="AQ81" i="210"/>
  <c r="AM81" i="210"/>
  <c r="AR84" i="215"/>
  <c r="AN84" i="215"/>
  <c r="AP84" i="215"/>
  <c r="AO84" i="215"/>
  <c r="Y79" i="215"/>
  <c r="AS84" i="215"/>
  <c r="AM84" i="215"/>
  <c r="AQ84" i="215"/>
  <c r="AP81" i="216"/>
  <c r="AQ81" i="216"/>
  <c r="AO81" i="216"/>
  <c r="S79" i="216"/>
  <c r="AS81" i="216"/>
  <c r="AN81" i="216"/>
  <c r="AR81" i="216"/>
  <c r="AM81" i="216"/>
  <c r="AQ85" i="209"/>
  <c r="AM85" i="209"/>
  <c r="AP85" i="209"/>
  <c r="AO85" i="209"/>
  <c r="AN85" i="209"/>
  <c r="AS85" i="209"/>
  <c r="AR85" i="209"/>
  <c r="AA79" i="209"/>
  <c r="AR78" i="209"/>
  <c r="AN78" i="209"/>
  <c r="AQ78" i="209"/>
  <c r="AM78" i="209"/>
  <c r="Y73" i="209"/>
  <c r="AO78" i="209"/>
  <c r="AS78" i="209"/>
  <c r="AP78" i="209"/>
  <c r="AR85" i="214"/>
  <c r="AN85" i="214"/>
  <c r="AS85" i="214"/>
  <c r="AM85" i="214"/>
  <c r="AQ85" i="214"/>
  <c r="AA79" i="214"/>
  <c r="AP85" i="214"/>
  <c r="AO85" i="214"/>
  <c r="AP84" i="211"/>
  <c r="AS84" i="211"/>
  <c r="AO84" i="211"/>
  <c r="Y79" i="211"/>
  <c r="AR84" i="211"/>
  <c r="AN84" i="211"/>
  <c r="AQ84" i="211"/>
  <c r="AM84" i="211"/>
  <c r="AS82" i="216"/>
  <c r="AO82" i="216"/>
  <c r="U79" i="216"/>
  <c r="AN82" i="216"/>
  <c r="AR82" i="216"/>
  <c r="AM82" i="216"/>
  <c r="AQ82" i="216"/>
  <c r="AP82" i="216"/>
  <c r="AS85" i="221"/>
  <c r="AO85" i="221"/>
  <c r="AN85" i="221"/>
  <c r="AA79" i="221"/>
  <c r="AR85" i="221"/>
  <c r="AM85" i="221"/>
  <c r="AQ85" i="221"/>
  <c r="AP85" i="221"/>
  <c r="AP81" i="223"/>
  <c r="AO81" i="223"/>
  <c r="S79" i="223"/>
  <c r="AS81" i="223"/>
  <c r="AN81" i="223"/>
  <c r="AR81" i="223"/>
  <c r="AM81" i="223"/>
  <c r="AQ81" i="223"/>
  <c r="AS85" i="211"/>
  <c r="AO85" i="211"/>
  <c r="AA79" i="211"/>
  <c r="AR85" i="211"/>
  <c r="AN85" i="211"/>
  <c r="AQ85" i="211"/>
  <c r="AM85" i="211"/>
  <c r="AP85" i="211"/>
  <c r="AQ77" i="211"/>
  <c r="AM77" i="211"/>
  <c r="W73" i="211"/>
  <c r="AP77" i="211"/>
  <c r="AS77" i="211"/>
  <c r="AO77" i="211"/>
  <c r="AR77" i="211"/>
  <c r="AN77" i="211"/>
  <c r="AP79" i="212"/>
  <c r="AS79" i="212"/>
  <c r="AO79" i="212"/>
  <c r="AA73" i="212"/>
  <c r="AR79" i="212"/>
  <c r="AN79" i="212"/>
  <c r="AQ79" i="212"/>
  <c r="AM79" i="212"/>
  <c r="AS77" i="209"/>
  <c r="AO77" i="209"/>
  <c r="AR77" i="209"/>
  <c r="AN77" i="209"/>
  <c r="AM77" i="209"/>
  <c r="W73" i="209"/>
  <c r="AP77" i="209"/>
  <c r="AQ77" i="209"/>
  <c r="AQ83" i="213"/>
  <c r="AM83" i="213"/>
  <c r="AO83" i="213"/>
  <c r="W79" i="213"/>
  <c r="AS83" i="213"/>
  <c r="AN83" i="213"/>
  <c r="AR83" i="213"/>
  <c r="AP83" i="213"/>
  <c r="AR86" i="217"/>
  <c r="AN86" i="217"/>
  <c r="AQ86" i="217"/>
  <c r="AM86" i="217"/>
  <c r="AP86" i="217"/>
  <c r="AO86" i="217"/>
  <c r="AC79" i="217"/>
  <c r="AS86" i="217"/>
  <c r="AQ78" i="216"/>
  <c r="AM78" i="216"/>
  <c r="AP78" i="216"/>
  <c r="Y73" i="216"/>
  <c r="AO78" i="216"/>
  <c r="AS78" i="216"/>
  <c r="AN78" i="216"/>
  <c r="AR78" i="216"/>
  <c r="AS84" i="218"/>
  <c r="AO84" i="218"/>
  <c r="Y79" i="218"/>
  <c r="AR84" i="218"/>
  <c r="AN84" i="218"/>
  <c r="AQ84" i="218"/>
  <c r="AP84" i="218"/>
  <c r="AM84" i="218"/>
  <c r="AR86" i="220"/>
  <c r="AN86" i="220"/>
  <c r="AS86" i="220"/>
  <c r="AM86" i="220"/>
  <c r="AQ86" i="220"/>
  <c r="AC79" i="220"/>
  <c r="AP86" i="220"/>
  <c r="AO86" i="220"/>
  <c r="AR85" i="219"/>
  <c r="AN85" i="219"/>
  <c r="AP85" i="219"/>
  <c r="AO85" i="219"/>
  <c r="AS85" i="219"/>
  <c r="AM85" i="219"/>
  <c r="AQ85" i="219"/>
  <c r="AA79" i="219"/>
  <c r="AR81" i="222"/>
  <c r="AN81" i="222"/>
  <c r="AQ81" i="222"/>
  <c r="AM81" i="222"/>
  <c r="AP81" i="222"/>
  <c r="S79" i="222"/>
  <c r="AO81" i="222"/>
  <c r="AS81" i="222"/>
  <c r="AQ79" i="211"/>
  <c r="AM79" i="211"/>
  <c r="AP79" i="211"/>
  <c r="AS79" i="211"/>
  <c r="AO79" i="211"/>
  <c r="AA73" i="211"/>
  <c r="AR79" i="211"/>
  <c r="AN79" i="211"/>
  <c r="AS78" i="214"/>
  <c r="AO78" i="214"/>
  <c r="AN78" i="214"/>
  <c r="AR78" i="214"/>
  <c r="AM78" i="214"/>
  <c r="AQ78" i="214"/>
  <c r="AP78" i="214"/>
  <c r="Y73" i="214"/>
  <c r="AQ80" i="216"/>
  <c r="AM80" i="216"/>
  <c r="AO80" i="216"/>
  <c r="AS80" i="216"/>
  <c r="AN80" i="216"/>
  <c r="AR80" i="216"/>
  <c r="AC73" i="216"/>
  <c r="AP80" i="216"/>
  <c r="AS80" i="218"/>
  <c r="AO80" i="218"/>
  <c r="AC73" i="218"/>
  <c r="AR80" i="218"/>
  <c r="AN80" i="218"/>
  <c r="AQ80" i="218"/>
  <c r="AP80" i="218"/>
  <c r="AM80" i="218"/>
  <c r="AQ85" i="222"/>
  <c r="AM85" i="222"/>
  <c r="AO85" i="222"/>
  <c r="AS85" i="222"/>
  <c r="AN85" i="222"/>
  <c r="AR85" i="222"/>
  <c r="AA79" i="222"/>
  <c r="AP85" i="222"/>
  <c r="AS81" i="221"/>
  <c r="AO81" i="221"/>
  <c r="S79" i="221"/>
  <c r="AR81" i="221"/>
  <c r="AN81" i="221"/>
  <c r="AQ81" i="221"/>
  <c r="AP81" i="221"/>
  <c r="AM81" i="221"/>
  <c r="AP85" i="223"/>
  <c r="AS85" i="223"/>
  <c r="AN85" i="223"/>
  <c r="AR85" i="223"/>
  <c r="AM85" i="223"/>
  <c r="AA79" i="223"/>
  <c r="AQ85" i="223"/>
  <c r="AO85" i="223"/>
  <c r="AS78" i="212"/>
  <c r="AO78" i="212"/>
  <c r="AR78" i="212"/>
  <c r="AN78" i="212"/>
  <c r="AQ78" i="212"/>
  <c r="AM78" i="212"/>
  <c r="Y73" i="212"/>
  <c r="AP78" i="212"/>
  <c r="AS83" i="209"/>
  <c r="AO83" i="209"/>
  <c r="W79" i="209"/>
  <c r="AR83" i="209"/>
  <c r="AN83" i="209"/>
  <c r="AM83" i="209"/>
  <c r="AQ83" i="209"/>
  <c r="AP83" i="209"/>
  <c r="AP83" i="214"/>
  <c r="AS83" i="214"/>
  <c r="AN83" i="214"/>
  <c r="AR83" i="214"/>
  <c r="AM83" i="214"/>
  <c r="AQ83" i="214"/>
  <c r="W79" i="214"/>
  <c r="AO83" i="214"/>
  <c r="AR86" i="213"/>
  <c r="AN86" i="213"/>
  <c r="AP86" i="213"/>
  <c r="AO86" i="213"/>
  <c r="AC79" i="213"/>
  <c r="AS86" i="213"/>
  <c r="AM86" i="213"/>
  <c r="AQ86" i="213"/>
  <c r="AQ84" i="216"/>
  <c r="AM84" i="216"/>
  <c r="AS84" i="216"/>
  <c r="AN84" i="216"/>
  <c r="AR84" i="216"/>
  <c r="AP84" i="216"/>
  <c r="AO84" i="216"/>
  <c r="Y79" i="216"/>
  <c r="AQ82" i="218"/>
  <c r="AM82" i="218"/>
  <c r="AP82" i="218"/>
  <c r="AN82" i="218"/>
  <c r="AS82" i="218"/>
  <c r="U79" i="218"/>
  <c r="AR82" i="218"/>
  <c r="AO82" i="218"/>
  <c r="AS83" i="222"/>
  <c r="AO83" i="222"/>
  <c r="AP83" i="222"/>
  <c r="AN83" i="222"/>
  <c r="W79" i="222"/>
  <c r="AM83" i="222"/>
  <c r="AR83" i="222"/>
  <c r="AQ83" i="222"/>
  <c r="AS86" i="223"/>
  <c r="AO86" i="223"/>
  <c r="AC79" i="223"/>
  <c r="AQ86" i="223"/>
  <c r="AP86" i="223"/>
  <c r="AN86" i="223"/>
  <c r="AR86" i="223"/>
  <c r="AM86" i="223"/>
  <c r="AR80" i="213"/>
  <c r="AN80" i="213"/>
  <c r="AQ80" i="213"/>
  <c r="AM80" i="213"/>
  <c r="AP80" i="213"/>
  <c r="AS80" i="213"/>
  <c r="AO80" i="213"/>
  <c r="AC73" i="213"/>
  <c r="AP75" i="210"/>
  <c r="AS75" i="210"/>
  <c r="AO75" i="210"/>
  <c r="AQ75" i="210"/>
  <c r="AN75" i="210"/>
  <c r="S73" i="210"/>
  <c r="AM75" i="210"/>
  <c r="AR75" i="210"/>
  <c r="AR85" i="218"/>
  <c r="AN85" i="218"/>
  <c r="AQ85" i="218"/>
  <c r="AM85" i="218"/>
  <c r="AP85" i="218"/>
  <c r="AA79" i="218"/>
  <c r="AS85" i="218"/>
  <c r="AO85" i="218"/>
  <c r="AR82" i="220"/>
  <c r="AN82" i="220"/>
  <c r="AO82" i="220"/>
  <c r="AS82" i="220"/>
  <c r="AM82" i="220"/>
  <c r="U79" i="220"/>
  <c r="AQ82" i="220"/>
  <c r="AP82" i="220"/>
  <c r="AS84" i="212"/>
  <c r="AO84" i="212"/>
  <c r="Y79" i="212"/>
  <c r="AR84" i="212"/>
  <c r="AN84" i="212"/>
  <c r="AQ84" i="212"/>
  <c r="AM84" i="212"/>
  <c r="AP84" i="212"/>
  <c r="AR77" i="216"/>
  <c r="AN77" i="216"/>
  <c r="AS77" i="216"/>
  <c r="AM77" i="216"/>
  <c r="AQ77" i="216"/>
  <c r="W73" i="216"/>
  <c r="AP77" i="216"/>
  <c r="AO77" i="216"/>
  <c r="AP83" i="212"/>
  <c r="AS83" i="212"/>
  <c r="AO83" i="212"/>
  <c r="W79" i="212"/>
  <c r="AR83" i="212"/>
  <c r="AN83" i="212"/>
  <c r="AQ83" i="212"/>
  <c r="AM83" i="212"/>
  <c r="AS79" i="209"/>
  <c r="AO79" i="209"/>
  <c r="AA73" i="209"/>
  <c r="AR79" i="209"/>
  <c r="AN79" i="209"/>
  <c r="AQ79" i="209"/>
  <c r="AP79" i="209"/>
  <c r="AM79" i="209"/>
  <c r="AS82" i="210"/>
  <c r="AO82" i="210"/>
  <c r="U79" i="210"/>
  <c r="AR82" i="210"/>
  <c r="AN82" i="210"/>
  <c r="AM82" i="210"/>
  <c r="AQ82" i="210"/>
  <c r="AP82" i="210"/>
  <c r="AP85" i="216"/>
  <c r="AO85" i="216"/>
  <c r="AS85" i="216"/>
  <c r="AN85" i="216"/>
  <c r="AR85" i="216"/>
  <c r="AM85" i="216"/>
  <c r="AA79" i="216"/>
  <c r="AQ85" i="216"/>
  <c r="AQ83" i="217"/>
  <c r="AM83" i="217"/>
  <c r="AP83" i="217"/>
  <c r="AO83" i="217"/>
  <c r="AN83" i="217"/>
  <c r="AS83" i="217"/>
  <c r="W79" i="217"/>
  <c r="AR83" i="217"/>
  <c r="AP84" i="221"/>
  <c r="AQ84" i="221"/>
  <c r="AO84" i="221"/>
  <c r="Y79" i="221"/>
  <c r="AN84" i="221"/>
  <c r="AM84" i="221"/>
  <c r="AS84" i="221"/>
  <c r="AR84" i="221"/>
  <c r="AQ81" i="209"/>
  <c r="AM81" i="209"/>
  <c r="AP81" i="209"/>
  <c r="AS81" i="209"/>
  <c r="AR81" i="209"/>
  <c r="S79" i="209"/>
  <c r="AO81" i="209"/>
  <c r="AN81" i="209"/>
  <c r="AQ85" i="215"/>
  <c r="AM85" i="215"/>
  <c r="AS85" i="215"/>
  <c r="AN85" i="215"/>
  <c r="AA79" i="215"/>
  <c r="AR85" i="215"/>
  <c r="AP85" i="215"/>
  <c r="AO85" i="215"/>
  <c r="AS80" i="214"/>
  <c r="AO80" i="214"/>
  <c r="AC73" i="214"/>
  <c r="AR80" i="214"/>
  <c r="AM80" i="214"/>
  <c r="AQ80" i="214"/>
  <c r="AP80" i="214"/>
  <c r="AN80" i="214"/>
  <c r="AS83" i="215"/>
  <c r="AO83" i="215"/>
  <c r="W79" i="215"/>
  <c r="AN83" i="215"/>
  <c r="AR83" i="215"/>
  <c r="AM83" i="215"/>
  <c r="AQ83" i="215"/>
  <c r="AP83" i="215"/>
  <c r="AS79" i="213"/>
  <c r="AO79" i="213"/>
  <c r="AA73" i="213"/>
  <c r="AR79" i="213"/>
  <c r="AN79" i="213"/>
  <c r="AQ79" i="213"/>
  <c r="AM79" i="213"/>
  <c r="AP79" i="213"/>
  <c r="AS78" i="219"/>
  <c r="AO78" i="219"/>
  <c r="AP78" i="219"/>
  <c r="AN78" i="219"/>
  <c r="Y73" i="219"/>
  <c r="AR78" i="219"/>
  <c r="AM78" i="219"/>
  <c r="AQ78" i="219"/>
  <c r="AP79" i="218"/>
  <c r="AS79" i="218"/>
  <c r="AO79" i="218"/>
  <c r="AA73" i="218"/>
  <c r="AR79" i="218"/>
  <c r="AQ79" i="218"/>
  <c r="AN79" i="218"/>
  <c r="AM79" i="218"/>
  <c r="AS77" i="219"/>
  <c r="AO77" i="219"/>
  <c r="AR77" i="219"/>
  <c r="AN77" i="219"/>
  <c r="AQ77" i="219"/>
  <c r="AM77" i="219"/>
  <c r="W73" i="219"/>
  <c r="AP77" i="219"/>
  <c r="AR86" i="221"/>
  <c r="AN86" i="221"/>
  <c r="AP86" i="221"/>
  <c r="AO86" i="221"/>
  <c r="AQ86" i="221"/>
  <c r="AM86" i="221"/>
  <c r="AC79" i="221"/>
  <c r="AS86" i="221"/>
  <c r="AS80" i="222"/>
  <c r="AO80" i="222"/>
  <c r="AC73" i="222"/>
  <c r="AR80" i="222"/>
  <c r="AN80" i="222"/>
  <c r="AP80" i="222"/>
  <c r="AM80" i="222"/>
  <c r="AQ80" i="222"/>
  <c r="AS80" i="212"/>
  <c r="AO80" i="212"/>
  <c r="AC73" i="212"/>
  <c r="AR80" i="212"/>
  <c r="AN80" i="212"/>
  <c r="AQ80" i="212"/>
  <c r="AM80" i="212"/>
  <c r="AP80" i="212"/>
  <c r="AP86" i="215"/>
  <c r="AO86" i="215"/>
  <c r="AS86" i="215"/>
  <c r="AN86" i="215"/>
  <c r="AR86" i="215"/>
  <c r="AM86" i="215"/>
  <c r="AQ86" i="215"/>
  <c r="AC79" i="215"/>
  <c r="AR78" i="220"/>
  <c r="AN78" i="220"/>
  <c r="AQ78" i="220"/>
  <c r="AM78" i="220"/>
  <c r="Y73" i="220"/>
  <c r="AP78" i="220"/>
  <c r="AO78" i="220"/>
  <c r="AS78" i="220"/>
  <c r="AP77" i="218"/>
  <c r="AS77" i="218"/>
  <c r="AO77" i="218"/>
  <c r="AN77" i="218"/>
  <c r="AM77" i="218"/>
  <c r="AR77" i="218"/>
  <c r="W73" i="218"/>
  <c r="AQ77" i="218"/>
  <c r="AP77" i="222"/>
  <c r="AS77" i="222"/>
  <c r="AR77" i="222"/>
  <c r="AM77" i="222"/>
  <c r="AQ77" i="222"/>
  <c r="W73" i="222"/>
  <c r="AO77" i="222"/>
  <c r="AN77" i="222"/>
  <c r="AP78" i="221"/>
  <c r="AS78" i="221"/>
  <c r="AO78" i="221"/>
  <c r="AN78" i="221"/>
  <c r="AM78" i="221"/>
  <c r="Y73" i="221"/>
  <c r="AR78" i="221"/>
  <c r="AQ78" i="221"/>
  <c r="AR77" i="210"/>
  <c r="AN77" i="210"/>
  <c r="AQ77" i="210"/>
  <c r="AM77" i="210"/>
  <c r="W73" i="210"/>
  <c r="AP77" i="210"/>
  <c r="AO77" i="210"/>
  <c r="AS77" i="210"/>
  <c r="AQ86" i="212"/>
  <c r="AM86" i="212"/>
  <c r="AP86" i="212"/>
  <c r="AS86" i="212"/>
  <c r="AO86" i="212"/>
  <c r="AC79" i="212"/>
  <c r="AR86" i="212"/>
  <c r="AN86" i="212"/>
  <c r="AR86" i="211"/>
  <c r="AN86" i="211"/>
  <c r="AQ86" i="211"/>
  <c r="AM86" i="211"/>
  <c r="AP86" i="211"/>
  <c r="AO86" i="211"/>
  <c r="AS86" i="211"/>
  <c r="AC79" i="211"/>
  <c r="AS85" i="217"/>
  <c r="AO85" i="217"/>
  <c r="AA79" i="217"/>
  <c r="AR85" i="217"/>
  <c r="AN85" i="217"/>
  <c r="AP85" i="217"/>
  <c r="AM85" i="217"/>
  <c r="AQ85" i="217"/>
  <c r="AR82" i="217"/>
  <c r="AN82" i="217"/>
  <c r="AQ82" i="217"/>
  <c r="AM82" i="217"/>
  <c r="AO82" i="217"/>
  <c r="AS82" i="217"/>
  <c r="AP82" i="217"/>
  <c r="U79" i="217"/>
  <c r="AQ79" i="217"/>
  <c r="AM79" i="217"/>
  <c r="AP79" i="217"/>
  <c r="AN79" i="217"/>
  <c r="AS79" i="217"/>
  <c r="AR79" i="217"/>
  <c r="AO79" i="217"/>
  <c r="AA73" i="217"/>
  <c r="AR81" i="219"/>
  <c r="AN81" i="219"/>
  <c r="AQ81" i="219"/>
  <c r="AP81" i="219"/>
  <c r="AO81" i="219"/>
  <c r="S79" i="219"/>
  <c r="AS81" i="219"/>
  <c r="AM81" i="219"/>
  <c r="AR84" i="222"/>
  <c r="AN84" i="222"/>
  <c r="AQ84" i="222"/>
  <c r="Y79" i="222"/>
  <c r="AP84" i="222"/>
  <c r="AS84" i="222"/>
  <c r="AO84" i="222"/>
  <c r="AM84" i="222"/>
  <c r="AQ84" i="223"/>
  <c r="AM84" i="223"/>
  <c r="AR84" i="223"/>
  <c r="AP84" i="223"/>
  <c r="AO84" i="223"/>
  <c r="Y79" i="223"/>
  <c r="AN84" i="223"/>
  <c r="AS84" i="223"/>
  <c r="AQ80" i="210"/>
  <c r="AM80" i="210"/>
  <c r="AP80" i="210"/>
  <c r="AS80" i="210"/>
  <c r="AO80" i="210"/>
  <c r="AR80" i="210"/>
  <c r="AC73" i="210"/>
  <c r="AN80" i="210"/>
  <c r="AQ82" i="212"/>
  <c r="AM82" i="212"/>
  <c r="AP82" i="212"/>
  <c r="AS82" i="212"/>
  <c r="AO82" i="212"/>
  <c r="U79" i="212"/>
  <c r="AR82" i="212"/>
  <c r="AN82" i="212"/>
  <c r="AS84" i="214"/>
  <c r="AO84" i="214"/>
  <c r="Y79" i="214"/>
  <c r="AQ84" i="214"/>
  <c r="AP84" i="214"/>
  <c r="AN84" i="214"/>
  <c r="AR84" i="214"/>
  <c r="AM84" i="214"/>
  <c r="AS86" i="210"/>
  <c r="AO86" i="210"/>
  <c r="AC79" i="210"/>
  <c r="AR86" i="210"/>
  <c r="AN86" i="210"/>
  <c r="AM86" i="210"/>
  <c r="AQ86" i="210"/>
  <c r="AP86" i="210"/>
  <c r="AP82" i="215"/>
  <c r="AQ82" i="215"/>
  <c r="AO82" i="215"/>
  <c r="AS82" i="215"/>
  <c r="AN82" i="215"/>
  <c r="U79" i="215"/>
  <c r="AR82" i="215"/>
  <c r="AM82" i="215"/>
  <c r="AP83" i="218"/>
  <c r="AS83" i="218"/>
  <c r="AO83" i="218"/>
  <c r="W79" i="218"/>
  <c r="AN83" i="218"/>
  <c r="AM83" i="218"/>
  <c r="AR83" i="218"/>
  <c r="AQ83" i="218"/>
  <c r="AP86" i="222"/>
  <c r="AQ86" i="222"/>
  <c r="AO86" i="222"/>
  <c r="AR86" i="222"/>
  <c r="AN86" i="222"/>
  <c r="AC79" i="222"/>
  <c r="AM86" i="222"/>
  <c r="AS86" i="222"/>
  <c r="AS82" i="223"/>
  <c r="AO82" i="223"/>
  <c r="U79" i="223"/>
  <c r="AR82" i="223"/>
  <c r="AM82" i="223"/>
  <c r="AQ82" i="223"/>
  <c r="AP82" i="223"/>
  <c r="AN82" i="223"/>
  <c r="AR78" i="213"/>
  <c r="AN78" i="213"/>
  <c r="AQ78" i="213"/>
  <c r="AM78" i="213"/>
  <c r="Y73" i="213"/>
  <c r="AP78" i="213"/>
  <c r="AS78" i="213"/>
  <c r="AO78" i="213"/>
  <c r="AR84" i="209"/>
  <c r="AN84" i="209"/>
  <c r="AQ84" i="209"/>
  <c r="AM84" i="209"/>
  <c r="AO84" i="209"/>
  <c r="Y79" i="209"/>
  <c r="AS84" i="209"/>
  <c r="AP84" i="209"/>
  <c r="AQ86" i="214"/>
  <c r="AM86" i="214"/>
  <c r="AP86" i="214"/>
  <c r="AC79" i="214"/>
  <c r="AO86" i="214"/>
  <c r="AS86" i="214"/>
  <c r="AN86" i="214"/>
  <c r="AR86" i="214"/>
  <c r="AR78" i="215"/>
  <c r="AN78" i="215"/>
  <c r="AS78" i="215"/>
  <c r="AM78" i="215"/>
  <c r="AQ78" i="215"/>
  <c r="AP78" i="215"/>
  <c r="Y73" i="215"/>
  <c r="AO78" i="215"/>
  <c r="AP77" i="214"/>
  <c r="AQ77" i="214"/>
  <c r="W73" i="214"/>
  <c r="AO77" i="214"/>
  <c r="AS77" i="214"/>
  <c r="AN77" i="214"/>
  <c r="AR77" i="214"/>
  <c r="AM77" i="214"/>
  <c r="AP84" i="217"/>
  <c r="AS84" i="217"/>
  <c r="AO84" i="217"/>
  <c r="Y79" i="217"/>
  <c r="AN84" i="217"/>
  <c r="AM84" i="217"/>
  <c r="AR84" i="217"/>
  <c r="AQ84" i="217"/>
  <c r="AS84" i="219"/>
  <c r="AO84" i="219"/>
  <c r="Y79" i="219"/>
  <c r="AN84" i="219"/>
  <c r="AR84" i="219"/>
  <c r="AM84" i="219"/>
  <c r="AQ84" i="219"/>
  <c r="AP84" i="219"/>
  <c r="AS85" i="220"/>
  <c r="AO85" i="220"/>
  <c r="AQ85" i="220"/>
  <c r="AP85" i="220"/>
  <c r="AN85" i="220"/>
  <c r="AA79" i="220"/>
  <c r="AM85" i="220"/>
  <c r="AR85" i="220"/>
  <c r="AP80" i="221"/>
  <c r="AS80" i="221"/>
  <c r="AO80" i="221"/>
  <c r="AC73" i="221"/>
  <c r="AR80" i="221"/>
  <c r="AQ80" i="221"/>
  <c r="AN80" i="221"/>
  <c r="AM80" i="221"/>
  <c r="AR83" i="223"/>
  <c r="AN83" i="223"/>
  <c r="AO83" i="223"/>
  <c r="AS83" i="223"/>
  <c r="AM83" i="223"/>
  <c r="AQ83" i="223"/>
  <c r="AP83" i="223"/>
  <c r="W79" i="223"/>
  <c r="AS85" i="213"/>
  <c r="AO85" i="213"/>
  <c r="AN85" i="213"/>
  <c r="AR85" i="213"/>
  <c r="AM85" i="213"/>
  <c r="AQ85" i="213"/>
  <c r="AA79" i="213"/>
  <c r="AP85" i="213"/>
  <c r="AR79" i="216"/>
  <c r="AN79" i="216"/>
  <c r="AQ79" i="216"/>
  <c r="AP79" i="216"/>
  <c r="AO79" i="216"/>
  <c r="AS79" i="216"/>
  <c r="AM79" i="216"/>
  <c r="AA73" i="216"/>
  <c r="AR81" i="218"/>
  <c r="AN81" i="218"/>
  <c r="AQ81" i="218"/>
  <c r="AM81" i="218"/>
  <c r="AS81" i="218"/>
  <c r="AP81" i="218"/>
  <c r="S79" i="218"/>
  <c r="AO81" i="218"/>
  <c r="AS81" i="220"/>
  <c r="AO81" i="220"/>
  <c r="AR81" i="220"/>
  <c r="AM81" i="220"/>
  <c r="AQ81" i="220"/>
  <c r="AP81" i="220"/>
  <c r="AN81" i="220"/>
  <c r="S79" i="220"/>
  <c r="AQ83" i="221"/>
  <c r="AM83" i="221"/>
  <c r="AP83" i="221"/>
  <c r="AN83" i="221"/>
  <c r="W79" i="221"/>
  <c r="AS83" i="221"/>
  <c r="AR83" i="221"/>
  <c r="AO83" i="221"/>
  <c r="AQ78" i="210"/>
  <c r="AM78" i="210"/>
  <c r="Y73" i="210"/>
  <c r="AP78" i="210"/>
  <c r="AR78" i="210"/>
  <c r="AO78" i="210"/>
  <c r="AN78" i="210"/>
  <c r="AS78" i="210"/>
  <c r="AR81" i="212"/>
  <c r="AN81" i="212"/>
  <c r="AQ81" i="212"/>
  <c r="AM81" i="212"/>
  <c r="AP81" i="212"/>
  <c r="AS81" i="212"/>
  <c r="AO81" i="212"/>
  <c r="S79" i="212"/>
  <c r="AP79" i="214"/>
  <c r="AO79" i="214"/>
  <c r="AS79" i="214"/>
  <c r="AN79" i="214"/>
  <c r="AR79" i="214"/>
  <c r="AM79" i="214"/>
  <c r="AA73" i="214"/>
  <c r="AQ79" i="214"/>
  <c r="AP80" i="211"/>
  <c r="AS80" i="211"/>
  <c r="AO80" i="211"/>
  <c r="AC73" i="211"/>
  <c r="AR80" i="211"/>
  <c r="AN80" i="211"/>
  <c r="AQ80" i="211"/>
  <c r="AM80" i="211"/>
  <c r="AP78" i="217"/>
  <c r="AS78" i="217"/>
  <c r="AO78" i="217"/>
  <c r="AR78" i="217"/>
  <c r="Y73" i="217"/>
  <c r="AQ78" i="217"/>
  <c r="AN78" i="217"/>
  <c r="AM78" i="217"/>
  <c r="AS78" i="218"/>
  <c r="AO78" i="218"/>
  <c r="AR78" i="218"/>
  <c r="AN78" i="218"/>
  <c r="AP78" i="218"/>
  <c r="AM78" i="218"/>
  <c r="Y73" i="218"/>
  <c r="AQ78" i="218"/>
  <c r="AQ83" i="220"/>
  <c r="AM83" i="220"/>
  <c r="AR83" i="220"/>
  <c r="W79" i="220"/>
  <c r="AP83" i="220"/>
  <c r="AS83" i="220"/>
  <c r="AO83" i="220"/>
  <c r="AN83" i="220"/>
  <c r="AQ80" i="223"/>
  <c r="AM80" i="223"/>
  <c r="AS80" i="223"/>
  <c r="AN80" i="223"/>
  <c r="AR80" i="223"/>
  <c r="AP80" i="223"/>
  <c r="AC73" i="223"/>
  <c r="AO80" i="223"/>
  <c r="AP84" i="220"/>
  <c r="AS84" i="220"/>
  <c r="AN84" i="220"/>
  <c r="AR84" i="220"/>
  <c r="AM84" i="220"/>
  <c r="Y79" i="220"/>
  <c r="AQ84" i="220"/>
  <c r="AO84" i="220"/>
  <c r="AS77" i="220"/>
  <c r="AO77" i="220"/>
  <c r="AR77" i="220"/>
  <c r="AN77" i="220"/>
  <c r="AP77" i="220"/>
  <c r="AM77" i="220"/>
  <c r="W73" i="220"/>
  <c r="AQ77" i="220"/>
  <c r="AR82" i="221"/>
  <c r="AN82" i="221"/>
  <c r="AQ82" i="221"/>
  <c r="AM82" i="221"/>
  <c r="AS82" i="221"/>
  <c r="U79" i="221"/>
  <c r="AP82" i="221"/>
  <c r="AO82" i="221"/>
  <c r="AR82" i="211"/>
  <c r="AN82" i="211"/>
  <c r="AQ82" i="211"/>
  <c r="AM82" i="211"/>
  <c r="AP82" i="211"/>
  <c r="AO82" i="211"/>
  <c r="U79" i="211"/>
  <c r="AS82" i="211"/>
  <c r="AP78" i="211"/>
  <c r="AS78" i="211"/>
  <c r="AO78" i="211"/>
  <c r="AR78" i="211"/>
  <c r="AN78" i="211"/>
  <c r="AQ78" i="211"/>
  <c r="Y73" i="211"/>
  <c r="AM78" i="211"/>
  <c r="AR83" i="216"/>
  <c r="AN83" i="216"/>
  <c r="AP83" i="216"/>
  <c r="W79" i="216"/>
  <c r="AO83" i="216"/>
  <c r="AS83" i="216"/>
  <c r="AM83" i="216"/>
  <c r="AQ83" i="216"/>
  <c r="AS80" i="219"/>
  <c r="AO80" i="219"/>
  <c r="AP80" i="219"/>
  <c r="AN80" i="219"/>
  <c r="AR80" i="219"/>
  <c r="AM80" i="219"/>
  <c r="AQ80" i="219"/>
  <c r="AC73" i="219"/>
  <c r="AP80" i="220"/>
  <c r="AO80" i="220"/>
  <c r="AS80" i="220"/>
  <c r="AN80" i="220"/>
  <c r="AM80" i="220"/>
  <c r="AC73" i="220"/>
  <c r="AR80" i="220"/>
  <c r="AQ80" i="220"/>
  <c r="AP82" i="222"/>
  <c r="AR82" i="222"/>
  <c r="AM82" i="222"/>
  <c r="AQ82" i="222"/>
  <c r="AS82" i="222"/>
  <c r="AO82" i="222"/>
  <c r="AN82" i="222"/>
  <c r="U79" i="222"/>
  <c r="AQ83" i="211"/>
  <c r="AM83" i="211"/>
  <c r="AP83" i="211"/>
  <c r="AS83" i="211"/>
  <c r="AO83" i="211"/>
  <c r="W79" i="211"/>
  <c r="AR83" i="211"/>
  <c r="AN83" i="211"/>
  <c r="AS81" i="213"/>
  <c r="AO81" i="213"/>
  <c r="AP81" i="213"/>
  <c r="AN81" i="213"/>
  <c r="AR81" i="213"/>
  <c r="AM81" i="213"/>
  <c r="S79" i="213"/>
  <c r="AQ81" i="213"/>
  <c r="AS81" i="211"/>
  <c r="AO81" i="211"/>
  <c r="S79" i="211"/>
  <c r="AR81" i="211"/>
  <c r="AN81" i="211"/>
  <c r="AQ81" i="211"/>
  <c r="AM81" i="211"/>
  <c r="AP81" i="211"/>
  <c r="AS86" i="216"/>
  <c r="AO86" i="216"/>
  <c r="AC79" i="216"/>
  <c r="AR86" i="216"/>
  <c r="AM86" i="216"/>
  <c r="AQ86" i="216"/>
  <c r="AP86" i="216"/>
  <c r="AN86" i="216"/>
  <c r="AQ86" i="218"/>
  <c r="AM86" i="218"/>
  <c r="AP86" i="218"/>
  <c r="AS86" i="218"/>
  <c r="AO86" i="218"/>
  <c r="AR86" i="218"/>
  <c r="AN86" i="218"/>
  <c r="AC79" i="218"/>
  <c r="AQ79" i="221"/>
  <c r="AM79" i="221"/>
  <c r="AP79" i="221"/>
  <c r="AR79" i="221"/>
  <c r="AA73" i="221"/>
  <c r="AO79" i="221"/>
  <c r="AN79" i="221"/>
  <c r="AS79" i="221"/>
  <c r="AP86" i="207"/>
  <c r="AS86" i="207"/>
  <c r="AO86" i="207"/>
  <c r="AC79" i="207"/>
  <c r="AQ86" i="207"/>
  <c r="AM86" i="207"/>
  <c r="AR86" i="207"/>
  <c r="AN86" i="207"/>
  <c r="AQ85" i="207"/>
  <c r="AM85" i="207"/>
  <c r="AP85" i="207"/>
  <c r="AR85" i="207"/>
  <c r="AN85" i="207"/>
  <c r="AS85" i="207"/>
  <c r="AO85" i="207"/>
  <c r="AA79" i="207"/>
  <c r="AR80" i="207"/>
  <c r="AN80" i="207"/>
  <c r="AQ80" i="207"/>
  <c r="AM80" i="207"/>
  <c r="AS80" i="207"/>
  <c r="AO80" i="207"/>
  <c r="AP80" i="207"/>
  <c r="AC73" i="207"/>
  <c r="AP82" i="207"/>
  <c r="AS82" i="207"/>
  <c r="AO82" i="207"/>
  <c r="U79" i="207"/>
  <c r="AQ82" i="207"/>
  <c r="AM82" i="207"/>
  <c r="AR82" i="207"/>
  <c r="AN82" i="207"/>
  <c r="AR78" i="207"/>
  <c r="AN78" i="207"/>
  <c r="AQ78" i="207"/>
  <c r="AM78" i="207"/>
  <c r="Y73" i="207"/>
  <c r="AS78" i="207"/>
  <c r="AO78" i="207"/>
  <c r="AP78" i="207"/>
  <c r="AS77" i="207"/>
  <c r="AO77" i="207"/>
  <c r="AR77" i="207"/>
  <c r="AN77" i="207"/>
  <c r="AP77" i="207"/>
  <c r="AQ77" i="207"/>
  <c r="AM77" i="207"/>
  <c r="W73" i="207"/>
  <c r="AS83" i="207"/>
  <c r="AO83" i="207"/>
  <c r="W79" i="207"/>
  <c r="AR83" i="207"/>
  <c r="AN83" i="207"/>
  <c r="AP83" i="207"/>
  <c r="AQ83" i="207"/>
  <c r="AM83" i="207"/>
  <c r="AQ81" i="207"/>
  <c r="AM81" i="207"/>
  <c r="AP81" i="207"/>
  <c r="AR81" i="207"/>
  <c r="AN81" i="207"/>
  <c r="AS81" i="207"/>
  <c r="AO81" i="207"/>
  <c r="S79" i="207"/>
  <c r="AR84" i="207"/>
  <c r="AN84" i="207"/>
  <c r="AQ84" i="207"/>
  <c r="AM84" i="207"/>
  <c r="AS84" i="207"/>
  <c r="AO84" i="207"/>
  <c r="AP84" i="207"/>
  <c r="Y79" i="207"/>
  <c r="R26" i="206" l="1"/>
  <c r="R24" i="206"/>
  <c r="V56" i="204" s="1"/>
  <c r="R22" i="206"/>
  <c r="R14" i="206"/>
  <c r="R8" i="206"/>
  <c r="R6" i="206"/>
  <c r="V14" i="204" l="1"/>
  <c r="V22" i="204"/>
  <c r="V20" i="204"/>
  <c r="V21" i="204"/>
  <c r="V15" i="204"/>
  <c r="V19" i="204"/>
  <c r="V31" i="204"/>
  <c r="V171" i="204"/>
  <c r="V16" i="204"/>
  <c r="V32" i="204"/>
  <c r="V17" i="204"/>
  <c r="V34" i="204"/>
  <c r="V70" i="204"/>
  <c r="V74" i="204"/>
  <c r="V91" i="204"/>
  <c r="V95" i="204"/>
  <c r="V107" i="204"/>
  <c r="V111" i="204"/>
  <c r="V123" i="204"/>
  <c r="V127" i="204"/>
  <c r="V139" i="204"/>
  <c r="V146" i="204"/>
  <c r="V170" i="204"/>
  <c r="V40" i="204"/>
  <c r="V89" i="204"/>
  <c r="V97" i="204"/>
  <c r="V105" i="204"/>
  <c r="V137" i="204"/>
  <c r="V152" i="204"/>
  <c r="V33" i="204"/>
  <c r="V90" i="204"/>
  <c r="V23" i="204"/>
  <c r="V35" i="204"/>
  <c r="V92" i="204"/>
  <c r="V96" i="204"/>
  <c r="V100" i="204"/>
  <c r="V104" i="204"/>
  <c r="V112" i="204"/>
  <c r="V124" i="204"/>
  <c r="V159" i="204"/>
  <c r="V163" i="204"/>
  <c r="V55" i="204"/>
  <c r="V93" i="204"/>
  <c r="V101" i="204"/>
  <c r="V113" i="204"/>
  <c r="V125" i="204"/>
  <c r="V133" i="204"/>
  <c r="V188" i="204"/>
  <c r="V69" i="204"/>
  <c r="V94" i="204"/>
  <c r="V126" i="204"/>
  <c r="V102" i="204"/>
  <c r="V106" i="204"/>
  <c r="V114" i="204"/>
  <c r="V130" i="204"/>
  <c r="V177" i="204"/>
  <c r="V193" i="204"/>
  <c r="V138" i="204"/>
  <c r="V26" i="204"/>
  <c r="V42" i="204"/>
  <c r="V46" i="204"/>
  <c r="V58" i="204"/>
  <c r="V119" i="204"/>
  <c r="V135" i="204"/>
  <c r="V154" i="204"/>
  <c r="V182" i="204"/>
  <c r="V186" i="204"/>
  <c r="V190" i="204"/>
  <c r="V194" i="204"/>
  <c r="V77" i="204"/>
  <c r="V160" i="204"/>
  <c r="V168" i="204"/>
  <c r="V184" i="204"/>
  <c r="V196" i="204"/>
  <c r="V45" i="204"/>
  <c r="V27" i="204"/>
  <c r="V39" i="204"/>
  <c r="V59" i="204"/>
  <c r="V76" i="204"/>
  <c r="V80" i="204"/>
  <c r="V120" i="204"/>
  <c r="V147" i="204"/>
  <c r="V183" i="204"/>
  <c r="V187" i="204"/>
  <c r="V191" i="204"/>
  <c r="V195" i="204"/>
  <c r="V140" i="204"/>
  <c r="V172" i="204"/>
  <c r="V200" i="204"/>
  <c r="V41" i="204"/>
  <c r="V57" i="204"/>
  <c r="V141" i="204"/>
  <c r="V173" i="204"/>
  <c r="V189" i="204"/>
  <c r="V197" i="204"/>
  <c r="V153" i="204"/>
  <c r="V161" i="204"/>
  <c r="V118" i="204"/>
  <c r="V134" i="204"/>
  <c r="V149" i="204"/>
  <c r="V185" i="204"/>
  <c r="V30" i="204"/>
  <c r="V62" i="204"/>
  <c r="V83" i="204"/>
  <c r="V87" i="204"/>
  <c r="V99" i="204"/>
  <c r="V103" i="204"/>
  <c r="V115" i="204"/>
  <c r="V142" i="204"/>
  <c r="V166" i="204"/>
  <c r="V174" i="204"/>
  <c r="V198" i="204"/>
  <c r="V12" i="204"/>
  <c r="V60" i="204"/>
  <c r="V81" i="204"/>
  <c r="V117" i="204"/>
  <c r="V121" i="204"/>
  <c r="V82" i="204"/>
  <c r="V7" i="204"/>
  <c r="V11" i="204"/>
  <c r="V43" i="204"/>
  <c r="V63" i="204"/>
  <c r="V88" i="204"/>
  <c r="V116" i="204"/>
  <c r="V136" i="204"/>
  <c r="V143" i="204"/>
  <c r="V167" i="204"/>
  <c r="V175" i="204"/>
  <c r="V199" i="204"/>
  <c r="V24" i="204"/>
  <c r="V44" i="204"/>
  <c r="V64" i="204"/>
  <c r="V85" i="204"/>
  <c r="V148" i="204"/>
  <c r="V164" i="204"/>
  <c r="V25" i="204"/>
  <c r="V61" i="204"/>
  <c r="V78" i="204"/>
  <c r="V86" i="204"/>
  <c r="V110" i="204"/>
  <c r="V165" i="204"/>
  <c r="V169" i="204"/>
  <c r="V98" i="204"/>
  <c r="V145" i="204"/>
  <c r="V6" i="204"/>
  <c r="V10" i="204"/>
  <c r="V38" i="204"/>
  <c r="V162" i="204"/>
  <c r="V201" i="204"/>
  <c r="V28" i="204"/>
  <c r="V36" i="204"/>
  <c r="V144" i="204"/>
  <c r="V13" i="204"/>
  <c r="V29" i="204"/>
  <c r="V47" i="204"/>
  <c r="V108" i="204"/>
  <c r="V5" i="204"/>
  <c r="V8" i="204"/>
  <c r="V48" i="204"/>
  <c r="V109" i="204"/>
  <c r="V9" i="204"/>
  <c r="V37" i="204"/>
  <c r="V49" i="204"/>
  <c r="V18" i="204"/>
  <c r="V50" i="204"/>
  <c r="V53" i="204"/>
  <c r="V66" i="204"/>
  <c r="V79" i="204"/>
  <c r="V131" i="204"/>
  <c r="V150" i="204"/>
  <c r="V158" i="204"/>
  <c r="V178" i="204"/>
  <c r="V52" i="204"/>
  <c r="V68" i="204"/>
  <c r="V129" i="204"/>
  <c r="V176" i="204"/>
  <c r="V192" i="204"/>
  <c r="V65" i="204"/>
  <c r="V73" i="204"/>
  <c r="V51" i="204"/>
  <c r="V54" i="204"/>
  <c r="V67" i="204"/>
  <c r="V71" i="204"/>
  <c r="V84" i="204"/>
  <c r="V128" i="204"/>
  <c r="V132" i="204"/>
  <c r="V151" i="204"/>
  <c r="V155" i="204"/>
  <c r="V179" i="204"/>
  <c r="V72" i="204"/>
  <c r="V156" i="204"/>
  <c r="V180" i="204"/>
  <c r="V157" i="204"/>
  <c r="V181" i="204"/>
  <c r="V122" i="204"/>
  <c r="X12" i="157"/>
  <c r="W12" i="157"/>
  <c r="X12" i="156"/>
  <c r="W12" i="156"/>
  <c r="X12" i="155"/>
  <c r="W12" i="155"/>
  <c r="X12" i="154"/>
  <c r="W12" i="154"/>
  <c r="X12" i="153"/>
  <c r="W12" i="153"/>
  <c r="X12" i="152"/>
  <c r="W12" i="152"/>
  <c r="X12" i="151"/>
  <c r="W12" i="151"/>
  <c r="X12" i="150"/>
  <c r="W12" i="150"/>
  <c r="X12" i="149"/>
  <c r="W12" i="149"/>
  <c r="X12" i="147"/>
  <c r="W12" i="147"/>
  <c r="X12" i="146"/>
  <c r="W12" i="146"/>
  <c r="X12" i="145"/>
  <c r="W12" i="145"/>
  <c r="X12" i="148"/>
  <c r="W12" i="148"/>
  <c r="X12" i="144"/>
  <c r="W12" i="144"/>
  <c r="X12" i="143"/>
  <c r="W12" i="143"/>
  <c r="X12" i="142"/>
  <c r="W12" i="142"/>
  <c r="X12" i="141"/>
  <c r="W12" i="141"/>
  <c r="X12" i="139"/>
  <c r="W12" i="139"/>
  <c r="X12" i="138"/>
  <c r="W12" i="138"/>
  <c r="X12" i="137"/>
  <c r="W12" i="137"/>
  <c r="X12" i="134"/>
  <c r="W12" i="134"/>
  <c r="X12" i="133"/>
  <c r="W12" i="133"/>
  <c r="X12" i="132"/>
  <c r="W12" i="132"/>
  <c r="X12" i="131"/>
  <c r="W12" i="131"/>
  <c r="X12" i="130"/>
  <c r="W12" i="130"/>
  <c r="X12" i="127"/>
  <c r="W12" i="127"/>
  <c r="X12" i="140"/>
  <c r="W12" i="140"/>
  <c r="X12" i="136"/>
  <c r="W12" i="136"/>
  <c r="X12" i="135"/>
  <c r="W12" i="135"/>
  <c r="X12" i="129"/>
  <c r="W12" i="129"/>
  <c r="X12" i="128"/>
  <c r="W12" i="128"/>
  <c r="X12" i="126"/>
  <c r="W12" i="126"/>
  <c r="X12" i="125"/>
  <c r="W12" i="125"/>
  <c r="W12" i="19"/>
  <c r="X12" i="19"/>
  <c r="X12" i="2"/>
  <c r="X12" i="3"/>
  <c r="X12" i="4"/>
  <c r="X12" i="5"/>
  <c r="X12" i="6"/>
  <c r="X12" i="7"/>
  <c r="X12" i="8"/>
  <c r="X12" i="9"/>
  <c r="X12" i="10"/>
  <c r="X12" i="11"/>
  <c r="X12" i="12"/>
  <c r="X12" i="13"/>
  <c r="X12" i="14"/>
  <c r="X12" i="15"/>
  <c r="X12" i="16"/>
  <c r="X12" i="17"/>
  <c r="X12" i="18"/>
  <c r="X12" i="20"/>
  <c r="X12" i="21"/>
  <c r="X12" i="22"/>
  <c r="X12" i="23"/>
  <c r="X12" i="24"/>
  <c r="X12" i="25"/>
  <c r="X12" i="27"/>
  <c r="X12" i="26"/>
  <c r="X12" i="28"/>
  <c r="X12" i="29"/>
  <c r="X12" i="30"/>
  <c r="X12" i="33"/>
  <c r="X12" i="34"/>
  <c r="X12" i="35"/>
  <c r="X12" i="36"/>
  <c r="X12" i="37"/>
  <c r="X12" i="38"/>
  <c r="X12" i="48"/>
  <c r="X12" i="57"/>
  <c r="X12" i="65"/>
  <c r="X12" i="66"/>
  <c r="X12" i="67"/>
  <c r="X12" i="68"/>
  <c r="X12" i="69"/>
  <c r="X12" i="58"/>
  <c r="X12" i="59"/>
  <c r="X12" i="60"/>
  <c r="X12" i="61"/>
  <c r="X12" i="62"/>
  <c r="X12" i="63"/>
  <c r="X12" i="64"/>
  <c r="X12" i="70"/>
  <c r="X12" i="71"/>
  <c r="X12" i="72"/>
  <c r="X12" i="73"/>
  <c r="X12" i="74"/>
  <c r="X12" i="75"/>
  <c r="X12" i="85"/>
  <c r="X12" i="86"/>
  <c r="X12" i="87"/>
  <c r="X12" i="76"/>
  <c r="X12" i="77"/>
  <c r="X12" i="78"/>
  <c r="X12" i="79"/>
  <c r="X12" i="80"/>
  <c r="X12" i="84"/>
  <c r="X12" i="81"/>
  <c r="X12" i="82"/>
  <c r="X12" i="83"/>
  <c r="X12" i="88"/>
  <c r="X12" i="89"/>
  <c r="X12" i="90"/>
  <c r="X12" i="91"/>
  <c r="X12" i="92"/>
  <c r="X12" i="93"/>
  <c r="X12" i="94"/>
  <c r="X12" i="95"/>
  <c r="X12" i="96"/>
  <c r="X12" i="100"/>
  <c r="X12" i="101"/>
  <c r="X12" i="102"/>
  <c r="X12" i="104"/>
  <c r="X12" i="97"/>
  <c r="X12" i="98"/>
  <c r="X12" i="99"/>
  <c r="X12" i="103"/>
  <c r="X12" i="105"/>
  <c r="X12" i="106"/>
  <c r="X12" i="107"/>
  <c r="X12" i="108"/>
  <c r="X12" i="109"/>
  <c r="X12" i="110"/>
  <c r="X12" i="111"/>
  <c r="X12" i="113"/>
  <c r="X12" i="112"/>
  <c r="X12" i="114"/>
  <c r="X12" i="115"/>
  <c r="X12" i="116"/>
  <c r="X12" i="117"/>
  <c r="X12" i="118"/>
  <c r="X12" i="119"/>
  <c r="X12" i="120"/>
  <c r="X12" i="121"/>
  <c r="X12" i="122"/>
  <c r="X12" i="123"/>
  <c r="X12" i="124"/>
  <c r="X12" i="158"/>
  <c r="X12" i="159"/>
  <c r="X12" i="160"/>
  <c r="X12" i="161"/>
  <c r="X12" i="162"/>
  <c r="X12" i="163"/>
  <c r="X12" i="164"/>
  <c r="X12" i="165"/>
  <c r="X12" i="166"/>
  <c r="X12" i="167"/>
  <c r="X12" i="168"/>
  <c r="X12" i="169"/>
  <c r="X12" i="170"/>
  <c r="X12" i="171"/>
  <c r="X12" i="172"/>
  <c r="X12" i="173"/>
  <c r="X12" i="174"/>
  <c r="X12" i="203"/>
  <c r="X12" i="176"/>
  <c r="X12" i="177"/>
  <c r="X12" i="178"/>
  <c r="X12" i="181"/>
  <c r="X12" i="175"/>
  <c r="X12" i="179"/>
  <c r="X12" i="180"/>
  <c r="X12" i="182"/>
  <c r="X12" i="183"/>
  <c r="X12" i="184"/>
  <c r="X12" i="185"/>
  <c r="X12" i="186"/>
  <c r="X12" i="187"/>
  <c r="X12" i="188"/>
  <c r="X12" i="189"/>
  <c r="X12" i="190"/>
  <c r="X12" i="191"/>
  <c r="X12" i="192"/>
  <c r="X12" i="193"/>
  <c r="X12" i="194"/>
  <c r="X12" i="195"/>
  <c r="X12" i="196"/>
  <c r="X12" i="197"/>
  <c r="X12" i="198"/>
  <c r="X12" i="199"/>
  <c r="X12" i="200"/>
  <c r="X12" i="201"/>
  <c r="X12" i="202"/>
  <c r="X12" i="1"/>
  <c r="W12" i="2"/>
  <c r="W12" i="3"/>
  <c r="W12" i="4"/>
  <c r="W12" i="5"/>
  <c r="W12" i="6"/>
  <c r="W12" i="7"/>
  <c r="W12" i="8"/>
  <c r="W12" i="9"/>
  <c r="W12" i="10"/>
  <c r="W12" i="11"/>
  <c r="W12" i="12"/>
  <c r="W12" i="13"/>
  <c r="W12" i="14"/>
  <c r="W12" i="15"/>
  <c r="W12" i="16"/>
  <c r="W12" i="17"/>
  <c r="W12" i="18"/>
  <c r="W12" i="20"/>
  <c r="W12" i="21"/>
  <c r="W12" i="22"/>
  <c r="W12" i="23"/>
  <c r="W12" i="24"/>
  <c r="W12" i="25"/>
  <c r="W12" i="27"/>
  <c r="W12" i="26"/>
  <c r="W12" i="28"/>
  <c r="W12" i="29"/>
  <c r="W12" i="30"/>
  <c r="W12" i="33"/>
  <c r="W12" i="34"/>
  <c r="W12" i="35"/>
  <c r="W12" i="36"/>
  <c r="W12" i="37"/>
  <c r="W12" i="38"/>
  <c r="W12" i="48"/>
  <c r="W12" i="57"/>
  <c r="W12" i="65"/>
  <c r="W12" i="66"/>
  <c r="W12" i="67"/>
  <c r="W12" i="68"/>
  <c r="W12" i="69"/>
  <c r="W12" i="58"/>
  <c r="W12" i="59"/>
  <c r="W12" i="60"/>
  <c r="W12" i="61"/>
  <c r="W12" i="62"/>
  <c r="W12" i="63"/>
  <c r="W12" i="64"/>
  <c r="W12" i="70"/>
  <c r="W12" i="71"/>
  <c r="W12" i="72"/>
  <c r="W12" i="73"/>
  <c r="W12" i="74"/>
  <c r="W12" i="75"/>
  <c r="W12" i="85"/>
  <c r="W12" i="86"/>
  <c r="W12" i="87"/>
  <c r="W12" i="76"/>
  <c r="W12" i="77"/>
  <c r="W12" i="78"/>
  <c r="W12" i="79"/>
  <c r="W12" i="80"/>
  <c r="W12" i="84"/>
  <c r="W12" i="81"/>
  <c r="W12" i="82"/>
  <c r="W12" i="83"/>
  <c r="W12" i="88"/>
  <c r="W12" i="89"/>
  <c r="W12" i="90"/>
  <c r="W12" i="91"/>
  <c r="W12" i="92"/>
  <c r="W12" i="93"/>
  <c r="W12" i="94"/>
  <c r="W12" i="95"/>
  <c r="W12" i="96"/>
  <c r="W12" i="100"/>
  <c r="W12" i="101"/>
  <c r="W12" i="102"/>
  <c r="W12" i="104"/>
  <c r="W12" i="97"/>
  <c r="W12" i="98"/>
  <c r="W12" i="99"/>
  <c r="W12" i="103"/>
  <c r="W12" i="105"/>
  <c r="W12" i="106"/>
  <c r="W12" i="107"/>
  <c r="W12" i="108"/>
  <c r="W12" i="109"/>
  <c r="W12" i="110"/>
  <c r="W12" i="111"/>
  <c r="W12" i="113"/>
  <c r="W12" i="112"/>
  <c r="W12" i="114"/>
  <c r="W12" i="115"/>
  <c r="W12" i="116"/>
  <c r="W12" i="117"/>
  <c r="W12" i="118"/>
  <c r="W12" i="119"/>
  <c r="W12" i="120"/>
  <c r="W12" i="121"/>
  <c r="W12" i="122"/>
  <c r="W12" i="123"/>
  <c r="W12" i="124"/>
  <c r="W12" i="158"/>
  <c r="W12" i="159"/>
  <c r="W12" i="160"/>
  <c r="W12" i="161"/>
  <c r="W12" i="162"/>
  <c r="W12" i="163"/>
  <c r="W12" i="164"/>
  <c r="W12" i="165"/>
  <c r="W12" i="166"/>
  <c r="W12" i="167"/>
  <c r="W12" i="168"/>
  <c r="W12" i="169"/>
  <c r="W12" i="170"/>
  <c r="W12" i="171"/>
  <c r="W12" i="172"/>
  <c r="W12" i="173"/>
  <c r="W12" i="174"/>
  <c r="W12" i="203"/>
  <c r="W12" i="176"/>
  <c r="W12" i="177"/>
  <c r="W12" i="178"/>
  <c r="W12" i="181"/>
  <c r="W12" i="175"/>
  <c r="W12" i="179"/>
  <c r="W12" i="180"/>
  <c r="W12" i="182"/>
  <c r="W12" i="183"/>
  <c r="W12" i="184"/>
  <c r="W12" i="185"/>
  <c r="W12" i="186"/>
  <c r="W12" i="187"/>
  <c r="W12" i="188"/>
  <c r="W12" i="189"/>
  <c r="W12" i="190"/>
  <c r="W12" i="191"/>
  <c r="W12" i="192"/>
  <c r="W12" i="193"/>
  <c r="W12" i="194"/>
  <c r="W12" i="195"/>
  <c r="W12" i="196"/>
  <c r="W12" i="197"/>
  <c r="W12" i="198"/>
  <c r="W12" i="199"/>
  <c r="W12" i="200"/>
  <c r="W12" i="201"/>
  <c r="W12" i="202"/>
  <c r="W12" i="1"/>
  <c r="G79" i="112" l="1"/>
  <c r="G78" i="112"/>
  <c r="G77" i="112"/>
  <c r="G76" i="112"/>
  <c r="G75" i="112"/>
  <c r="G86" i="156"/>
  <c r="G83" i="156"/>
  <c r="G80" i="156"/>
  <c r="AG76" i="156"/>
  <c r="AG77" i="156"/>
  <c r="AG78" i="156"/>
  <c r="AG79" i="156"/>
  <c r="AG80" i="156"/>
  <c r="AG81" i="156"/>
  <c r="AG82" i="156"/>
  <c r="AG83" i="156"/>
  <c r="AG84" i="156"/>
  <c r="AG85" i="156"/>
  <c r="AG86" i="156"/>
  <c r="AG75" i="156"/>
  <c r="U69" i="156"/>
  <c r="G76" i="113" l="1"/>
  <c r="G77" i="113"/>
  <c r="G78" i="113"/>
  <c r="G79" i="113"/>
  <c r="G75" i="113"/>
  <c r="H79" i="111"/>
  <c r="H78" i="111"/>
  <c r="H77" i="111"/>
  <c r="H76" i="111"/>
  <c r="H75" i="111"/>
  <c r="J79" i="111"/>
  <c r="J78" i="111"/>
  <c r="J77" i="111"/>
  <c r="J76" i="111"/>
  <c r="J75" i="111"/>
  <c r="K79" i="111"/>
  <c r="K78" i="111"/>
  <c r="K77" i="111"/>
  <c r="K76" i="111"/>
  <c r="K75" i="111"/>
  <c r="AG86" i="111"/>
  <c r="AG85" i="111"/>
  <c r="AG84" i="111"/>
  <c r="AG83" i="111"/>
  <c r="AG82" i="111"/>
  <c r="AG81" i="111"/>
  <c r="AG80" i="111"/>
  <c r="AG79" i="111"/>
  <c r="AG78" i="111"/>
  <c r="AG77" i="111"/>
  <c r="AG76" i="111"/>
  <c r="AG86" i="113"/>
  <c r="AG85" i="113"/>
  <c r="AG84" i="113"/>
  <c r="AG83" i="113"/>
  <c r="AG82" i="113"/>
  <c r="AG81" i="113"/>
  <c r="AG80" i="113"/>
  <c r="AG79" i="113"/>
  <c r="AG78" i="113"/>
  <c r="AG77" i="113"/>
  <c r="AG76" i="113"/>
  <c r="AG86" i="112"/>
  <c r="AG85" i="112"/>
  <c r="AG84" i="112"/>
  <c r="AG83" i="112"/>
  <c r="AG82" i="112"/>
  <c r="AG81" i="112"/>
  <c r="AG80" i="112"/>
  <c r="AG79" i="112"/>
  <c r="AG78" i="112"/>
  <c r="AG77" i="112"/>
  <c r="AG76" i="112"/>
  <c r="AG86" i="110"/>
  <c r="AG85" i="110"/>
  <c r="AG84" i="110"/>
  <c r="AG83" i="110"/>
  <c r="AG82" i="110"/>
  <c r="AG81" i="110"/>
  <c r="AG80" i="110"/>
  <c r="AG79" i="110"/>
  <c r="AG78" i="110"/>
  <c r="AG77" i="110"/>
  <c r="AG76" i="110"/>
  <c r="AG75" i="111"/>
  <c r="AG75" i="113"/>
  <c r="AG75" i="112"/>
  <c r="AG75" i="110"/>
  <c r="H79" i="110"/>
  <c r="H78" i="110"/>
  <c r="H77" i="110"/>
  <c r="H76" i="110"/>
  <c r="H75" i="110"/>
  <c r="J79" i="110"/>
  <c r="J78" i="110"/>
  <c r="J77" i="110"/>
  <c r="J76" i="110"/>
  <c r="J75" i="110"/>
  <c r="K79" i="110"/>
  <c r="K78" i="110"/>
  <c r="K77" i="110"/>
  <c r="K76" i="110"/>
  <c r="K75" i="110"/>
  <c r="AG76" i="174" l="1"/>
  <c r="AG77" i="174"/>
  <c r="AG78" i="174"/>
  <c r="AG79" i="174"/>
  <c r="AG80" i="174"/>
  <c r="AG81" i="174"/>
  <c r="AG82" i="174"/>
  <c r="AG83" i="174"/>
  <c r="AG84" i="174"/>
  <c r="AG85" i="174"/>
  <c r="AG86" i="174"/>
  <c r="AG75" i="174"/>
  <c r="U69" i="174"/>
  <c r="AG76" i="173"/>
  <c r="AG77" i="173"/>
  <c r="AG78" i="173"/>
  <c r="AG79" i="173"/>
  <c r="AG80" i="173"/>
  <c r="AG81" i="173"/>
  <c r="AG82" i="173"/>
  <c r="AG83" i="173"/>
  <c r="AG84" i="173"/>
  <c r="AG85" i="173"/>
  <c r="AG86" i="173"/>
  <c r="AG75" i="173"/>
  <c r="U69" i="171"/>
  <c r="AG76" i="171"/>
  <c r="AG77" i="171"/>
  <c r="AG78" i="171"/>
  <c r="AG79" i="171"/>
  <c r="AG80" i="171"/>
  <c r="AG81" i="171"/>
  <c r="AG82" i="171"/>
  <c r="AG83" i="171"/>
  <c r="AG84" i="171"/>
  <c r="AG85" i="171"/>
  <c r="AG86" i="171"/>
  <c r="AG75" i="171"/>
  <c r="AG76" i="170"/>
  <c r="AG77" i="170"/>
  <c r="AG78" i="170"/>
  <c r="AG79" i="170"/>
  <c r="AG80" i="170"/>
  <c r="AG81" i="170"/>
  <c r="AG82" i="170"/>
  <c r="AG83" i="170"/>
  <c r="AG84" i="170"/>
  <c r="AG85" i="170"/>
  <c r="AG86" i="170"/>
  <c r="AG75" i="170"/>
  <c r="AG76" i="169"/>
  <c r="AG77" i="169"/>
  <c r="AG78" i="169"/>
  <c r="AG79" i="169"/>
  <c r="AG80" i="169"/>
  <c r="AG81" i="169"/>
  <c r="AG82" i="169"/>
  <c r="AG83" i="169"/>
  <c r="AG84" i="169"/>
  <c r="AG85" i="169"/>
  <c r="AG86" i="169"/>
  <c r="AG75" i="169"/>
  <c r="U69" i="169"/>
  <c r="Q33" i="2" l="1"/>
  <c r="Q33" i="3"/>
  <c r="Q33" i="4"/>
  <c r="Q33" i="5"/>
  <c r="Q33" i="6"/>
  <c r="Q33" i="7"/>
  <c r="Q33" i="8"/>
  <c r="Q33" i="9"/>
  <c r="Q33" i="10"/>
  <c r="Q33" i="11"/>
  <c r="Q33" i="12"/>
  <c r="Q33" i="13"/>
  <c r="Q33" i="14"/>
  <c r="Q33" i="15"/>
  <c r="Q33" i="16"/>
  <c r="Q33" i="17"/>
  <c r="Q33" i="18"/>
  <c r="Q33" i="19"/>
  <c r="Q33" i="20"/>
  <c r="Q33" i="21"/>
  <c r="Q33" i="22"/>
  <c r="Q33" i="23"/>
  <c r="Q33" i="24"/>
  <c r="Q33" i="25"/>
  <c r="Q33" i="27"/>
  <c r="Q33" i="26"/>
  <c r="Q33" i="28"/>
  <c r="Q33" i="29"/>
  <c r="Q33" i="30"/>
  <c r="Q33" i="33"/>
  <c r="Q33" i="34"/>
  <c r="Q33" i="35"/>
  <c r="Q33" i="36"/>
  <c r="Q33" i="37"/>
  <c r="Q33" i="38"/>
  <c r="Q33" i="48"/>
  <c r="Q33" i="57"/>
  <c r="Q33" i="65"/>
  <c r="Q33" i="66"/>
  <c r="Q33" i="67"/>
  <c r="Q33" i="68"/>
  <c r="Q33" i="69"/>
  <c r="Q33" i="58"/>
  <c r="Q33" i="59"/>
  <c r="Q33" i="60"/>
  <c r="Q33" i="61"/>
  <c r="Q33" i="62"/>
  <c r="Q33" i="63"/>
  <c r="Q33" i="64"/>
  <c r="Q33" i="70"/>
  <c r="Q33" i="71"/>
  <c r="Q33" i="72"/>
  <c r="Q33" i="73"/>
  <c r="Q33" i="74"/>
  <c r="Q33" i="75"/>
  <c r="Q33" i="85"/>
  <c r="Q33" i="86"/>
  <c r="Q33" i="87"/>
  <c r="Q33" i="76"/>
  <c r="Q33" i="78"/>
  <c r="Q33" i="79"/>
  <c r="Q33" i="80"/>
  <c r="Q33" i="84"/>
  <c r="Q33" i="81"/>
  <c r="Q33" i="82"/>
  <c r="Q33" i="83"/>
  <c r="Q33" i="77"/>
  <c r="Q33" i="88"/>
  <c r="Q33" i="89"/>
  <c r="Q33" i="90"/>
  <c r="Q33" i="91"/>
  <c r="Q33" i="92"/>
  <c r="Q33" i="93"/>
  <c r="Q33" i="94"/>
  <c r="Q33" i="95"/>
  <c r="Q33" i="96"/>
  <c r="Q33" i="100"/>
  <c r="Q33" i="101"/>
  <c r="Q33" i="102"/>
  <c r="Q33" i="104"/>
  <c r="Q33" i="97"/>
  <c r="Q33" i="98"/>
  <c r="Q33" i="99"/>
  <c r="Q33" i="103"/>
  <c r="Q33" i="105"/>
  <c r="Q33" i="106"/>
  <c r="Q33" i="107"/>
  <c r="Q33" i="108"/>
  <c r="Q33" i="109"/>
  <c r="Q33" i="110"/>
  <c r="Q33" i="111"/>
  <c r="Q33" i="113"/>
  <c r="Q33" i="112"/>
  <c r="Q33" i="114"/>
  <c r="Q33" i="115"/>
  <c r="Q33" i="116"/>
  <c r="Q33" i="117"/>
  <c r="Q33" i="118"/>
  <c r="Q33" i="119"/>
  <c r="Q33" i="120"/>
  <c r="Q33" i="121"/>
  <c r="Q33" i="122"/>
  <c r="Q33" i="123"/>
  <c r="Q33" i="124"/>
  <c r="Q33" i="125"/>
  <c r="Q33" i="126"/>
  <c r="Q33" i="128"/>
  <c r="Q33" i="129"/>
  <c r="Q33" i="135"/>
  <c r="Q33" i="136"/>
  <c r="Q33" i="140"/>
  <c r="Q33" i="127"/>
  <c r="Q33" i="130"/>
  <c r="Q33" i="131"/>
  <c r="Q33" i="132"/>
  <c r="Q33" i="133"/>
  <c r="Q33" i="134"/>
  <c r="Q33" i="137"/>
  <c r="Q33" i="138"/>
  <c r="Q33" i="139"/>
  <c r="Q33" i="141"/>
  <c r="Q33" i="142"/>
  <c r="Q33" i="143"/>
  <c r="Q33" i="144"/>
  <c r="Q33" i="148"/>
  <c r="Q33" i="145"/>
  <c r="Q33" i="146"/>
  <c r="Q33" i="147"/>
  <c r="Q33" i="149"/>
  <c r="Q33" i="150"/>
  <c r="Q33" i="151"/>
  <c r="Q33" i="152"/>
  <c r="Q33" i="153"/>
  <c r="Q33" i="154"/>
  <c r="Q33" i="155"/>
  <c r="Q33" i="156"/>
  <c r="Q33" i="157"/>
  <c r="Q33" i="158"/>
  <c r="Q33" i="159"/>
  <c r="Q33" i="160"/>
  <c r="Q33" i="161"/>
  <c r="Q33" i="162"/>
  <c r="Q33" i="163"/>
  <c r="Q33" i="164"/>
  <c r="Q33" i="165"/>
  <c r="Q33" i="166"/>
  <c r="Q33" i="167"/>
  <c r="Q33" i="168"/>
  <c r="Q33" i="169"/>
  <c r="Q33" i="170"/>
  <c r="Q33" i="171"/>
  <c r="Q33" i="172"/>
  <c r="Q33" i="173"/>
  <c r="Q33" i="174"/>
  <c r="Q33" i="203"/>
  <c r="Q33" i="176"/>
  <c r="Q33" i="177"/>
  <c r="Q33" i="178"/>
  <c r="Q33" i="181"/>
  <c r="Q33" i="175"/>
  <c r="Q33" i="179"/>
  <c r="Q33" i="180"/>
  <c r="Q33" i="182"/>
  <c r="Q33" i="183"/>
  <c r="Q33" i="184"/>
  <c r="Q33" i="185"/>
  <c r="Q33" i="186"/>
  <c r="Q33" i="187"/>
  <c r="Q33" i="188"/>
  <c r="Q33" i="189"/>
  <c r="Q33" i="190"/>
  <c r="Q33" i="191"/>
  <c r="Q33" i="192"/>
  <c r="Q33" i="193"/>
  <c r="Q33" i="194"/>
  <c r="Q33" i="195"/>
  <c r="Q33" i="196"/>
  <c r="Q33" i="197"/>
  <c r="Q33" i="198"/>
  <c r="Q33" i="199"/>
  <c r="Q33" i="200"/>
  <c r="Q33" i="201"/>
  <c r="Q33" i="202"/>
  <c r="Q33" i="1"/>
  <c r="Q47" i="2"/>
  <c r="Q47" i="3"/>
  <c r="Q47" i="4"/>
  <c r="Q47" i="5"/>
  <c r="Q47" i="6"/>
  <c r="Q47" i="7"/>
  <c r="Q47" i="8"/>
  <c r="Q47" i="9"/>
  <c r="Q47" i="10"/>
  <c r="Q47" i="11"/>
  <c r="Q47" i="12"/>
  <c r="Q47" i="13"/>
  <c r="Q47" i="14"/>
  <c r="Q47" i="15"/>
  <c r="Q47" i="16"/>
  <c r="Q47" i="17"/>
  <c r="Q47" i="18"/>
  <c r="Q47" i="19"/>
  <c r="Q47" i="20"/>
  <c r="Q47" i="21"/>
  <c r="Q47" i="22"/>
  <c r="Q47" i="23"/>
  <c r="Q47" i="24"/>
  <c r="Q47" i="25"/>
  <c r="Q47" i="27"/>
  <c r="Q47" i="26"/>
  <c r="Q47" i="28"/>
  <c r="Q47" i="29"/>
  <c r="Q47" i="30"/>
  <c r="Q47" i="33"/>
  <c r="Q47" i="34"/>
  <c r="Q47" i="35"/>
  <c r="Q47" i="36"/>
  <c r="Q47" i="37"/>
  <c r="Q47" i="38"/>
  <c r="Q47" i="48"/>
  <c r="Q47" i="57"/>
  <c r="Q47" i="65"/>
  <c r="Q47" i="66"/>
  <c r="Q47" i="67"/>
  <c r="Q47" i="68"/>
  <c r="Q47" i="69"/>
  <c r="Q47" i="58"/>
  <c r="Q47" i="59"/>
  <c r="Q47" i="60"/>
  <c r="Q47" i="61"/>
  <c r="Q47" i="62"/>
  <c r="Q47" i="63"/>
  <c r="Q47" i="64"/>
  <c r="Q47" i="70"/>
  <c r="Q47" i="71"/>
  <c r="Q47" i="72"/>
  <c r="Q47" i="73"/>
  <c r="Q47" i="74"/>
  <c r="Q47" i="75"/>
  <c r="Q47" i="85"/>
  <c r="Q47" i="86"/>
  <c r="Q47" i="87"/>
  <c r="Q47" i="76"/>
  <c r="Q47" i="78"/>
  <c r="Q47" i="79"/>
  <c r="Q47" i="80"/>
  <c r="Q47" i="84"/>
  <c r="Q47" i="81"/>
  <c r="Q47" i="82"/>
  <c r="Q47" i="83"/>
  <c r="Q47" i="77"/>
  <c r="Q47" i="88"/>
  <c r="Q47" i="89"/>
  <c r="Q47" i="90"/>
  <c r="Q47" i="91"/>
  <c r="Q47" i="92"/>
  <c r="Q47" i="93"/>
  <c r="Q47" i="94"/>
  <c r="Q47" i="95"/>
  <c r="Q47" i="96"/>
  <c r="Q47" i="100"/>
  <c r="Q47" i="101"/>
  <c r="Q47" i="102"/>
  <c r="Q47" i="104"/>
  <c r="Q47" i="97"/>
  <c r="Q47" i="98"/>
  <c r="Q47" i="99"/>
  <c r="Q47" i="103"/>
  <c r="Q47" i="105"/>
  <c r="Q47" i="106"/>
  <c r="Q47" i="107"/>
  <c r="Q47" i="108"/>
  <c r="Q47" i="109"/>
  <c r="Q47" i="110"/>
  <c r="Q47" i="111"/>
  <c r="Q47" i="113"/>
  <c r="Q47" i="112"/>
  <c r="Q47" i="114"/>
  <c r="Q47" i="115"/>
  <c r="Q47" i="116"/>
  <c r="Q47" i="117"/>
  <c r="Q47" i="118"/>
  <c r="Q47" i="119"/>
  <c r="Q47" i="120"/>
  <c r="Q47" i="121"/>
  <c r="Q47" i="122"/>
  <c r="Q47" i="123"/>
  <c r="Q47" i="124"/>
  <c r="Q47" i="125"/>
  <c r="Q47" i="126"/>
  <c r="Q47" i="128"/>
  <c r="Q47" i="129"/>
  <c r="Q47" i="135"/>
  <c r="Q47" i="136"/>
  <c r="Q47" i="140"/>
  <c r="Q47" i="127"/>
  <c r="Q47" i="130"/>
  <c r="Q47" i="131"/>
  <c r="Q47" i="132"/>
  <c r="Q47" i="133"/>
  <c r="Q47" i="134"/>
  <c r="Q47" i="137"/>
  <c r="Q47" i="138"/>
  <c r="Q47" i="139"/>
  <c r="Q47" i="141"/>
  <c r="Q47" i="142"/>
  <c r="Q47" i="143"/>
  <c r="Q47" i="144"/>
  <c r="Q47" i="148"/>
  <c r="Q47" i="145"/>
  <c r="Q47" i="146"/>
  <c r="Q47" i="147"/>
  <c r="Q47" i="149"/>
  <c r="Q47" i="150"/>
  <c r="Q47" i="151"/>
  <c r="Q47" i="152"/>
  <c r="Q47" i="153"/>
  <c r="Q47" i="154"/>
  <c r="Q47" i="155"/>
  <c r="Q47" i="156"/>
  <c r="Q47" i="157"/>
  <c r="Q47" i="158"/>
  <c r="Q47" i="159"/>
  <c r="Q47" i="160"/>
  <c r="Q47" i="161"/>
  <c r="Q47" i="162"/>
  <c r="Q47" i="163"/>
  <c r="Q47" i="164"/>
  <c r="Q47" i="165"/>
  <c r="Q47" i="166"/>
  <c r="Q47" i="167"/>
  <c r="Q47" i="168"/>
  <c r="Q47" i="169"/>
  <c r="Q47" i="170"/>
  <c r="Q47" i="171"/>
  <c r="Q47" i="172"/>
  <c r="Q47" i="173"/>
  <c r="Q47" i="174"/>
  <c r="Q47" i="203"/>
  <c r="Q47" i="176"/>
  <c r="Q47" i="177"/>
  <c r="Q47" i="178"/>
  <c r="Q47" i="181"/>
  <c r="Q47" i="175"/>
  <c r="Q47" i="179"/>
  <c r="Q47" i="180"/>
  <c r="Q47" i="182"/>
  <c r="Q47" i="183"/>
  <c r="Q47" i="184"/>
  <c r="Q47" i="185"/>
  <c r="Q47" i="186"/>
  <c r="Q47" i="187"/>
  <c r="Q47" i="188"/>
  <c r="Q47" i="189"/>
  <c r="Q47" i="190"/>
  <c r="Q47" i="191"/>
  <c r="Q47" i="192"/>
  <c r="Q47" i="193"/>
  <c r="Q47" i="194"/>
  <c r="Q47" i="195"/>
  <c r="Q47" i="196"/>
  <c r="Q47" i="197"/>
  <c r="Q47" i="198"/>
  <c r="Q47" i="199"/>
  <c r="Q47" i="200"/>
  <c r="Q47" i="201"/>
  <c r="Q47" i="202"/>
  <c r="Q47" i="1"/>
  <c r="Q45" i="2"/>
  <c r="Q45" i="3"/>
  <c r="Q45" i="4"/>
  <c r="Q45" i="5"/>
  <c r="Q45" i="6"/>
  <c r="Q45" i="7"/>
  <c r="Q45" i="8"/>
  <c r="Q45" i="9"/>
  <c r="Q45" i="10"/>
  <c r="Q45" i="11"/>
  <c r="Q45" i="12"/>
  <c r="Q45" i="13"/>
  <c r="Q45" i="14"/>
  <c r="Q45" i="15"/>
  <c r="Q45" i="16"/>
  <c r="Q45" i="17"/>
  <c r="Q45" i="18"/>
  <c r="Q45" i="19"/>
  <c r="Q45" i="20"/>
  <c r="Q45" i="21"/>
  <c r="Q45" i="22"/>
  <c r="Q45" i="23"/>
  <c r="Q45" i="24"/>
  <c r="Q45" i="25"/>
  <c r="Q45" i="27"/>
  <c r="Q45" i="26"/>
  <c r="Q45" i="28"/>
  <c r="Q45" i="29"/>
  <c r="Q45" i="30"/>
  <c r="Q45" i="33"/>
  <c r="Q45" i="34"/>
  <c r="Q45" i="35"/>
  <c r="Q45" i="36"/>
  <c r="Q45" i="37"/>
  <c r="Q45" i="38"/>
  <c r="Q45" i="48"/>
  <c r="Q45" i="57"/>
  <c r="Q45" i="65"/>
  <c r="Q45" i="66"/>
  <c r="Q45" i="67"/>
  <c r="Q45" i="68"/>
  <c r="Q45" i="69"/>
  <c r="Q45" i="58"/>
  <c r="Q45" i="59"/>
  <c r="Q45" i="60"/>
  <c r="Q45" i="61"/>
  <c r="Q45" i="62"/>
  <c r="Q45" i="63"/>
  <c r="Q45" i="64"/>
  <c r="Q45" i="70"/>
  <c r="Q45" i="71"/>
  <c r="Q45" i="72"/>
  <c r="Q45" i="73"/>
  <c r="Q45" i="74"/>
  <c r="Q45" i="75"/>
  <c r="Q45" i="85"/>
  <c r="Q45" i="86"/>
  <c r="Q45" i="87"/>
  <c r="Q45" i="76"/>
  <c r="Q45" i="78"/>
  <c r="Q45" i="79"/>
  <c r="Q45" i="80"/>
  <c r="Q45" i="84"/>
  <c r="Q45" i="81"/>
  <c r="Q45" i="82"/>
  <c r="Q45" i="83"/>
  <c r="Q45" i="77"/>
  <c r="Q45" i="88"/>
  <c r="Q45" i="89"/>
  <c r="Q45" i="90"/>
  <c r="Q45" i="91"/>
  <c r="Q45" i="92"/>
  <c r="Q45" i="93"/>
  <c r="Q45" i="94"/>
  <c r="Q45" i="95"/>
  <c r="Q45" i="96"/>
  <c r="Q45" i="100"/>
  <c r="Q45" i="101"/>
  <c r="Q45" i="102"/>
  <c r="Q45" i="104"/>
  <c r="Q45" i="97"/>
  <c r="Q45" i="98"/>
  <c r="Q45" i="99"/>
  <c r="Q45" i="103"/>
  <c r="Q45" i="105"/>
  <c r="Q45" i="106"/>
  <c r="Q45" i="107"/>
  <c r="Q45" i="108"/>
  <c r="Q45" i="109"/>
  <c r="Q45" i="110"/>
  <c r="Q45" i="111"/>
  <c r="Q45" i="113"/>
  <c r="Q45" i="112"/>
  <c r="Q45" i="114"/>
  <c r="Q45" i="115"/>
  <c r="Q45" i="116"/>
  <c r="Q45" i="117"/>
  <c r="Q45" i="118"/>
  <c r="Q45" i="119"/>
  <c r="Q45" i="120"/>
  <c r="Q45" i="121"/>
  <c r="Q45" i="122"/>
  <c r="Q45" i="123"/>
  <c r="Q45" i="124"/>
  <c r="Q45" i="125"/>
  <c r="Q45" i="126"/>
  <c r="Q45" i="128"/>
  <c r="Q45" i="129"/>
  <c r="Q45" i="135"/>
  <c r="Q45" i="136"/>
  <c r="Q45" i="140"/>
  <c r="Q45" i="127"/>
  <c r="Q45" i="130"/>
  <c r="Q45" i="131"/>
  <c r="Q45" i="132"/>
  <c r="Q45" i="133"/>
  <c r="Q45" i="134"/>
  <c r="Q45" i="137"/>
  <c r="Q45" i="138"/>
  <c r="Q45" i="139"/>
  <c r="Q45" i="141"/>
  <c r="Q45" i="142"/>
  <c r="Q45" i="143"/>
  <c r="Q45" i="144"/>
  <c r="Q45" i="148"/>
  <c r="Q45" i="145"/>
  <c r="Q45" i="146"/>
  <c r="Q45" i="147"/>
  <c r="Q45" i="149"/>
  <c r="Q45" i="150"/>
  <c r="Q45" i="151"/>
  <c r="Q45" i="152"/>
  <c r="Q45" i="153"/>
  <c r="Q45" i="154"/>
  <c r="Q45" i="155"/>
  <c r="Q45" i="156"/>
  <c r="Q45" i="157"/>
  <c r="Q45" i="158"/>
  <c r="Q45" i="159"/>
  <c r="Q45" i="160"/>
  <c r="Q45" i="161"/>
  <c r="Q45" i="162"/>
  <c r="Q45" i="163"/>
  <c r="Q45" i="164"/>
  <c r="Q45" i="165"/>
  <c r="Q45" i="166"/>
  <c r="Q45" i="167"/>
  <c r="Q45" i="168"/>
  <c r="Q45" i="169"/>
  <c r="Q45" i="170"/>
  <c r="Q45" i="171"/>
  <c r="Q45" i="172"/>
  <c r="Q45" i="173"/>
  <c r="Q45" i="174"/>
  <c r="Q45" i="203"/>
  <c r="Q45" i="176"/>
  <c r="Q45" i="177"/>
  <c r="Q45" i="178"/>
  <c r="Q45" i="181"/>
  <c r="Q45" i="175"/>
  <c r="Q45" i="179"/>
  <c r="Q45" i="180"/>
  <c r="Q45" i="182"/>
  <c r="Q45" i="183"/>
  <c r="Q45" i="184"/>
  <c r="Q45" i="185"/>
  <c r="Q45" i="186"/>
  <c r="Q45" i="187"/>
  <c r="Q45" i="188"/>
  <c r="Q45" i="189"/>
  <c r="Q45" i="190"/>
  <c r="Q45" i="191"/>
  <c r="Q45" i="192"/>
  <c r="Q45" i="193"/>
  <c r="Q45" i="194"/>
  <c r="Q45" i="195"/>
  <c r="Q45" i="196"/>
  <c r="Q45" i="197"/>
  <c r="Q45" i="198"/>
  <c r="Q45" i="199"/>
  <c r="Q45" i="200"/>
  <c r="Q45" i="201"/>
  <c r="Q45" i="202"/>
  <c r="Q45" i="1"/>
  <c r="Q30" i="2"/>
  <c r="Q30" i="3"/>
  <c r="Q30" i="4"/>
  <c r="Q30" i="5"/>
  <c r="Q30" i="6"/>
  <c r="Q30" i="7"/>
  <c r="Q30" i="8"/>
  <c r="Q30" i="9"/>
  <c r="Q30" i="10"/>
  <c r="Q30" i="11"/>
  <c r="Q30" i="12"/>
  <c r="Q30" i="13"/>
  <c r="Q30" i="14"/>
  <c r="Q30" i="15"/>
  <c r="Q30" i="16"/>
  <c r="Q30" i="17"/>
  <c r="Q30" i="18"/>
  <c r="Q30" i="19"/>
  <c r="Q30" i="20"/>
  <c r="Q30" i="21"/>
  <c r="Q30" i="22"/>
  <c r="Q30" i="23"/>
  <c r="Q30" i="24"/>
  <c r="Q30" i="25"/>
  <c r="Q30" i="27"/>
  <c r="Q30" i="26"/>
  <c r="Q30" i="28"/>
  <c r="Q30" i="29"/>
  <c r="Q30" i="30"/>
  <c r="Q30" i="33"/>
  <c r="Q30" i="34"/>
  <c r="Q30" i="35"/>
  <c r="Q30" i="36"/>
  <c r="Q30" i="37"/>
  <c r="Q30" i="38"/>
  <c r="Q30" i="48"/>
  <c r="Q30" i="57"/>
  <c r="Q30" i="65"/>
  <c r="Q30" i="66"/>
  <c r="Q30" i="67"/>
  <c r="Q30" i="68"/>
  <c r="Q30" i="69"/>
  <c r="Q30" i="58"/>
  <c r="Q30" i="59"/>
  <c r="Q30" i="60"/>
  <c r="Q30" i="61"/>
  <c r="Q30" i="62"/>
  <c r="Q30" i="63"/>
  <c r="Q30" i="64"/>
  <c r="Q30" i="70"/>
  <c r="Q30" i="71"/>
  <c r="Q30" i="72"/>
  <c r="Q30" i="73"/>
  <c r="Q30" i="74"/>
  <c r="Q30" i="75"/>
  <c r="Q30" i="85"/>
  <c r="Q30" i="86"/>
  <c r="Q30" i="87"/>
  <c r="Q30" i="76"/>
  <c r="Q30" i="78"/>
  <c r="Q30" i="79"/>
  <c r="Q30" i="80"/>
  <c r="Q30" i="84"/>
  <c r="Q30" i="81"/>
  <c r="Q30" i="82"/>
  <c r="Q30" i="83"/>
  <c r="Q30" i="77"/>
  <c r="Q30" i="88"/>
  <c r="Q30" i="89"/>
  <c r="Q30" i="90"/>
  <c r="Q30" i="91"/>
  <c r="Q30" i="92"/>
  <c r="Q30" i="93"/>
  <c r="Q30" i="94"/>
  <c r="Q30" i="95"/>
  <c r="Q30" i="96"/>
  <c r="Q30" i="100"/>
  <c r="Q30" i="101"/>
  <c r="Q30" i="102"/>
  <c r="Q30" i="104"/>
  <c r="Q30" i="97"/>
  <c r="Q30" i="98"/>
  <c r="Q30" i="99"/>
  <c r="Q30" i="103"/>
  <c r="Q30" i="105"/>
  <c r="Q30" i="106"/>
  <c r="Q30" i="107"/>
  <c r="Q30" i="108"/>
  <c r="Q30" i="109"/>
  <c r="Q30" i="110"/>
  <c r="Q30" i="111"/>
  <c r="Q30" i="113"/>
  <c r="Q30" i="112"/>
  <c r="Q30" i="114"/>
  <c r="Q30" i="115"/>
  <c r="Q30" i="116"/>
  <c r="Q30" i="117"/>
  <c r="Q30" i="118"/>
  <c r="Q30" i="119"/>
  <c r="Q30" i="120"/>
  <c r="Q30" i="121"/>
  <c r="Q30" i="122"/>
  <c r="Q30" i="123"/>
  <c r="Q30" i="124"/>
  <c r="Q30" i="125"/>
  <c r="Q30" i="126"/>
  <c r="Q30" i="128"/>
  <c r="Q30" i="129"/>
  <c r="Q30" i="135"/>
  <c r="Q30" i="136"/>
  <c r="Q30" i="140"/>
  <c r="Q30" i="127"/>
  <c r="Q30" i="130"/>
  <c r="Q30" i="131"/>
  <c r="Q30" i="132"/>
  <c r="Q30" i="133"/>
  <c r="Q30" i="134"/>
  <c r="Q30" i="137"/>
  <c r="Q30" i="138"/>
  <c r="Q30" i="139"/>
  <c r="Q30" i="141"/>
  <c r="Q30" i="142"/>
  <c r="Q30" i="143"/>
  <c r="Q30" i="144"/>
  <c r="Q30" i="148"/>
  <c r="Q30" i="145"/>
  <c r="Q30" i="146"/>
  <c r="Q30" i="147"/>
  <c r="Q30" i="149"/>
  <c r="Q30" i="150"/>
  <c r="Q30" i="151"/>
  <c r="Q30" i="152"/>
  <c r="Q30" i="153"/>
  <c r="Q30" i="154"/>
  <c r="Q30" i="155"/>
  <c r="Q30" i="156"/>
  <c r="Q30" i="157"/>
  <c r="Q30" i="158"/>
  <c r="Q30" i="159"/>
  <c r="Q30" i="160"/>
  <c r="Q30" i="161"/>
  <c r="Q30" i="162"/>
  <c r="Q30" i="163"/>
  <c r="Q30" i="164"/>
  <c r="Q30" i="165"/>
  <c r="Q30" i="166"/>
  <c r="Q30" i="167"/>
  <c r="Q30" i="168"/>
  <c r="Q30" i="169"/>
  <c r="Q30" i="170"/>
  <c r="Q30" i="171"/>
  <c r="Q30" i="172"/>
  <c r="Q30" i="173"/>
  <c r="Q30" i="174"/>
  <c r="Q30" i="203"/>
  <c r="Q30" i="176"/>
  <c r="Q30" i="177"/>
  <c r="Q30" i="178"/>
  <c r="Q30" i="181"/>
  <c r="Q30" i="175"/>
  <c r="Q30" i="179"/>
  <c r="Q30" i="180"/>
  <c r="Q30" i="182"/>
  <c r="Q30" i="183"/>
  <c r="Q30" i="184"/>
  <c r="Q30" i="185"/>
  <c r="Q30" i="186"/>
  <c r="Q30" i="187"/>
  <c r="Q30" i="188"/>
  <c r="Q30" i="189"/>
  <c r="Q30" i="190"/>
  <c r="Q30" i="191"/>
  <c r="Q30" i="192"/>
  <c r="Q30" i="193"/>
  <c r="Q30" i="194"/>
  <c r="Q30" i="195"/>
  <c r="Q30" i="196"/>
  <c r="Q30" i="197"/>
  <c r="Q30" i="198"/>
  <c r="Q30" i="199"/>
  <c r="Q30" i="200"/>
  <c r="Q30" i="201"/>
  <c r="Q30" i="202"/>
  <c r="Q30" i="1"/>
  <c r="U69" i="2" l="1"/>
  <c r="U69" i="3"/>
  <c r="U69" i="4"/>
  <c r="U69" i="5"/>
  <c r="U69" i="6"/>
  <c r="U69" i="7"/>
  <c r="U69" i="8"/>
  <c r="U69" i="9"/>
  <c r="U69" i="10"/>
  <c r="U69" i="11"/>
  <c r="U69" i="12"/>
  <c r="U69" i="13"/>
  <c r="U69" i="14"/>
  <c r="U69" i="15"/>
  <c r="U69" i="16"/>
  <c r="U69" i="17"/>
  <c r="U69" i="18"/>
  <c r="U69" i="19"/>
  <c r="U69" i="20"/>
  <c r="U69" i="21"/>
  <c r="U69" i="22"/>
  <c r="U69" i="23"/>
  <c r="U69" i="24"/>
  <c r="U69" i="25"/>
  <c r="U69" i="27"/>
  <c r="U69" i="26"/>
  <c r="U69" i="28"/>
  <c r="U69" i="29"/>
  <c r="U69" i="30"/>
  <c r="U69" i="33"/>
  <c r="U69" i="34"/>
  <c r="U69" i="35"/>
  <c r="U69" i="36"/>
  <c r="U69" i="37"/>
  <c r="U69" i="38"/>
  <c r="U69" i="48"/>
  <c r="U69" i="57"/>
  <c r="U69" i="65"/>
  <c r="U69" i="66"/>
  <c r="U69" i="67"/>
  <c r="U69" i="68"/>
  <c r="U69" i="69"/>
  <c r="U69" i="58"/>
  <c r="U69" i="59"/>
  <c r="U69" i="60"/>
  <c r="U69" i="61"/>
  <c r="U69" i="62"/>
  <c r="U69" i="63"/>
  <c r="U69" i="64"/>
  <c r="U69" i="70"/>
  <c r="U69" i="71"/>
  <c r="U69" i="72"/>
  <c r="U69" i="73"/>
  <c r="U69" i="74"/>
  <c r="U69" i="75"/>
  <c r="U69" i="85"/>
  <c r="U69" i="86"/>
  <c r="U69" i="87"/>
  <c r="U69" i="76"/>
  <c r="U69" i="78"/>
  <c r="U69" i="79"/>
  <c r="U69" i="80"/>
  <c r="U69" i="84"/>
  <c r="U69" i="81"/>
  <c r="U69" i="82"/>
  <c r="U69" i="83"/>
  <c r="U69" i="77"/>
  <c r="U69" i="88"/>
  <c r="U69" i="89"/>
  <c r="U69" i="90"/>
  <c r="U69" i="91"/>
  <c r="U69" i="92"/>
  <c r="U69" i="93"/>
  <c r="U69" i="94"/>
  <c r="U69" i="95"/>
  <c r="U69" i="96"/>
  <c r="U69" i="100"/>
  <c r="U69" i="101"/>
  <c r="U69" i="102"/>
  <c r="U69" i="104"/>
  <c r="U69" i="97"/>
  <c r="U69" i="98"/>
  <c r="U69" i="99"/>
  <c r="U69" i="103"/>
  <c r="U69" i="105"/>
  <c r="U69" i="106"/>
  <c r="U69" i="107"/>
  <c r="U69" i="108"/>
  <c r="U69" i="109"/>
  <c r="U69" i="110"/>
  <c r="U69" i="111"/>
  <c r="U69" i="113"/>
  <c r="U69" i="112"/>
  <c r="U69" i="114"/>
  <c r="U69" i="115"/>
  <c r="U69" i="116"/>
  <c r="U69" i="117"/>
  <c r="U69" i="118"/>
  <c r="U69" i="119"/>
  <c r="U69" i="120"/>
  <c r="U69" i="121"/>
  <c r="U69" i="122"/>
  <c r="U69" i="123"/>
  <c r="U69" i="124"/>
  <c r="U69" i="125"/>
  <c r="U69" i="126"/>
  <c r="U69" i="128"/>
  <c r="U69" i="129"/>
  <c r="U69" i="135"/>
  <c r="U69" i="136"/>
  <c r="U69" i="140"/>
  <c r="U69" i="127"/>
  <c r="U69" i="130"/>
  <c r="U69" i="131"/>
  <c r="U69" i="132"/>
  <c r="U69" i="133"/>
  <c r="U69" i="134"/>
  <c r="U69" i="137"/>
  <c r="U69" i="138"/>
  <c r="U69" i="139"/>
  <c r="U69" i="141"/>
  <c r="U69" i="142"/>
  <c r="U69" i="143"/>
  <c r="U69" i="144"/>
  <c r="U69" i="148"/>
  <c r="U69" i="145"/>
  <c r="U69" i="146"/>
  <c r="U69" i="147"/>
  <c r="U69" i="149"/>
  <c r="U69" i="150"/>
  <c r="U69" i="151"/>
  <c r="U69" i="152"/>
  <c r="U69" i="153"/>
  <c r="U69" i="154"/>
  <c r="U69" i="155"/>
  <c r="U69" i="157"/>
  <c r="U69" i="158"/>
  <c r="U69" i="159"/>
  <c r="U69" i="160"/>
  <c r="U69" i="161"/>
  <c r="U69" i="162"/>
  <c r="U69" i="163"/>
  <c r="U69" i="164"/>
  <c r="U69" i="165"/>
  <c r="U69" i="166"/>
  <c r="U69" i="167"/>
  <c r="U69" i="168"/>
  <c r="U69" i="170"/>
  <c r="U69" i="172"/>
  <c r="U69" i="173"/>
  <c r="U69" i="203"/>
  <c r="U69" i="176"/>
  <c r="U69" i="177"/>
  <c r="U69" i="178"/>
  <c r="U69" i="181"/>
  <c r="U69" i="175"/>
  <c r="U69" i="179"/>
  <c r="U69" i="180"/>
  <c r="U69" i="182"/>
  <c r="U69" i="183"/>
  <c r="U69" i="184"/>
  <c r="U69" i="185"/>
  <c r="U69" i="186"/>
  <c r="U69" i="187"/>
  <c r="U69" i="188"/>
  <c r="U69" i="189"/>
  <c r="U69" i="190"/>
  <c r="U69" i="191"/>
  <c r="U69" i="192"/>
  <c r="U69" i="193"/>
  <c r="U69" i="194"/>
  <c r="U69" i="195"/>
  <c r="U69" i="196"/>
  <c r="U69" i="197"/>
  <c r="U69" i="198"/>
  <c r="U69" i="199"/>
  <c r="U69" i="200"/>
  <c r="U69" i="201"/>
  <c r="U69" i="202"/>
  <c r="U69" i="1"/>
  <c r="F146" i="31" l="1"/>
  <c r="G146" i="31"/>
  <c r="AJ86" i="2" l="1"/>
  <c r="AG86" i="2"/>
  <c r="AJ85" i="2"/>
  <c r="AG85" i="2"/>
  <c r="AJ84" i="2"/>
  <c r="AG84" i="2"/>
  <c r="AJ83" i="2"/>
  <c r="AG83" i="2"/>
  <c r="AJ82" i="2"/>
  <c r="AG82" i="2"/>
  <c r="AH82" i="2" s="1"/>
  <c r="AI82" i="2" s="1"/>
  <c r="AJ81" i="2"/>
  <c r="AG81" i="2"/>
  <c r="AH81" i="2" s="1"/>
  <c r="AI81" i="2" s="1"/>
  <c r="AJ80" i="2"/>
  <c r="AG80" i="2"/>
  <c r="AH80" i="2" s="1"/>
  <c r="AI80" i="2" s="1"/>
  <c r="AJ79" i="2"/>
  <c r="AG79" i="2"/>
  <c r="AH79" i="2" s="1"/>
  <c r="AI79" i="2" s="1"/>
  <c r="AJ78" i="2"/>
  <c r="AG78" i="2"/>
  <c r="AH78" i="2" s="1"/>
  <c r="AI78" i="2" s="1"/>
  <c r="AJ77" i="2"/>
  <c r="AG77" i="2"/>
  <c r="AH77" i="2" s="1"/>
  <c r="AI77" i="2" s="1"/>
  <c r="AJ76" i="2"/>
  <c r="AG76" i="2"/>
  <c r="AH76" i="2" s="1"/>
  <c r="AI76" i="2" s="1"/>
  <c r="AJ75" i="2"/>
  <c r="AG75" i="2"/>
  <c r="AH75" i="2" s="1"/>
  <c r="AI75" i="2" s="1"/>
  <c r="AJ86" i="3"/>
  <c r="AG86" i="3"/>
  <c r="AJ85" i="3"/>
  <c r="AG85" i="3"/>
  <c r="AJ84" i="3"/>
  <c r="AG84" i="3"/>
  <c r="AJ83" i="3"/>
  <c r="AG83" i="3"/>
  <c r="AJ82" i="3"/>
  <c r="AG82" i="3"/>
  <c r="AH82" i="3" s="1"/>
  <c r="AI82" i="3" s="1"/>
  <c r="AJ81" i="3"/>
  <c r="AG81" i="3"/>
  <c r="AH81" i="3" s="1"/>
  <c r="AI81" i="3" s="1"/>
  <c r="AJ80" i="3"/>
  <c r="AG80" i="3"/>
  <c r="AH80" i="3" s="1"/>
  <c r="AI80" i="3" s="1"/>
  <c r="AJ79" i="3"/>
  <c r="AG79" i="3"/>
  <c r="AH79" i="3" s="1"/>
  <c r="AI79" i="3" s="1"/>
  <c r="AJ78" i="3"/>
  <c r="AG78" i="3"/>
  <c r="AH78" i="3" s="1"/>
  <c r="AI78" i="3" s="1"/>
  <c r="AJ77" i="3"/>
  <c r="AG77" i="3"/>
  <c r="AH77" i="3" s="1"/>
  <c r="AI77" i="3" s="1"/>
  <c r="AJ76" i="3"/>
  <c r="AG76" i="3"/>
  <c r="AH76" i="3" s="1"/>
  <c r="AI76" i="3" s="1"/>
  <c r="AJ75" i="3"/>
  <c r="AG75" i="3"/>
  <c r="AH75" i="3" s="1"/>
  <c r="AI75" i="3" s="1"/>
  <c r="AJ86" i="4"/>
  <c r="AG86" i="4"/>
  <c r="AJ85" i="4"/>
  <c r="AG85" i="4"/>
  <c r="AJ84" i="4"/>
  <c r="AG84" i="4"/>
  <c r="AJ83" i="4"/>
  <c r="AG83" i="4"/>
  <c r="AJ82" i="4"/>
  <c r="AG82" i="4"/>
  <c r="AJ81" i="4"/>
  <c r="AG81" i="4"/>
  <c r="AH81" i="4" s="1"/>
  <c r="AI81" i="4" s="1"/>
  <c r="AJ80" i="4"/>
  <c r="AG80" i="4"/>
  <c r="AH80" i="4" s="1"/>
  <c r="AI80" i="4" s="1"/>
  <c r="AJ79" i="4"/>
  <c r="AG79" i="4"/>
  <c r="AH79" i="4" s="1"/>
  <c r="AI79" i="4" s="1"/>
  <c r="AJ78" i="4"/>
  <c r="AG78" i="4"/>
  <c r="AJ77" i="4"/>
  <c r="AG77" i="4"/>
  <c r="AH77" i="4" s="1"/>
  <c r="AI77" i="4" s="1"/>
  <c r="AJ76" i="4"/>
  <c r="AG76" i="4"/>
  <c r="AH76" i="4" s="1"/>
  <c r="AI76" i="4" s="1"/>
  <c r="AJ75" i="4"/>
  <c r="AG75" i="4"/>
  <c r="AH75" i="4" s="1"/>
  <c r="AI75" i="4" s="1"/>
  <c r="AJ86" i="5"/>
  <c r="AG86" i="5"/>
  <c r="AJ85" i="5"/>
  <c r="AG85" i="5"/>
  <c r="AJ84" i="5"/>
  <c r="AG84" i="5"/>
  <c r="AJ83" i="5"/>
  <c r="AG83" i="5"/>
  <c r="AJ82" i="5"/>
  <c r="AG82" i="5"/>
  <c r="AJ81" i="5"/>
  <c r="AG81" i="5"/>
  <c r="AJ80" i="5"/>
  <c r="AG80" i="5"/>
  <c r="AJ79" i="5"/>
  <c r="AG79" i="5"/>
  <c r="AJ78" i="5"/>
  <c r="AG78" i="5"/>
  <c r="AJ77" i="5"/>
  <c r="AG77" i="5"/>
  <c r="AH77" i="5" s="1"/>
  <c r="AI77" i="5" s="1"/>
  <c r="AJ76" i="5"/>
  <c r="AG76" i="5"/>
  <c r="AH76" i="5" s="1"/>
  <c r="AI76" i="5" s="1"/>
  <c r="AJ75" i="5"/>
  <c r="AG75" i="5"/>
  <c r="AJ86" i="6"/>
  <c r="AG86" i="6"/>
  <c r="AJ85" i="6"/>
  <c r="AG85" i="6"/>
  <c r="AJ84" i="6"/>
  <c r="AG84" i="6"/>
  <c r="AJ83" i="6"/>
  <c r="AG83" i="6"/>
  <c r="AJ82" i="6"/>
  <c r="AG82" i="6"/>
  <c r="AJ81" i="6"/>
  <c r="AG81" i="6"/>
  <c r="AJ80" i="6"/>
  <c r="AG80" i="6"/>
  <c r="AJ79" i="6"/>
  <c r="AG79" i="6"/>
  <c r="AH79" i="6" s="1"/>
  <c r="AI79" i="6" s="1"/>
  <c r="AJ78" i="6"/>
  <c r="AG78" i="6"/>
  <c r="AH78" i="6" s="1"/>
  <c r="AI78" i="6" s="1"/>
  <c r="AJ77" i="6"/>
  <c r="AG77" i="6"/>
  <c r="AH77" i="6" s="1"/>
  <c r="AI77" i="6" s="1"/>
  <c r="AJ76" i="6"/>
  <c r="AG76" i="6"/>
  <c r="AH76" i="6" s="1"/>
  <c r="AI76" i="6" s="1"/>
  <c r="AJ75" i="6"/>
  <c r="AG75" i="6"/>
  <c r="AH75" i="6" s="1"/>
  <c r="AI75" i="6" s="1"/>
  <c r="AJ86" i="7"/>
  <c r="AG86" i="7"/>
  <c r="AJ85" i="7"/>
  <c r="AG85" i="7"/>
  <c r="AJ84" i="7"/>
  <c r="AG84" i="7"/>
  <c r="AJ83" i="7"/>
  <c r="AG83" i="7"/>
  <c r="AJ82" i="7"/>
  <c r="AG82" i="7"/>
  <c r="AJ81" i="7"/>
  <c r="AG81" i="7"/>
  <c r="AJ80" i="7"/>
  <c r="AG80" i="7"/>
  <c r="AJ79" i="7"/>
  <c r="AG79" i="7"/>
  <c r="AJ78" i="7"/>
  <c r="AG78" i="7"/>
  <c r="AJ77" i="7"/>
  <c r="AG77" i="7"/>
  <c r="AJ76" i="7"/>
  <c r="AG76" i="7"/>
  <c r="AH76" i="7" s="1"/>
  <c r="AI76" i="7" s="1"/>
  <c r="AJ75" i="7"/>
  <c r="AG75" i="7"/>
  <c r="AJ86" i="8"/>
  <c r="AG86" i="8"/>
  <c r="AJ85" i="8"/>
  <c r="AG85" i="8"/>
  <c r="AJ84" i="8"/>
  <c r="AG84" i="8"/>
  <c r="AJ83" i="8"/>
  <c r="AG83" i="8"/>
  <c r="AJ82" i="8"/>
  <c r="AG82" i="8"/>
  <c r="AJ81" i="8"/>
  <c r="AG81" i="8"/>
  <c r="AJ80" i="8"/>
  <c r="AG80" i="8"/>
  <c r="AJ79" i="8"/>
  <c r="AG79" i="8"/>
  <c r="AJ78" i="8"/>
  <c r="AG78" i="8"/>
  <c r="AJ77" i="8"/>
  <c r="AG77" i="8"/>
  <c r="AJ76" i="8"/>
  <c r="AG76" i="8"/>
  <c r="AH76" i="8" s="1"/>
  <c r="AI76" i="8" s="1"/>
  <c r="AJ75" i="8"/>
  <c r="AG75" i="8"/>
  <c r="AH75" i="8" s="1"/>
  <c r="AI75" i="8" s="1"/>
  <c r="AJ86" i="9"/>
  <c r="AG86" i="9"/>
  <c r="AJ85" i="9"/>
  <c r="AG85" i="9"/>
  <c r="AJ84" i="9"/>
  <c r="AG84" i="9"/>
  <c r="AJ83" i="9"/>
  <c r="AG83" i="9"/>
  <c r="AJ82" i="9"/>
  <c r="AG82" i="9"/>
  <c r="AJ81" i="9"/>
  <c r="AG81" i="9"/>
  <c r="AJ80" i="9"/>
  <c r="AG80" i="9"/>
  <c r="AJ79" i="9"/>
  <c r="AG79" i="9"/>
  <c r="AJ78" i="9"/>
  <c r="AG78" i="9"/>
  <c r="AH78" i="9" s="1"/>
  <c r="AI78" i="9" s="1"/>
  <c r="AJ77" i="9"/>
  <c r="AG77" i="9"/>
  <c r="AH77" i="9" s="1"/>
  <c r="AI77" i="9" s="1"/>
  <c r="AJ76" i="9"/>
  <c r="AG76" i="9"/>
  <c r="AH76" i="9" s="1"/>
  <c r="AI76" i="9" s="1"/>
  <c r="AJ75" i="9"/>
  <c r="AG75" i="9"/>
  <c r="AJ86" i="10"/>
  <c r="AG86" i="10"/>
  <c r="AJ85" i="10"/>
  <c r="AG85" i="10"/>
  <c r="AJ84" i="10"/>
  <c r="AG84" i="10"/>
  <c r="AJ83" i="10"/>
  <c r="AG83" i="10"/>
  <c r="AJ82" i="10"/>
  <c r="AG82" i="10"/>
  <c r="AJ81" i="10"/>
  <c r="AG81" i="10"/>
  <c r="AJ80" i="10"/>
  <c r="AG80" i="10"/>
  <c r="AJ79" i="10"/>
  <c r="AG79" i="10"/>
  <c r="AJ78" i="10"/>
  <c r="AG78" i="10"/>
  <c r="AJ77" i="10"/>
  <c r="AG77" i="10"/>
  <c r="AH77" i="10" s="1"/>
  <c r="AI77" i="10" s="1"/>
  <c r="AJ76" i="10"/>
  <c r="AG76" i="10"/>
  <c r="AH76" i="10" s="1"/>
  <c r="AI76" i="10" s="1"/>
  <c r="AJ75" i="10"/>
  <c r="AG75" i="10"/>
  <c r="AH75" i="10" s="1"/>
  <c r="AI75" i="10" s="1"/>
  <c r="AJ86" i="11"/>
  <c r="AG86" i="11"/>
  <c r="AJ85" i="11"/>
  <c r="AG85" i="11"/>
  <c r="AJ84" i="11"/>
  <c r="AG84" i="11"/>
  <c r="AJ83" i="11"/>
  <c r="AG83" i="11"/>
  <c r="AJ82" i="11"/>
  <c r="AG82" i="11"/>
  <c r="AJ81" i="11"/>
  <c r="AG81" i="11"/>
  <c r="AJ80" i="11"/>
  <c r="AG80" i="11"/>
  <c r="AJ79" i="11"/>
  <c r="AG79" i="11"/>
  <c r="AJ78" i="11"/>
  <c r="AG78" i="11"/>
  <c r="AJ77" i="11"/>
  <c r="AG77" i="11"/>
  <c r="AJ76" i="11"/>
  <c r="AG76" i="11"/>
  <c r="AJ75" i="11"/>
  <c r="AG75" i="11"/>
  <c r="AH75" i="11" s="1"/>
  <c r="AI75" i="11" s="1"/>
  <c r="AJ86" i="12"/>
  <c r="AG86" i="12"/>
  <c r="AJ85" i="12"/>
  <c r="AG85" i="12"/>
  <c r="AJ84" i="12"/>
  <c r="AG84" i="12"/>
  <c r="AJ83" i="12"/>
  <c r="AG83" i="12"/>
  <c r="AJ82" i="12"/>
  <c r="AG82" i="12"/>
  <c r="AJ81" i="12"/>
  <c r="AG81" i="12"/>
  <c r="AJ80" i="12"/>
  <c r="AG80" i="12"/>
  <c r="AJ79" i="12"/>
  <c r="AG79" i="12"/>
  <c r="AJ78" i="12"/>
  <c r="AG78" i="12"/>
  <c r="AJ77" i="12"/>
  <c r="AG77" i="12"/>
  <c r="AH77" i="12" s="1"/>
  <c r="AI77" i="12" s="1"/>
  <c r="AJ76" i="12"/>
  <c r="AG76" i="12"/>
  <c r="AH76" i="12" s="1"/>
  <c r="AI76" i="12" s="1"/>
  <c r="AJ75" i="12"/>
  <c r="AG75" i="12"/>
  <c r="AH75" i="12" s="1"/>
  <c r="AI75" i="12" s="1"/>
  <c r="AJ86" i="13"/>
  <c r="AG86" i="13"/>
  <c r="AJ85" i="13"/>
  <c r="AG85" i="13"/>
  <c r="AJ84" i="13"/>
  <c r="AG84" i="13"/>
  <c r="AJ83" i="13"/>
  <c r="AG83" i="13"/>
  <c r="AJ82" i="13"/>
  <c r="AG82" i="13"/>
  <c r="AJ81" i="13"/>
  <c r="AG81" i="13"/>
  <c r="AJ80" i="13"/>
  <c r="AG80" i="13"/>
  <c r="AJ79" i="13"/>
  <c r="AG79" i="13"/>
  <c r="AJ78" i="13"/>
  <c r="AG78" i="13"/>
  <c r="AJ77" i="13"/>
  <c r="AG77" i="13"/>
  <c r="AJ76" i="13"/>
  <c r="AG76" i="13"/>
  <c r="AH76" i="13" s="1"/>
  <c r="AI76" i="13" s="1"/>
  <c r="AJ75" i="13"/>
  <c r="AG75" i="13"/>
  <c r="AJ86" i="14"/>
  <c r="AG86" i="14"/>
  <c r="AJ85" i="14"/>
  <c r="AG85" i="14"/>
  <c r="AJ84" i="14"/>
  <c r="AG84" i="14"/>
  <c r="AJ83" i="14"/>
  <c r="AG83" i="14"/>
  <c r="AJ82" i="14"/>
  <c r="AG82" i="14"/>
  <c r="AJ81" i="14"/>
  <c r="AG81" i="14"/>
  <c r="AJ80" i="14"/>
  <c r="AG80" i="14"/>
  <c r="AJ79" i="14"/>
  <c r="AG79" i="14"/>
  <c r="AJ78" i="14"/>
  <c r="AG78" i="14"/>
  <c r="AJ77" i="14"/>
  <c r="AG77" i="14"/>
  <c r="AJ76" i="14"/>
  <c r="AG76" i="14"/>
  <c r="AH76" i="14" s="1"/>
  <c r="AI76" i="14" s="1"/>
  <c r="AJ75" i="14"/>
  <c r="AG75" i="14"/>
  <c r="AH75" i="14" s="1"/>
  <c r="AI75" i="14" s="1"/>
  <c r="AJ86" i="15"/>
  <c r="AG86" i="15"/>
  <c r="AJ85" i="15"/>
  <c r="AG85" i="15"/>
  <c r="AJ84" i="15"/>
  <c r="AG84" i="15"/>
  <c r="AJ83" i="15"/>
  <c r="AG83" i="15"/>
  <c r="AJ82" i="15"/>
  <c r="AG82" i="15"/>
  <c r="AJ81" i="15"/>
  <c r="AG81" i="15"/>
  <c r="AJ80" i="15"/>
  <c r="AG80" i="15"/>
  <c r="AJ79" i="15"/>
  <c r="AG79" i="15"/>
  <c r="AH79" i="15" s="1"/>
  <c r="AI79" i="15" s="1"/>
  <c r="AJ78" i="15"/>
  <c r="AG78" i="15"/>
  <c r="AH78" i="15" s="1"/>
  <c r="AI78" i="15" s="1"/>
  <c r="AJ77" i="15"/>
  <c r="AG77" i="15"/>
  <c r="AJ76" i="15"/>
  <c r="AG76" i="15"/>
  <c r="AH76" i="15" s="1"/>
  <c r="AI76" i="15" s="1"/>
  <c r="AJ75" i="15"/>
  <c r="AG75" i="15"/>
  <c r="AH75" i="15" s="1"/>
  <c r="AI75" i="15" s="1"/>
  <c r="AJ86" i="16"/>
  <c r="AG86" i="16"/>
  <c r="AJ85" i="16"/>
  <c r="AG85" i="16"/>
  <c r="AJ84" i="16"/>
  <c r="AG84" i="16"/>
  <c r="AJ83" i="16"/>
  <c r="AG83" i="16"/>
  <c r="AJ82" i="16"/>
  <c r="AG82" i="16"/>
  <c r="AJ81" i="16"/>
  <c r="AG81" i="16"/>
  <c r="AJ80" i="16"/>
  <c r="AG80" i="16"/>
  <c r="AJ79" i="16"/>
  <c r="AG79" i="16"/>
  <c r="AJ78" i="16"/>
  <c r="AG78" i="16"/>
  <c r="AJ77" i="16"/>
  <c r="AG77" i="16"/>
  <c r="AJ76" i="16"/>
  <c r="AG76" i="16"/>
  <c r="AH76" i="16" s="1"/>
  <c r="AI76" i="16" s="1"/>
  <c r="AJ75" i="16"/>
  <c r="AG75" i="16"/>
  <c r="AH75" i="16" s="1"/>
  <c r="AI75" i="16" s="1"/>
  <c r="AJ86" i="17"/>
  <c r="AG86" i="17"/>
  <c r="AJ85" i="17"/>
  <c r="AG85" i="17"/>
  <c r="AJ84" i="17"/>
  <c r="AG84" i="17"/>
  <c r="AJ83" i="17"/>
  <c r="AG83" i="17"/>
  <c r="AJ82" i="17"/>
  <c r="AG82" i="17"/>
  <c r="AJ81" i="17"/>
  <c r="AG81" i="17"/>
  <c r="AJ80" i="17"/>
  <c r="AG80" i="17"/>
  <c r="AJ79" i="17"/>
  <c r="AG79" i="17"/>
  <c r="AJ78" i="17"/>
  <c r="AG78" i="17"/>
  <c r="AJ77" i="17"/>
  <c r="AG77" i="17"/>
  <c r="AJ76" i="17"/>
  <c r="AG76" i="17"/>
  <c r="AH76" i="17" s="1"/>
  <c r="AI76" i="17" s="1"/>
  <c r="AJ75" i="17"/>
  <c r="AG75" i="17"/>
  <c r="AH75" i="17" s="1"/>
  <c r="AI75" i="17" s="1"/>
  <c r="AJ86" i="18"/>
  <c r="AG86" i="18"/>
  <c r="AJ85" i="18"/>
  <c r="AG85" i="18"/>
  <c r="AJ84" i="18"/>
  <c r="AG84" i="18"/>
  <c r="AJ83" i="18"/>
  <c r="AG83" i="18"/>
  <c r="AJ82" i="18"/>
  <c r="AG82" i="18"/>
  <c r="AJ81" i="18"/>
  <c r="AG81" i="18"/>
  <c r="AJ80" i="18"/>
  <c r="AG80" i="18"/>
  <c r="AJ79" i="18"/>
  <c r="AG79" i="18"/>
  <c r="AJ78" i="18"/>
  <c r="AG78" i="18"/>
  <c r="AJ77" i="18"/>
  <c r="AG77" i="18"/>
  <c r="AJ76" i="18"/>
  <c r="AG76" i="18"/>
  <c r="AH76" i="18" s="1"/>
  <c r="AI76" i="18" s="1"/>
  <c r="AJ75" i="18"/>
  <c r="AG75" i="18"/>
  <c r="AH75" i="18" s="1"/>
  <c r="AI75" i="18" s="1"/>
  <c r="AJ86" i="19"/>
  <c r="AG86" i="19"/>
  <c r="AJ85" i="19"/>
  <c r="AG85" i="19"/>
  <c r="AJ84" i="19"/>
  <c r="AG84" i="19"/>
  <c r="AJ83" i="19"/>
  <c r="AG83" i="19"/>
  <c r="AJ82" i="19"/>
  <c r="AG82" i="19"/>
  <c r="AJ81" i="19"/>
  <c r="AG81" i="19"/>
  <c r="AJ80" i="19"/>
  <c r="AG80" i="19"/>
  <c r="AJ79" i="19"/>
  <c r="AG79" i="19"/>
  <c r="AJ78" i="19"/>
  <c r="AG78" i="19"/>
  <c r="AJ77" i="19"/>
  <c r="AG77" i="19"/>
  <c r="AJ76" i="19"/>
  <c r="AG76" i="19"/>
  <c r="AH76" i="19" s="1"/>
  <c r="AI76" i="19" s="1"/>
  <c r="AJ75" i="19"/>
  <c r="AG75" i="19"/>
  <c r="AH75" i="19" s="1"/>
  <c r="AI75" i="19" s="1"/>
  <c r="AJ86" i="20"/>
  <c r="AG86" i="20"/>
  <c r="AJ85" i="20"/>
  <c r="AG85" i="20"/>
  <c r="AJ84" i="20"/>
  <c r="AG84" i="20"/>
  <c r="AJ83" i="20"/>
  <c r="AG83" i="20"/>
  <c r="AJ82" i="20"/>
  <c r="AG82" i="20"/>
  <c r="AJ81" i="20"/>
  <c r="AG81" i="20"/>
  <c r="AJ80" i="20"/>
  <c r="AG80" i="20"/>
  <c r="AJ79" i="20"/>
  <c r="AG79" i="20"/>
  <c r="AH79" i="20" s="1"/>
  <c r="AI79" i="20" s="1"/>
  <c r="AJ78" i="20"/>
  <c r="AG78" i="20"/>
  <c r="AH78" i="20" s="1"/>
  <c r="AI78" i="20" s="1"/>
  <c r="AJ77" i="20"/>
  <c r="AG77" i="20"/>
  <c r="AH77" i="20" s="1"/>
  <c r="AI77" i="20" s="1"/>
  <c r="AJ76" i="20"/>
  <c r="AG76" i="20"/>
  <c r="AH76" i="20" s="1"/>
  <c r="AI76" i="20" s="1"/>
  <c r="AJ75" i="20"/>
  <c r="AG75" i="20"/>
  <c r="AH75" i="20" s="1"/>
  <c r="AI75" i="20" s="1"/>
  <c r="AJ86" i="21"/>
  <c r="AG86" i="21"/>
  <c r="AJ85" i="21"/>
  <c r="AG85" i="21"/>
  <c r="AJ84" i="21"/>
  <c r="AG84" i="21"/>
  <c r="AJ83" i="21"/>
  <c r="AG83" i="21"/>
  <c r="AJ82" i="21"/>
  <c r="AG82" i="21"/>
  <c r="AJ81" i="21"/>
  <c r="AG81" i="21"/>
  <c r="AJ80" i="21"/>
  <c r="AG80" i="21"/>
  <c r="AJ79" i="21"/>
  <c r="AG79" i="21"/>
  <c r="AH79" i="21" s="1"/>
  <c r="AI79" i="21" s="1"/>
  <c r="AJ78" i="21"/>
  <c r="AG78" i="21"/>
  <c r="AH78" i="21" s="1"/>
  <c r="AI78" i="21" s="1"/>
  <c r="AJ77" i="21"/>
  <c r="AG77" i="21"/>
  <c r="AH77" i="21" s="1"/>
  <c r="AI77" i="21" s="1"/>
  <c r="AJ76" i="21"/>
  <c r="AG76" i="21"/>
  <c r="AH76" i="21" s="1"/>
  <c r="AI76" i="21" s="1"/>
  <c r="AJ75" i="21"/>
  <c r="AG75" i="21"/>
  <c r="AH75" i="21" s="1"/>
  <c r="AI75" i="21" s="1"/>
  <c r="AJ86" i="22"/>
  <c r="AG86" i="22"/>
  <c r="AJ85" i="22"/>
  <c r="AG85" i="22"/>
  <c r="AJ84" i="22"/>
  <c r="AG84" i="22"/>
  <c r="AJ83" i="22"/>
  <c r="AG83" i="22"/>
  <c r="AJ82" i="22"/>
  <c r="AG82" i="22"/>
  <c r="AH82" i="22" s="1"/>
  <c r="AI82" i="22" s="1"/>
  <c r="AJ81" i="22"/>
  <c r="AG81" i="22"/>
  <c r="AH81" i="22" s="1"/>
  <c r="AI81" i="22" s="1"/>
  <c r="AJ80" i="22"/>
  <c r="AG80" i="22"/>
  <c r="AH80" i="22" s="1"/>
  <c r="AI80" i="22" s="1"/>
  <c r="AJ79" i="22"/>
  <c r="AG79" i="22"/>
  <c r="AH79" i="22" s="1"/>
  <c r="AI79" i="22" s="1"/>
  <c r="AJ78" i="22"/>
  <c r="AG78" i="22"/>
  <c r="AH78" i="22" s="1"/>
  <c r="AI78" i="22" s="1"/>
  <c r="AJ77" i="22"/>
  <c r="AG77" i="22"/>
  <c r="AH77" i="22" s="1"/>
  <c r="AI77" i="22" s="1"/>
  <c r="AJ76" i="22"/>
  <c r="AG76" i="22"/>
  <c r="AH76" i="22" s="1"/>
  <c r="AI76" i="22" s="1"/>
  <c r="AJ75" i="22"/>
  <c r="AG75" i="22"/>
  <c r="AH75" i="22" s="1"/>
  <c r="AI75" i="22" s="1"/>
  <c r="AJ86" i="23"/>
  <c r="AG86" i="23"/>
  <c r="AJ85" i="23"/>
  <c r="AG85" i="23"/>
  <c r="AJ84" i="23"/>
  <c r="AG84" i="23"/>
  <c r="AJ83" i="23"/>
  <c r="AG83" i="23"/>
  <c r="AJ82" i="23"/>
  <c r="AG82" i="23"/>
  <c r="AJ81" i="23"/>
  <c r="AG81" i="23"/>
  <c r="AJ80" i="23"/>
  <c r="AG80" i="23"/>
  <c r="AJ79" i="23"/>
  <c r="AG79" i="23"/>
  <c r="AH79" i="23" s="1"/>
  <c r="AI79" i="23" s="1"/>
  <c r="AJ78" i="23"/>
  <c r="AG78" i="23"/>
  <c r="AH78" i="23" s="1"/>
  <c r="AI78" i="23" s="1"/>
  <c r="AJ77" i="23"/>
  <c r="AG77" i="23"/>
  <c r="AH77" i="23" s="1"/>
  <c r="AI77" i="23" s="1"/>
  <c r="AJ76" i="23"/>
  <c r="AG76" i="23"/>
  <c r="AH76" i="23" s="1"/>
  <c r="AI76" i="23" s="1"/>
  <c r="AJ75" i="23"/>
  <c r="AG75" i="23"/>
  <c r="AH75" i="23" s="1"/>
  <c r="AI75" i="23" s="1"/>
  <c r="AJ86" i="24"/>
  <c r="AG86" i="24"/>
  <c r="AJ85" i="24"/>
  <c r="AG85" i="24"/>
  <c r="AJ84" i="24"/>
  <c r="AG84" i="24"/>
  <c r="AJ83" i="24"/>
  <c r="AG83" i="24"/>
  <c r="AJ82" i="24"/>
  <c r="AG82" i="24"/>
  <c r="AH82" i="24" s="1"/>
  <c r="AI82" i="24" s="1"/>
  <c r="AJ81" i="24"/>
  <c r="AG81" i="24"/>
  <c r="AH81" i="24" s="1"/>
  <c r="AI81" i="24" s="1"/>
  <c r="AJ80" i="24"/>
  <c r="AG80" i="24"/>
  <c r="AH80" i="24" s="1"/>
  <c r="AI80" i="24" s="1"/>
  <c r="AJ79" i="24"/>
  <c r="AG79" i="24"/>
  <c r="AH79" i="24" s="1"/>
  <c r="AI79" i="24" s="1"/>
  <c r="AJ78" i="24"/>
  <c r="AG78" i="24"/>
  <c r="AH78" i="24" s="1"/>
  <c r="AI78" i="24" s="1"/>
  <c r="AJ77" i="24"/>
  <c r="AG77" i="24"/>
  <c r="AH77" i="24" s="1"/>
  <c r="AI77" i="24" s="1"/>
  <c r="AJ76" i="24"/>
  <c r="AG76" i="24"/>
  <c r="AH76" i="24" s="1"/>
  <c r="AI76" i="24" s="1"/>
  <c r="AJ75" i="24"/>
  <c r="AG75" i="24"/>
  <c r="AH75" i="24" s="1"/>
  <c r="AI75" i="24" s="1"/>
  <c r="AJ86" i="25"/>
  <c r="AG86" i="25"/>
  <c r="AJ85" i="25"/>
  <c r="AG85" i="25"/>
  <c r="AJ84" i="25"/>
  <c r="AG84" i="25"/>
  <c r="AJ83" i="25"/>
  <c r="AG83" i="25"/>
  <c r="AJ82" i="25"/>
  <c r="AG82" i="25"/>
  <c r="AJ81" i="25"/>
  <c r="AG81" i="25"/>
  <c r="AJ80" i="25"/>
  <c r="AG80" i="25"/>
  <c r="AJ79" i="25"/>
  <c r="AG79" i="25"/>
  <c r="AJ78" i="25"/>
  <c r="AG78" i="25"/>
  <c r="AJ77" i="25"/>
  <c r="AG77" i="25"/>
  <c r="AJ76" i="25"/>
  <c r="AG76" i="25"/>
  <c r="AH76" i="25" s="1"/>
  <c r="AI76" i="25" s="1"/>
  <c r="AJ75" i="25"/>
  <c r="AG75" i="25"/>
  <c r="AH75" i="25" s="1"/>
  <c r="AI75" i="25" s="1"/>
  <c r="AJ86" i="27"/>
  <c r="AG86" i="27"/>
  <c r="AJ85" i="27"/>
  <c r="AG85" i="27"/>
  <c r="AJ84" i="27"/>
  <c r="AG84" i="27"/>
  <c r="AJ83" i="27"/>
  <c r="AG83" i="27"/>
  <c r="AJ82" i="27"/>
  <c r="AG82" i="27"/>
  <c r="AJ81" i="27"/>
  <c r="AG81" i="27"/>
  <c r="AJ80" i="27"/>
  <c r="AG80" i="27"/>
  <c r="AJ79" i="27"/>
  <c r="AG79" i="27"/>
  <c r="AH79" i="27" s="1"/>
  <c r="AI79" i="27" s="1"/>
  <c r="AJ78" i="27"/>
  <c r="AG78" i="27"/>
  <c r="AH78" i="27" s="1"/>
  <c r="AI78" i="27" s="1"/>
  <c r="AJ77" i="27"/>
  <c r="AG77" i="27"/>
  <c r="AH77" i="27" s="1"/>
  <c r="AI77" i="27" s="1"/>
  <c r="AJ76" i="27"/>
  <c r="AG76" i="27"/>
  <c r="AH76" i="27" s="1"/>
  <c r="AI76" i="27" s="1"/>
  <c r="AJ75" i="27"/>
  <c r="AG75" i="27"/>
  <c r="AH75" i="27" s="1"/>
  <c r="AI75" i="27" s="1"/>
  <c r="AJ86" i="26"/>
  <c r="AG86" i="26"/>
  <c r="AJ85" i="26"/>
  <c r="AG85" i="26"/>
  <c r="AJ84" i="26"/>
  <c r="AG84" i="26"/>
  <c r="AJ83" i="26"/>
  <c r="AG83" i="26"/>
  <c r="AJ82" i="26"/>
  <c r="AG82" i="26"/>
  <c r="AJ81" i="26"/>
  <c r="AG81" i="26"/>
  <c r="AJ80" i="26"/>
  <c r="AG80" i="26"/>
  <c r="AJ79" i="26"/>
  <c r="AG79" i="26"/>
  <c r="AJ78" i="26"/>
  <c r="AG78" i="26"/>
  <c r="AJ77" i="26"/>
  <c r="AG77" i="26"/>
  <c r="AJ76" i="26"/>
  <c r="AG76" i="26"/>
  <c r="AJ75" i="26"/>
  <c r="AG75" i="26"/>
  <c r="AH75" i="26" s="1"/>
  <c r="AI75" i="26" s="1"/>
  <c r="AJ86" i="28"/>
  <c r="AG86" i="28"/>
  <c r="AJ85" i="28"/>
  <c r="AG85" i="28"/>
  <c r="AJ84" i="28"/>
  <c r="AG84" i="28"/>
  <c r="AJ83" i="28"/>
  <c r="AG83" i="28"/>
  <c r="AJ82" i="28"/>
  <c r="AG82" i="28"/>
  <c r="AJ81" i="28"/>
  <c r="AG81" i="28"/>
  <c r="AJ80" i="28"/>
  <c r="AG80" i="28"/>
  <c r="AJ79" i="28"/>
  <c r="AG79" i="28"/>
  <c r="AJ78" i="28"/>
  <c r="AG78" i="28"/>
  <c r="AJ77" i="28"/>
  <c r="AG77" i="28"/>
  <c r="AJ76" i="28"/>
  <c r="AG76" i="28"/>
  <c r="AH76" i="28" s="1"/>
  <c r="AI76" i="28" s="1"/>
  <c r="AJ75" i="28"/>
  <c r="AG75" i="28"/>
  <c r="AH75" i="28" s="1"/>
  <c r="AI75" i="28" s="1"/>
  <c r="AJ86" i="29"/>
  <c r="AG86" i="29"/>
  <c r="AJ85" i="29"/>
  <c r="AG85" i="29"/>
  <c r="AJ84" i="29"/>
  <c r="AG84" i="29"/>
  <c r="AJ83" i="29"/>
  <c r="AG83" i="29"/>
  <c r="AJ82" i="29"/>
  <c r="AG82" i="29"/>
  <c r="AJ81" i="29"/>
  <c r="AG81" i="29"/>
  <c r="AJ80" i="29"/>
  <c r="AG80" i="29"/>
  <c r="AJ79" i="29"/>
  <c r="AG79" i="29"/>
  <c r="AH79" i="29" s="1"/>
  <c r="AI79" i="29" s="1"/>
  <c r="AJ78" i="29"/>
  <c r="AG78" i="29"/>
  <c r="AH78" i="29" s="1"/>
  <c r="AI78" i="29" s="1"/>
  <c r="AJ77" i="29"/>
  <c r="AG77" i="29"/>
  <c r="AH77" i="29" s="1"/>
  <c r="AI77" i="29" s="1"/>
  <c r="AJ76" i="29"/>
  <c r="AG76" i="29"/>
  <c r="AH76" i="29" s="1"/>
  <c r="AI76" i="29" s="1"/>
  <c r="AJ75" i="29"/>
  <c r="AG75" i="29"/>
  <c r="AH75" i="29" s="1"/>
  <c r="AI75" i="29" s="1"/>
  <c r="AJ86" i="30"/>
  <c r="AG86" i="30"/>
  <c r="AJ85" i="30"/>
  <c r="AG85" i="30"/>
  <c r="AJ84" i="30"/>
  <c r="AG84" i="30"/>
  <c r="AJ83" i="30"/>
  <c r="AG83" i="30"/>
  <c r="AJ82" i="30"/>
  <c r="AG82" i="30"/>
  <c r="AJ81" i="30"/>
  <c r="AG81" i="30"/>
  <c r="AJ80" i="30"/>
  <c r="AG80" i="30"/>
  <c r="AJ79" i="30"/>
  <c r="AG79" i="30"/>
  <c r="AH79" i="30" s="1"/>
  <c r="AI79" i="30" s="1"/>
  <c r="AJ78" i="30"/>
  <c r="AG78" i="30"/>
  <c r="AH78" i="30" s="1"/>
  <c r="AI78" i="30" s="1"/>
  <c r="AJ77" i="30"/>
  <c r="AG77" i="30"/>
  <c r="AH77" i="30" s="1"/>
  <c r="AI77" i="30" s="1"/>
  <c r="AJ76" i="30"/>
  <c r="AG76" i="30"/>
  <c r="AH76" i="30" s="1"/>
  <c r="AI76" i="30" s="1"/>
  <c r="AJ75" i="30"/>
  <c r="AG75" i="30"/>
  <c r="AH75" i="30" s="1"/>
  <c r="AI75" i="30" s="1"/>
  <c r="AJ86" i="33"/>
  <c r="AG86" i="33"/>
  <c r="AJ85" i="33"/>
  <c r="AG85" i="33"/>
  <c r="AJ84" i="33"/>
  <c r="AG84" i="33"/>
  <c r="AJ83" i="33"/>
  <c r="AG83" i="33"/>
  <c r="AJ82" i="33"/>
  <c r="AG82" i="33"/>
  <c r="AJ81" i="33"/>
  <c r="AG81" i="33"/>
  <c r="AJ80" i="33"/>
  <c r="AG80" i="33"/>
  <c r="AJ79" i="33"/>
  <c r="AG79" i="33"/>
  <c r="AJ78" i="33"/>
  <c r="AG78" i="33"/>
  <c r="AH78" i="33" s="1"/>
  <c r="AI78" i="33" s="1"/>
  <c r="AJ77" i="33"/>
  <c r="AG77" i="33"/>
  <c r="AH77" i="33" s="1"/>
  <c r="AI77" i="33" s="1"/>
  <c r="AJ76" i="33"/>
  <c r="AG76" i="33"/>
  <c r="AJ75" i="33"/>
  <c r="AG75" i="33"/>
  <c r="AH75" i="33" s="1"/>
  <c r="AI75" i="33" s="1"/>
  <c r="AJ86" i="34"/>
  <c r="AG86" i="34"/>
  <c r="AJ85" i="34"/>
  <c r="AG85" i="34"/>
  <c r="AJ84" i="34"/>
  <c r="AG84" i="34"/>
  <c r="AJ83" i="34"/>
  <c r="AG83" i="34"/>
  <c r="AJ82" i="34"/>
  <c r="AG82" i="34"/>
  <c r="AJ81" i="34"/>
  <c r="AG81" i="34"/>
  <c r="AJ80" i="34"/>
  <c r="AG80" i="34"/>
  <c r="AJ79" i="34"/>
  <c r="AG79" i="34"/>
  <c r="AJ78" i="34"/>
  <c r="AG78" i="34"/>
  <c r="AH78" i="34" s="1"/>
  <c r="AI78" i="34" s="1"/>
  <c r="AJ77" i="34"/>
  <c r="AG77" i="34"/>
  <c r="AH77" i="34" s="1"/>
  <c r="AI77" i="34" s="1"/>
  <c r="AJ76" i="34"/>
  <c r="AG76" i="34"/>
  <c r="AH76" i="34" s="1"/>
  <c r="AI76" i="34" s="1"/>
  <c r="AJ75" i="34"/>
  <c r="AG75" i="34"/>
  <c r="AH75" i="34" s="1"/>
  <c r="AI75" i="34" s="1"/>
  <c r="AJ86" i="35"/>
  <c r="AG86" i="35"/>
  <c r="AJ85" i="35"/>
  <c r="AG85" i="35"/>
  <c r="AJ84" i="35"/>
  <c r="AG84" i="35"/>
  <c r="AJ83" i="35"/>
  <c r="AG83" i="35"/>
  <c r="AJ82" i="35"/>
  <c r="AG82" i="35"/>
  <c r="AJ81" i="35"/>
  <c r="AG81" i="35"/>
  <c r="AJ80" i="35"/>
  <c r="AG80" i="35"/>
  <c r="AJ79" i="35"/>
  <c r="AG79" i="35"/>
  <c r="AJ78" i="35"/>
  <c r="AG78" i="35"/>
  <c r="AJ77" i="35"/>
  <c r="AG77" i="35"/>
  <c r="AJ76" i="35"/>
  <c r="AG76" i="35"/>
  <c r="AH76" i="35" s="1"/>
  <c r="AI76" i="35" s="1"/>
  <c r="AJ75" i="35"/>
  <c r="AG75" i="35"/>
  <c r="AH75" i="35" s="1"/>
  <c r="AI75" i="35" s="1"/>
  <c r="AJ86" i="36"/>
  <c r="AG86" i="36"/>
  <c r="AJ85" i="36"/>
  <c r="AG85" i="36"/>
  <c r="AJ84" i="36"/>
  <c r="AG84" i="36"/>
  <c r="AJ83" i="36"/>
  <c r="AG83" i="36"/>
  <c r="AJ82" i="36"/>
  <c r="AG82" i="36"/>
  <c r="AJ81" i="36"/>
  <c r="AG81" i="36"/>
  <c r="AH81" i="36" s="1"/>
  <c r="AI81" i="36" s="1"/>
  <c r="AJ80" i="36"/>
  <c r="AG80" i="36"/>
  <c r="AH80" i="36" s="1"/>
  <c r="AI80" i="36" s="1"/>
  <c r="AJ79" i="36"/>
  <c r="AG79" i="36"/>
  <c r="AH79" i="36" s="1"/>
  <c r="AI79" i="36" s="1"/>
  <c r="AJ78" i="36"/>
  <c r="AG78" i="36"/>
  <c r="AH78" i="36" s="1"/>
  <c r="AI78" i="36" s="1"/>
  <c r="AJ77" i="36"/>
  <c r="AG77" i="36"/>
  <c r="AH77" i="36" s="1"/>
  <c r="AI77" i="36" s="1"/>
  <c r="AJ76" i="36"/>
  <c r="AG76" i="36"/>
  <c r="AH76" i="36" s="1"/>
  <c r="AI76" i="36" s="1"/>
  <c r="AJ75" i="36"/>
  <c r="AG75" i="36"/>
  <c r="AH75" i="36" s="1"/>
  <c r="AI75" i="36" s="1"/>
  <c r="AJ86" i="37"/>
  <c r="AG86" i="37"/>
  <c r="AJ85" i="37"/>
  <c r="AG85" i="37"/>
  <c r="AJ84" i="37"/>
  <c r="AG84" i="37"/>
  <c r="AJ83" i="37"/>
  <c r="AG83" i="37"/>
  <c r="AJ82" i="37"/>
  <c r="AG82" i="37"/>
  <c r="AJ81" i="37"/>
  <c r="AG81" i="37"/>
  <c r="AJ80" i="37"/>
  <c r="AG80" i="37"/>
  <c r="AJ79" i="37"/>
  <c r="AG79" i="37"/>
  <c r="AH79" i="37" s="1"/>
  <c r="AI79" i="37" s="1"/>
  <c r="AJ78" i="37"/>
  <c r="AG78" i="37"/>
  <c r="AH78" i="37" s="1"/>
  <c r="AI78" i="37" s="1"/>
  <c r="AJ77" i="37"/>
  <c r="AG77" i="37"/>
  <c r="AH77" i="37" s="1"/>
  <c r="AI77" i="37" s="1"/>
  <c r="AJ76" i="37"/>
  <c r="AG76" i="37"/>
  <c r="AH76" i="37" s="1"/>
  <c r="AI76" i="37" s="1"/>
  <c r="AJ75" i="37"/>
  <c r="AG75" i="37"/>
  <c r="AJ86" i="38"/>
  <c r="AG86" i="38"/>
  <c r="AJ85" i="38"/>
  <c r="AG85" i="38"/>
  <c r="AJ84" i="38"/>
  <c r="AG84" i="38"/>
  <c r="AJ83" i="38"/>
  <c r="AG83" i="38"/>
  <c r="AJ82" i="38"/>
  <c r="AG82" i="38"/>
  <c r="AJ81" i="38"/>
  <c r="AG81" i="38"/>
  <c r="AJ80" i="38"/>
  <c r="AG80" i="38"/>
  <c r="AJ79" i="38"/>
  <c r="AG79" i="38"/>
  <c r="AH79" i="38" s="1"/>
  <c r="AI79" i="38" s="1"/>
  <c r="AJ78" i="38"/>
  <c r="AG78" i="38"/>
  <c r="AH78" i="38" s="1"/>
  <c r="AI78" i="38" s="1"/>
  <c r="AJ77" i="38"/>
  <c r="AG77" i="38"/>
  <c r="AJ76" i="38"/>
  <c r="AG76" i="38"/>
  <c r="AH76" i="38" s="1"/>
  <c r="AI76" i="38" s="1"/>
  <c r="AJ75" i="38"/>
  <c r="AG75" i="38"/>
  <c r="AH75" i="38" s="1"/>
  <c r="AI75" i="38" s="1"/>
  <c r="AJ86" i="48"/>
  <c r="AG86" i="48"/>
  <c r="AJ85" i="48"/>
  <c r="AG85" i="48"/>
  <c r="AJ84" i="48"/>
  <c r="AG84" i="48"/>
  <c r="AJ83" i="48"/>
  <c r="AG83" i="48"/>
  <c r="AJ82" i="48"/>
  <c r="AG82" i="48"/>
  <c r="AJ81" i="48"/>
  <c r="AG81" i="48"/>
  <c r="AJ80" i="48"/>
  <c r="AG80" i="48"/>
  <c r="AJ79" i="48"/>
  <c r="AG79" i="48"/>
  <c r="AJ78" i="48"/>
  <c r="AG78" i="48"/>
  <c r="AJ77" i="48"/>
  <c r="AG77" i="48"/>
  <c r="AJ76" i="48"/>
  <c r="AG76" i="48"/>
  <c r="AJ75" i="48"/>
  <c r="AG75" i="48"/>
  <c r="AH75" i="48" s="1"/>
  <c r="AI75" i="48" s="1"/>
  <c r="AJ86" i="57"/>
  <c r="AG86" i="57"/>
  <c r="AJ85" i="57"/>
  <c r="AG85" i="57"/>
  <c r="AJ84" i="57"/>
  <c r="AG84" i="57"/>
  <c r="AJ83" i="57"/>
  <c r="AG83" i="57"/>
  <c r="AJ82" i="57"/>
  <c r="AG82" i="57"/>
  <c r="AJ81" i="57"/>
  <c r="AG81" i="57"/>
  <c r="AJ80" i="57"/>
  <c r="AG80" i="57"/>
  <c r="AJ79" i="57"/>
  <c r="AG79" i="57"/>
  <c r="AJ78" i="57"/>
  <c r="AG78" i="57"/>
  <c r="AJ77" i="57"/>
  <c r="AG77" i="57"/>
  <c r="AJ76" i="57"/>
  <c r="AG76" i="57"/>
  <c r="AJ75" i="57"/>
  <c r="AG75" i="57"/>
  <c r="AJ86" i="65"/>
  <c r="AG86" i="65"/>
  <c r="AJ85" i="65"/>
  <c r="AG85" i="65"/>
  <c r="AJ84" i="65"/>
  <c r="AG84" i="65"/>
  <c r="AJ83" i="65"/>
  <c r="AG83" i="65"/>
  <c r="AJ82" i="65"/>
  <c r="AG82" i="65"/>
  <c r="AJ81" i="65"/>
  <c r="AG81" i="65"/>
  <c r="AJ80" i="65"/>
  <c r="AG80" i="65"/>
  <c r="AJ79" i="65"/>
  <c r="AG79" i="65"/>
  <c r="AH79" i="65" s="1"/>
  <c r="AI79" i="65" s="1"/>
  <c r="AJ78" i="65"/>
  <c r="AG78" i="65"/>
  <c r="AH78" i="65" s="1"/>
  <c r="AI78" i="65" s="1"/>
  <c r="AJ77" i="65"/>
  <c r="AG77" i="65"/>
  <c r="AH77" i="65" s="1"/>
  <c r="AI77" i="65" s="1"/>
  <c r="AJ76" i="65"/>
  <c r="AG76" i="65"/>
  <c r="AH76" i="65" s="1"/>
  <c r="AI76" i="65" s="1"/>
  <c r="AJ75" i="65"/>
  <c r="AG75" i="65"/>
  <c r="AH75" i="65" s="1"/>
  <c r="AI75" i="65" s="1"/>
  <c r="AJ86" i="66"/>
  <c r="AG86" i="66"/>
  <c r="AJ85" i="66"/>
  <c r="AG85" i="66"/>
  <c r="AJ84" i="66"/>
  <c r="AG84" i="66"/>
  <c r="AJ83" i="66"/>
  <c r="AG83" i="66"/>
  <c r="AJ82" i="66"/>
  <c r="AG82" i="66"/>
  <c r="AJ81" i="66"/>
  <c r="AG81" i="66"/>
  <c r="AJ80" i="66"/>
  <c r="AG80" i="66"/>
  <c r="AJ79" i="66"/>
  <c r="AG79" i="66"/>
  <c r="AH79" i="66" s="1"/>
  <c r="AI79" i="66" s="1"/>
  <c r="AJ78" i="66"/>
  <c r="AG78" i="66"/>
  <c r="AH78" i="66" s="1"/>
  <c r="AI78" i="66" s="1"/>
  <c r="AJ77" i="66"/>
  <c r="AG77" i="66"/>
  <c r="AJ76" i="66"/>
  <c r="AG76" i="66"/>
  <c r="AH76" i="66" s="1"/>
  <c r="AI76" i="66" s="1"/>
  <c r="AJ75" i="66"/>
  <c r="AG75" i="66"/>
  <c r="AH75" i="66" s="1"/>
  <c r="AI75" i="66" s="1"/>
  <c r="AJ86" i="67"/>
  <c r="AG86" i="67"/>
  <c r="AJ85" i="67"/>
  <c r="AG85" i="67"/>
  <c r="AJ84" i="67"/>
  <c r="AG84" i="67"/>
  <c r="AJ83" i="67"/>
  <c r="AG83" i="67"/>
  <c r="AJ82" i="67"/>
  <c r="AG82" i="67"/>
  <c r="AJ81" i="67"/>
  <c r="AG81" i="67"/>
  <c r="AJ80" i="67"/>
  <c r="AG80" i="67"/>
  <c r="AJ79" i="67"/>
  <c r="AG79" i="67"/>
  <c r="AH79" i="67" s="1"/>
  <c r="AI79" i="67" s="1"/>
  <c r="AJ78" i="67"/>
  <c r="AG78" i="67"/>
  <c r="AH78" i="67" s="1"/>
  <c r="AI78" i="67" s="1"/>
  <c r="AJ77" i="67"/>
  <c r="AG77" i="67"/>
  <c r="AH77" i="67" s="1"/>
  <c r="AI77" i="67" s="1"/>
  <c r="AJ76" i="67"/>
  <c r="AG76" i="67"/>
  <c r="AH76" i="67" s="1"/>
  <c r="AI76" i="67" s="1"/>
  <c r="AJ75" i="67"/>
  <c r="AG75" i="67"/>
  <c r="AH75" i="67" s="1"/>
  <c r="AI75" i="67" s="1"/>
  <c r="AJ86" i="68"/>
  <c r="AG86" i="68"/>
  <c r="AJ85" i="68"/>
  <c r="AG85" i="68"/>
  <c r="AJ84" i="68"/>
  <c r="AG84" i="68"/>
  <c r="AJ83" i="68"/>
  <c r="AG83" i="68"/>
  <c r="AJ82" i="68"/>
  <c r="AG82" i="68"/>
  <c r="AJ81" i="68"/>
  <c r="AG81" i="68"/>
  <c r="AJ80" i="68"/>
  <c r="AG80" i="68"/>
  <c r="AJ79" i="68"/>
  <c r="AG79" i="68"/>
  <c r="AH79" i="68" s="1"/>
  <c r="AI79" i="68" s="1"/>
  <c r="AJ78" i="68"/>
  <c r="AG78" i="68"/>
  <c r="AH78" i="68" s="1"/>
  <c r="AI78" i="68" s="1"/>
  <c r="AJ77" i="68"/>
  <c r="AG77" i="68"/>
  <c r="AH77" i="68" s="1"/>
  <c r="AI77" i="68" s="1"/>
  <c r="AJ76" i="68"/>
  <c r="AG76" i="68"/>
  <c r="AH76" i="68" s="1"/>
  <c r="AI76" i="68" s="1"/>
  <c r="AJ75" i="68"/>
  <c r="AG75" i="68"/>
  <c r="AH75" i="68" s="1"/>
  <c r="AI75" i="68" s="1"/>
  <c r="AJ86" i="69"/>
  <c r="AG86" i="69"/>
  <c r="AJ85" i="69"/>
  <c r="AG85" i="69"/>
  <c r="AJ84" i="69"/>
  <c r="AG84" i="69"/>
  <c r="AJ83" i="69"/>
  <c r="AG83" i="69"/>
  <c r="AJ82" i="69"/>
  <c r="AG82" i="69"/>
  <c r="AJ81" i="69"/>
  <c r="AG81" i="69"/>
  <c r="AJ80" i="69"/>
  <c r="AG80" i="69"/>
  <c r="AJ79" i="69"/>
  <c r="AG79" i="69"/>
  <c r="AH79" i="69" s="1"/>
  <c r="AI79" i="69" s="1"/>
  <c r="AJ78" i="69"/>
  <c r="AG78" i="69"/>
  <c r="AH78" i="69" s="1"/>
  <c r="AI78" i="69" s="1"/>
  <c r="AJ77" i="69"/>
  <c r="AG77" i="69"/>
  <c r="AH77" i="69" s="1"/>
  <c r="AI77" i="69" s="1"/>
  <c r="AJ76" i="69"/>
  <c r="AG76" i="69"/>
  <c r="AH76" i="69" s="1"/>
  <c r="AI76" i="69" s="1"/>
  <c r="AJ75" i="69"/>
  <c r="AG75" i="69"/>
  <c r="AH75" i="69" s="1"/>
  <c r="AI75" i="69" s="1"/>
  <c r="AJ86" i="58"/>
  <c r="AG86" i="58"/>
  <c r="AJ85" i="58"/>
  <c r="AG85" i="58"/>
  <c r="AJ84" i="58"/>
  <c r="AG84" i="58"/>
  <c r="AJ83" i="58"/>
  <c r="AG83" i="58"/>
  <c r="AJ82" i="58"/>
  <c r="AG82" i="58"/>
  <c r="AJ81" i="58"/>
  <c r="AG81" i="58"/>
  <c r="AJ80" i="58"/>
  <c r="AG80" i="58"/>
  <c r="AJ79" i="58"/>
  <c r="AG79" i="58"/>
  <c r="AH79" i="58" s="1"/>
  <c r="AI79" i="58" s="1"/>
  <c r="AJ78" i="58"/>
  <c r="AG78" i="58"/>
  <c r="AH78" i="58" s="1"/>
  <c r="AI78" i="58" s="1"/>
  <c r="AJ77" i="58"/>
  <c r="AG77" i="58"/>
  <c r="AJ76" i="58"/>
  <c r="AG76" i="58"/>
  <c r="AH76" i="58" s="1"/>
  <c r="AI76" i="58" s="1"/>
  <c r="AJ75" i="58"/>
  <c r="AG75" i="58"/>
  <c r="AH75" i="58" s="1"/>
  <c r="AI75" i="58" s="1"/>
  <c r="AJ86" i="59"/>
  <c r="AG86" i="59"/>
  <c r="AJ85" i="59"/>
  <c r="AG85" i="59"/>
  <c r="AJ84" i="59"/>
  <c r="AG84" i="59"/>
  <c r="AJ83" i="59"/>
  <c r="AG83" i="59"/>
  <c r="AJ82" i="59"/>
  <c r="AG82" i="59"/>
  <c r="AJ81" i="59"/>
  <c r="AG81" i="59"/>
  <c r="AJ80" i="59"/>
  <c r="AG80" i="59"/>
  <c r="AJ79" i="59"/>
  <c r="AG79" i="59"/>
  <c r="AH79" i="59" s="1"/>
  <c r="AI79" i="59" s="1"/>
  <c r="AJ78" i="59"/>
  <c r="AG78" i="59"/>
  <c r="AH78" i="59" s="1"/>
  <c r="AI78" i="59" s="1"/>
  <c r="AJ77" i="59"/>
  <c r="AG77" i="59"/>
  <c r="AH77" i="59" s="1"/>
  <c r="AI77" i="59" s="1"/>
  <c r="AJ76" i="59"/>
  <c r="AG76" i="59"/>
  <c r="AH76" i="59" s="1"/>
  <c r="AI76" i="59" s="1"/>
  <c r="AJ75" i="59"/>
  <c r="AG75" i="59"/>
  <c r="AJ86" i="60"/>
  <c r="AG86" i="60"/>
  <c r="AJ85" i="60"/>
  <c r="AG85" i="60"/>
  <c r="AJ84" i="60"/>
  <c r="AG84" i="60"/>
  <c r="AJ83" i="60"/>
  <c r="AG83" i="60"/>
  <c r="AJ82" i="60"/>
  <c r="AG82" i="60"/>
  <c r="AJ81" i="60"/>
  <c r="AG81" i="60"/>
  <c r="AJ80" i="60"/>
  <c r="AG80" i="60"/>
  <c r="AJ79" i="60"/>
  <c r="AG79" i="60"/>
  <c r="AH79" i="60" s="1"/>
  <c r="AI79" i="60" s="1"/>
  <c r="AJ78" i="60"/>
  <c r="AG78" i="60"/>
  <c r="AH78" i="60" s="1"/>
  <c r="AI78" i="60" s="1"/>
  <c r="AJ77" i="60"/>
  <c r="AG77" i="60"/>
  <c r="AH77" i="60" s="1"/>
  <c r="AI77" i="60" s="1"/>
  <c r="AJ76" i="60"/>
  <c r="AG76" i="60"/>
  <c r="AH76" i="60" s="1"/>
  <c r="AI76" i="60" s="1"/>
  <c r="AJ75" i="60"/>
  <c r="AG75" i="60"/>
  <c r="AH75" i="60" s="1"/>
  <c r="AI75" i="60" s="1"/>
  <c r="AJ86" i="61"/>
  <c r="AG86" i="61"/>
  <c r="AJ85" i="61"/>
  <c r="AG85" i="61"/>
  <c r="AJ84" i="61"/>
  <c r="AG84" i="61"/>
  <c r="AJ83" i="61"/>
  <c r="AG83" i="61"/>
  <c r="AJ82" i="61"/>
  <c r="AG82" i="61"/>
  <c r="AJ81" i="61"/>
  <c r="AG81" i="61"/>
  <c r="AJ80" i="61"/>
  <c r="AG80" i="61"/>
  <c r="AJ79" i="61"/>
  <c r="AG79" i="61"/>
  <c r="AH79" i="61" s="1"/>
  <c r="AI79" i="61" s="1"/>
  <c r="AJ78" i="61"/>
  <c r="AG78" i="61"/>
  <c r="AH78" i="61" s="1"/>
  <c r="AI78" i="61" s="1"/>
  <c r="AJ77" i="61"/>
  <c r="AG77" i="61"/>
  <c r="AH77" i="61" s="1"/>
  <c r="AI77" i="61" s="1"/>
  <c r="AJ76" i="61"/>
  <c r="AG76" i="61"/>
  <c r="AH76" i="61" s="1"/>
  <c r="AI76" i="61" s="1"/>
  <c r="AJ75" i="61"/>
  <c r="AG75" i="61"/>
  <c r="AH75" i="61" s="1"/>
  <c r="AI75" i="61" s="1"/>
  <c r="AJ86" i="62"/>
  <c r="AG86" i="62"/>
  <c r="AJ85" i="62"/>
  <c r="AG85" i="62"/>
  <c r="AJ84" i="62"/>
  <c r="AG84" i="62"/>
  <c r="AJ83" i="62"/>
  <c r="AG83" i="62"/>
  <c r="AJ82" i="62"/>
  <c r="AG82" i="62"/>
  <c r="AJ81" i="62"/>
  <c r="AG81" i="62"/>
  <c r="AJ80" i="62"/>
  <c r="AG80" i="62"/>
  <c r="AJ79" i="62"/>
  <c r="AG79" i="62"/>
  <c r="AH79" i="62" s="1"/>
  <c r="AI79" i="62" s="1"/>
  <c r="AJ78" i="62"/>
  <c r="AG78" i="62"/>
  <c r="AH78" i="62" s="1"/>
  <c r="AI78" i="62" s="1"/>
  <c r="AJ77" i="62"/>
  <c r="AG77" i="62"/>
  <c r="AH77" i="62" s="1"/>
  <c r="AI77" i="62" s="1"/>
  <c r="AJ76" i="62"/>
  <c r="AG76" i="62"/>
  <c r="AH76" i="62" s="1"/>
  <c r="AI76" i="62" s="1"/>
  <c r="AJ75" i="62"/>
  <c r="AG75" i="62"/>
  <c r="AH75" i="62" s="1"/>
  <c r="AI75" i="62" s="1"/>
  <c r="AJ86" i="63"/>
  <c r="AG86" i="63"/>
  <c r="AJ85" i="63"/>
  <c r="AG85" i="63"/>
  <c r="AJ84" i="63"/>
  <c r="AG84" i="63"/>
  <c r="AJ83" i="63"/>
  <c r="AG83" i="63"/>
  <c r="AJ82" i="63"/>
  <c r="AG82" i="63"/>
  <c r="AJ81" i="63"/>
  <c r="AG81" i="63"/>
  <c r="AJ80" i="63"/>
  <c r="AG80" i="63"/>
  <c r="AJ79" i="63"/>
  <c r="AG79" i="63"/>
  <c r="AH79" i="63" s="1"/>
  <c r="AI79" i="63" s="1"/>
  <c r="AJ78" i="63"/>
  <c r="AG78" i="63"/>
  <c r="AH78" i="63" s="1"/>
  <c r="AI78" i="63" s="1"/>
  <c r="AJ77" i="63"/>
  <c r="AG77" i="63"/>
  <c r="AH77" i="63" s="1"/>
  <c r="AI77" i="63" s="1"/>
  <c r="AJ76" i="63"/>
  <c r="AG76" i="63"/>
  <c r="AH76" i="63" s="1"/>
  <c r="AI76" i="63" s="1"/>
  <c r="AJ75" i="63"/>
  <c r="AG75" i="63"/>
  <c r="AJ86" i="64"/>
  <c r="AG86" i="64"/>
  <c r="AJ85" i="64"/>
  <c r="AG85" i="64"/>
  <c r="AJ84" i="64"/>
  <c r="AG84" i="64"/>
  <c r="AJ83" i="64"/>
  <c r="AG83" i="64"/>
  <c r="AJ82" i="64"/>
  <c r="AG82" i="64"/>
  <c r="AJ81" i="64"/>
  <c r="AG81" i="64"/>
  <c r="AJ80" i="64"/>
  <c r="AG80" i="64"/>
  <c r="AJ79" i="64"/>
  <c r="AG79" i="64"/>
  <c r="AH79" i="64" s="1"/>
  <c r="AI79" i="64" s="1"/>
  <c r="AJ78" i="64"/>
  <c r="AG78" i="64"/>
  <c r="AH78" i="64" s="1"/>
  <c r="AI78" i="64" s="1"/>
  <c r="AJ77" i="64"/>
  <c r="AG77" i="64"/>
  <c r="AH77" i="64" s="1"/>
  <c r="AI77" i="64" s="1"/>
  <c r="AJ76" i="64"/>
  <c r="AG76" i="64"/>
  <c r="AH76" i="64" s="1"/>
  <c r="AI76" i="64" s="1"/>
  <c r="AJ75" i="64"/>
  <c r="AG75" i="64"/>
  <c r="AH75" i="64" s="1"/>
  <c r="AI75" i="64" s="1"/>
  <c r="AJ86" i="70"/>
  <c r="AG86" i="70"/>
  <c r="AJ85" i="70"/>
  <c r="AG85" i="70"/>
  <c r="AJ84" i="70"/>
  <c r="AG84" i="70"/>
  <c r="AJ83" i="70"/>
  <c r="AG83" i="70"/>
  <c r="AJ82" i="70"/>
  <c r="AG82" i="70"/>
  <c r="AJ81" i="70"/>
  <c r="AG81" i="70"/>
  <c r="AJ80" i="70"/>
  <c r="AG80" i="70"/>
  <c r="AJ79" i="70"/>
  <c r="AG79" i="70"/>
  <c r="AH79" i="70" s="1"/>
  <c r="AI79" i="70" s="1"/>
  <c r="AJ78" i="70"/>
  <c r="AG78" i="70"/>
  <c r="AH78" i="70" s="1"/>
  <c r="AI78" i="70" s="1"/>
  <c r="AJ77" i="70"/>
  <c r="AG77" i="70"/>
  <c r="AH77" i="70" s="1"/>
  <c r="AI77" i="70" s="1"/>
  <c r="AJ76" i="70"/>
  <c r="AG76" i="70"/>
  <c r="AH76" i="70" s="1"/>
  <c r="AI76" i="70" s="1"/>
  <c r="AJ75" i="70"/>
  <c r="AG75" i="70"/>
  <c r="AJ86" i="71"/>
  <c r="AG86" i="71"/>
  <c r="AJ85" i="71"/>
  <c r="AG85" i="71"/>
  <c r="AJ84" i="71"/>
  <c r="AG84" i="71"/>
  <c r="AJ83" i="71"/>
  <c r="AG83" i="71"/>
  <c r="AJ82" i="71"/>
  <c r="AG82" i="71"/>
  <c r="AJ81" i="71"/>
  <c r="AG81" i="71"/>
  <c r="AJ80" i="71"/>
  <c r="AG80" i="71"/>
  <c r="AJ79" i="71"/>
  <c r="AG79" i="71"/>
  <c r="AJ78" i="71"/>
  <c r="AG78" i="71"/>
  <c r="AJ77" i="71"/>
  <c r="AG77" i="71"/>
  <c r="AJ76" i="71"/>
  <c r="AG76" i="71"/>
  <c r="AJ75" i="71"/>
  <c r="AG75" i="71"/>
  <c r="AH75" i="71" s="1"/>
  <c r="AI75" i="71" s="1"/>
  <c r="AJ86" i="72"/>
  <c r="AG86" i="72"/>
  <c r="AJ85" i="72"/>
  <c r="AG85" i="72"/>
  <c r="AJ84" i="72"/>
  <c r="AG84" i="72"/>
  <c r="AJ83" i="72"/>
  <c r="AG83" i="72"/>
  <c r="AJ82" i="72"/>
  <c r="AG82" i="72"/>
  <c r="AJ81" i="72"/>
  <c r="AG81" i="72"/>
  <c r="AJ80" i="72"/>
  <c r="AG80" i="72"/>
  <c r="AJ79" i="72"/>
  <c r="AG79" i="72"/>
  <c r="AJ78" i="72"/>
  <c r="AG78" i="72"/>
  <c r="AJ77" i="72"/>
  <c r="AG77" i="72"/>
  <c r="AJ76" i="72"/>
  <c r="AG76" i="72"/>
  <c r="AJ75" i="72"/>
  <c r="AG75" i="72"/>
  <c r="AH75" i="72" s="1"/>
  <c r="AI75" i="72" s="1"/>
  <c r="AJ86" i="73"/>
  <c r="AG86" i="73"/>
  <c r="AJ85" i="73"/>
  <c r="AG85" i="73"/>
  <c r="AJ84" i="73"/>
  <c r="AG84" i="73"/>
  <c r="AJ83" i="73"/>
  <c r="AG83" i="73"/>
  <c r="AJ82" i="73"/>
  <c r="AG82" i="73"/>
  <c r="AJ81" i="73"/>
  <c r="AG81" i="73"/>
  <c r="AJ80" i="73"/>
  <c r="AG80" i="73"/>
  <c r="AJ79" i="73"/>
  <c r="AG79" i="73"/>
  <c r="AJ78" i="73"/>
  <c r="AG78" i="73"/>
  <c r="AJ77" i="73"/>
  <c r="AG77" i="73"/>
  <c r="AJ76" i="73"/>
  <c r="AG76" i="73"/>
  <c r="AJ75" i="73"/>
  <c r="AG75" i="73"/>
  <c r="AH75" i="73" s="1"/>
  <c r="AI75" i="73" s="1"/>
  <c r="AJ86" i="74"/>
  <c r="AG86" i="74"/>
  <c r="AJ85" i="74"/>
  <c r="AG85" i="74"/>
  <c r="AJ84" i="74"/>
  <c r="AG84" i="74"/>
  <c r="AJ83" i="74"/>
  <c r="AG83" i="74"/>
  <c r="AJ82" i="74"/>
  <c r="AG82" i="74"/>
  <c r="AJ81" i="74"/>
  <c r="AG81" i="74"/>
  <c r="AJ80" i="74"/>
  <c r="AG80" i="74"/>
  <c r="AJ79" i="74"/>
  <c r="AG79" i="74"/>
  <c r="AJ78" i="74"/>
  <c r="AG78" i="74"/>
  <c r="AH78" i="74" s="1"/>
  <c r="AI78" i="74" s="1"/>
  <c r="AJ77" i="74"/>
  <c r="AG77" i="74"/>
  <c r="AH77" i="74" s="1"/>
  <c r="AI77" i="74" s="1"/>
  <c r="AJ76" i="74"/>
  <c r="AG76" i="74"/>
  <c r="AH76" i="74" s="1"/>
  <c r="AI76" i="74" s="1"/>
  <c r="AJ75" i="74"/>
  <c r="AG75" i="74"/>
  <c r="AJ86" i="75"/>
  <c r="AG86" i="75"/>
  <c r="AJ85" i="75"/>
  <c r="AG85" i="75"/>
  <c r="AJ84" i="75"/>
  <c r="AG84" i="75"/>
  <c r="AJ83" i="75"/>
  <c r="AG83" i="75"/>
  <c r="AJ82" i="75"/>
  <c r="AG82" i="75"/>
  <c r="AJ81" i="75"/>
  <c r="AG81" i="75"/>
  <c r="AJ80" i="75"/>
  <c r="AG80" i="75"/>
  <c r="AJ79" i="75"/>
  <c r="AG79" i="75"/>
  <c r="AJ78" i="75"/>
  <c r="AG78" i="75"/>
  <c r="AJ77" i="75"/>
  <c r="AG77" i="75"/>
  <c r="AJ76" i="75"/>
  <c r="AG76" i="75"/>
  <c r="AJ75" i="75"/>
  <c r="AG75" i="75"/>
  <c r="AH75" i="75" s="1"/>
  <c r="AI75" i="75" s="1"/>
  <c r="AJ86" i="85"/>
  <c r="AG86" i="85"/>
  <c r="AJ85" i="85"/>
  <c r="AG85" i="85"/>
  <c r="AH85" i="85" s="1"/>
  <c r="AI85" i="85" s="1"/>
  <c r="AJ84" i="85"/>
  <c r="AG84" i="85"/>
  <c r="AH84" i="85" s="1"/>
  <c r="AI84" i="85" s="1"/>
  <c r="AJ83" i="85"/>
  <c r="AG83" i="85"/>
  <c r="AH83" i="85" s="1"/>
  <c r="AI83" i="85" s="1"/>
  <c r="AJ82" i="85"/>
  <c r="AG82" i="85"/>
  <c r="AH82" i="85" s="1"/>
  <c r="AI82" i="85" s="1"/>
  <c r="AJ81" i="85"/>
  <c r="AG81" i="85"/>
  <c r="AH81" i="85" s="1"/>
  <c r="AI81" i="85" s="1"/>
  <c r="AJ80" i="85"/>
  <c r="AG80" i="85"/>
  <c r="AH80" i="85" s="1"/>
  <c r="AI80" i="85" s="1"/>
  <c r="AJ79" i="85"/>
  <c r="AG79" i="85"/>
  <c r="AH79" i="85" s="1"/>
  <c r="AI79" i="85" s="1"/>
  <c r="AJ78" i="85"/>
  <c r="AG78" i="85"/>
  <c r="AH78" i="85" s="1"/>
  <c r="AI78" i="85" s="1"/>
  <c r="AJ77" i="85"/>
  <c r="AG77" i="85"/>
  <c r="AH77" i="85" s="1"/>
  <c r="AI77" i="85" s="1"/>
  <c r="AJ76" i="85"/>
  <c r="AG76" i="85"/>
  <c r="AH76" i="85" s="1"/>
  <c r="AI76" i="85" s="1"/>
  <c r="AJ75" i="85"/>
  <c r="AG75" i="85"/>
  <c r="AH75" i="85" s="1"/>
  <c r="AI75" i="85" s="1"/>
  <c r="AJ86" i="86"/>
  <c r="AG86" i="86"/>
  <c r="AJ85" i="86"/>
  <c r="AG85" i="86"/>
  <c r="AJ84" i="86"/>
  <c r="AG84" i="86"/>
  <c r="AJ83" i="86"/>
  <c r="AG83" i="86"/>
  <c r="AJ82" i="86"/>
  <c r="AG82" i="86"/>
  <c r="AJ81" i="86"/>
  <c r="AG81" i="86"/>
  <c r="AJ80" i="86"/>
  <c r="AG80" i="86"/>
  <c r="AJ79" i="86"/>
  <c r="AG79" i="86"/>
  <c r="AJ78" i="86"/>
  <c r="AG78" i="86"/>
  <c r="AJ77" i="86"/>
  <c r="AG77" i="86"/>
  <c r="AJ76" i="86"/>
  <c r="AG76" i="86"/>
  <c r="AJ75" i="86"/>
  <c r="AG75" i="86"/>
  <c r="AH75" i="86" s="1"/>
  <c r="AI75" i="86" s="1"/>
  <c r="AJ86" i="87"/>
  <c r="AG86" i="87"/>
  <c r="AJ85" i="87"/>
  <c r="AG85" i="87"/>
  <c r="AJ84" i="87"/>
  <c r="AG84" i="87"/>
  <c r="AJ83" i="87"/>
  <c r="AG83" i="87"/>
  <c r="AJ82" i="87"/>
  <c r="AG82" i="87"/>
  <c r="AJ81" i="87"/>
  <c r="AG81" i="87"/>
  <c r="AJ80" i="87"/>
  <c r="AG80" i="87"/>
  <c r="AJ79" i="87"/>
  <c r="AG79" i="87"/>
  <c r="AJ78" i="87"/>
  <c r="AG78" i="87"/>
  <c r="AJ77" i="87"/>
  <c r="AG77" i="87"/>
  <c r="AJ76" i="87"/>
  <c r="AG76" i="87"/>
  <c r="AH76" i="87" s="1"/>
  <c r="AI76" i="87" s="1"/>
  <c r="AJ75" i="87"/>
  <c r="AG75" i="87"/>
  <c r="AJ86" i="76"/>
  <c r="AG86" i="76"/>
  <c r="AJ85" i="76"/>
  <c r="AG85" i="76"/>
  <c r="AJ84" i="76"/>
  <c r="AG84" i="76"/>
  <c r="AJ83" i="76"/>
  <c r="AG83" i="76"/>
  <c r="AJ82" i="76"/>
  <c r="AG82" i="76"/>
  <c r="AJ81" i="76"/>
  <c r="AG81" i="76"/>
  <c r="AJ80" i="76"/>
  <c r="AG80" i="76"/>
  <c r="AJ79" i="76"/>
  <c r="AG79" i="76"/>
  <c r="AJ78" i="76"/>
  <c r="AG78" i="76"/>
  <c r="AJ77" i="76"/>
  <c r="AG77" i="76"/>
  <c r="AJ76" i="76"/>
  <c r="AG76" i="76"/>
  <c r="AJ75" i="76"/>
  <c r="AG75" i="76"/>
  <c r="AJ86" i="78"/>
  <c r="AG86" i="78"/>
  <c r="AJ85" i="78"/>
  <c r="AG85" i="78"/>
  <c r="AJ84" i="78"/>
  <c r="AG84" i="78"/>
  <c r="AJ83" i="78"/>
  <c r="AG83" i="78"/>
  <c r="AJ82" i="78"/>
  <c r="AG82" i="78"/>
  <c r="AJ81" i="78"/>
  <c r="AG81" i="78"/>
  <c r="AJ80" i="78"/>
  <c r="AG80" i="78"/>
  <c r="AJ79" i="78"/>
  <c r="AG79" i="78"/>
  <c r="AJ78" i="78"/>
  <c r="AG78" i="78"/>
  <c r="AJ77" i="78"/>
  <c r="AG77" i="78"/>
  <c r="AJ76" i="78"/>
  <c r="AG76" i="78"/>
  <c r="AJ75" i="78"/>
  <c r="AG75" i="78"/>
  <c r="AH75" i="78" s="1"/>
  <c r="AI75" i="78" s="1"/>
  <c r="AJ86" i="79"/>
  <c r="AG86" i="79"/>
  <c r="AJ85" i="79"/>
  <c r="AG85" i="79"/>
  <c r="AJ84" i="79"/>
  <c r="AG84" i="79"/>
  <c r="AJ83" i="79"/>
  <c r="AG83" i="79"/>
  <c r="AJ82" i="79"/>
  <c r="AG82" i="79"/>
  <c r="AJ81" i="79"/>
  <c r="AG81" i="79"/>
  <c r="AJ80" i="79"/>
  <c r="AG80" i="79"/>
  <c r="AJ79" i="79"/>
  <c r="AG79" i="79"/>
  <c r="AJ78" i="79"/>
  <c r="AG78" i="79"/>
  <c r="AJ77" i="79"/>
  <c r="AG77" i="79"/>
  <c r="AJ76" i="79"/>
  <c r="AG76" i="79"/>
  <c r="AJ75" i="79"/>
  <c r="AG75" i="79"/>
  <c r="AH75" i="79" s="1"/>
  <c r="AI75" i="79" s="1"/>
  <c r="AJ86" i="80"/>
  <c r="AG86" i="80"/>
  <c r="AJ85" i="80"/>
  <c r="AG85" i="80"/>
  <c r="AJ84" i="80"/>
  <c r="AG84" i="80"/>
  <c r="AJ83" i="80"/>
  <c r="AG83" i="80"/>
  <c r="AJ82" i="80"/>
  <c r="AG82" i="80"/>
  <c r="AJ81" i="80"/>
  <c r="AG81" i="80"/>
  <c r="AJ80" i="80"/>
  <c r="AG80" i="80"/>
  <c r="AJ79" i="80"/>
  <c r="AG79" i="80"/>
  <c r="AJ78" i="80"/>
  <c r="AG78" i="80"/>
  <c r="AJ77" i="80"/>
  <c r="AG77" i="80"/>
  <c r="AJ76" i="80"/>
  <c r="AG76" i="80"/>
  <c r="AJ75" i="80"/>
  <c r="AG75" i="80"/>
  <c r="AH75" i="80" s="1"/>
  <c r="AI75" i="80" s="1"/>
  <c r="AJ86" i="84"/>
  <c r="AG86" i="84"/>
  <c r="AJ85" i="84"/>
  <c r="AG85" i="84"/>
  <c r="AJ84" i="84"/>
  <c r="AG84" i="84"/>
  <c r="AJ83" i="84"/>
  <c r="AG83" i="84"/>
  <c r="AJ82" i="84"/>
  <c r="AG82" i="84"/>
  <c r="AJ81" i="84"/>
  <c r="AG81" i="84"/>
  <c r="AJ80" i="84"/>
  <c r="AG80" i="84"/>
  <c r="AJ79" i="84"/>
  <c r="AG79" i="84"/>
  <c r="AJ78" i="84"/>
  <c r="AG78" i="84"/>
  <c r="AJ77" i="84"/>
  <c r="AG77" i="84"/>
  <c r="AJ76" i="84"/>
  <c r="AG76" i="84"/>
  <c r="AJ75" i="84"/>
  <c r="AG75" i="84"/>
  <c r="AJ86" i="81"/>
  <c r="AG86" i="81"/>
  <c r="AJ85" i="81"/>
  <c r="AG85" i="81"/>
  <c r="AH85" i="81" s="1"/>
  <c r="AI85" i="81" s="1"/>
  <c r="AJ84" i="81"/>
  <c r="AG84" i="81"/>
  <c r="AH84" i="81" s="1"/>
  <c r="AI84" i="81" s="1"/>
  <c r="AJ83" i="81"/>
  <c r="AG83" i="81"/>
  <c r="AH83" i="81" s="1"/>
  <c r="AI83" i="81" s="1"/>
  <c r="AJ82" i="81"/>
  <c r="AG82" i="81"/>
  <c r="AH82" i="81" s="1"/>
  <c r="AI82" i="81" s="1"/>
  <c r="AJ81" i="81"/>
  <c r="AG81" i="81"/>
  <c r="AH81" i="81" s="1"/>
  <c r="AI81" i="81" s="1"/>
  <c r="AJ80" i="81"/>
  <c r="AG80" i="81"/>
  <c r="AH80" i="81" s="1"/>
  <c r="AI80" i="81" s="1"/>
  <c r="AJ79" i="81"/>
  <c r="AG79" i="81"/>
  <c r="AH79" i="81" s="1"/>
  <c r="AI79" i="81" s="1"/>
  <c r="AJ78" i="81"/>
  <c r="AG78" i="81"/>
  <c r="AH78" i="81" s="1"/>
  <c r="AI78" i="81" s="1"/>
  <c r="AJ77" i="81"/>
  <c r="AG77" i="81"/>
  <c r="AH77" i="81" s="1"/>
  <c r="AI77" i="81" s="1"/>
  <c r="AJ76" i="81"/>
  <c r="AG76" i="81"/>
  <c r="AH76" i="81" s="1"/>
  <c r="AI76" i="81" s="1"/>
  <c r="AJ75" i="81"/>
  <c r="AG75" i="81"/>
  <c r="AH75" i="81" s="1"/>
  <c r="AI75" i="81" s="1"/>
  <c r="AJ86" i="82"/>
  <c r="AG86" i="82"/>
  <c r="AJ85" i="82"/>
  <c r="AG85" i="82"/>
  <c r="AJ84" i="82"/>
  <c r="AG84" i="82"/>
  <c r="AJ83" i="82"/>
  <c r="AG83" i="82"/>
  <c r="AJ82" i="82"/>
  <c r="AG82" i="82"/>
  <c r="AJ81" i="82"/>
  <c r="AG81" i="82"/>
  <c r="AJ80" i="82"/>
  <c r="AG80" i="82"/>
  <c r="AJ79" i="82"/>
  <c r="AG79" i="82"/>
  <c r="AJ78" i="82"/>
  <c r="AG78" i="82"/>
  <c r="AJ77" i="82"/>
  <c r="AG77" i="82"/>
  <c r="AJ76" i="82"/>
  <c r="AG76" i="82"/>
  <c r="AH76" i="82" s="1"/>
  <c r="AI76" i="82" s="1"/>
  <c r="AJ75" i="82"/>
  <c r="AG75" i="82"/>
  <c r="AH75" i="82" s="1"/>
  <c r="AI75" i="82" s="1"/>
  <c r="AJ86" i="83"/>
  <c r="AG86" i="83"/>
  <c r="AJ85" i="83"/>
  <c r="AG85" i="83"/>
  <c r="AJ84" i="83"/>
  <c r="AG84" i="83"/>
  <c r="AJ83" i="83"/>
  <c r="AG83" i="83"/>
  <c r="AJ82" i="83"/>
  <c r="AG82" i="83"/>
  <c r="AJ81" i="83"/>
  <c r="AG81" i="83"/>
  <c r="AJ80" i="83"/>
  <c r="AG80" i="83"/>
  <c r="AJ79" i="83"/>
  <c r="AG79" i="83"/>
  <c r="AJ78" i="83"/>
  <c r="AG78" i="83"/>
  <c r="AJ77" i="83"/>
  <c r="AG77" i="83"/>
  <c r="AJ76" i="83"/>
  <c r="AG76" i="83"/>
  <c r="AH76" i="83" s="1"/>
  <c r="AI76" i="83" s="1"/>
  <c r="AJ75" i="83"/>
  <c r="AG75" i="83"/>
  <c r="AJ86" i="77"/>
  <c r="AG86" i="77"/>
  <c r="AJ85" i="77"/>
  <c r="AG85" i="77"/>
  <c r="AJ84" i="77"/>
  <c r="AG84" i="77"/>
  <c r="AJ83" i="77"/>
  <c r="AG83" i="77"/>
  <c r="AJ82" i="77"/>
  <c r="AG82" i="77"/>
  <c r="AJ81" i="77"/>
  <c r="AG81" i="77"/>
  <c r="AJ80" i="77"/>
  <c r="AG80" i="77"/>
  <c r="AJ79" i="77"/>
  <c r="AG79" i="77"/>
  <c r="AJ78" i="77"/>
  <c r="AG78" i="77"/>
  <c r="AJ77" i="77"/>
  <c r="AG77" i="77"/>
  <c r="AJ76" i="77"/>
  <c r="AG76" i="77"/>
  <c r="AJ75" i="77"/>
  <c r="AG75" i="77"/>
  <c r="AJ86" i="88"/>
  <c r="AG86" i="88"/>
  <c r="AJ85" i="88"/>
  <c r="AG85" i="88"/>
  <c r="AJ84" i="88"/>
  <c r="AG84" i="88"/>
  <c r="AJ83" i="88"/>
  <c r="AG83" i="88"/>
  <c r="AJ82" i="88"/>
  <c r="AG82" i="88"/>
  <c r="AJ81" i="88"/>
  <c r="AG81" i="88"/>
  <c r="AJ80" i="88"/>
  <c r="AG80" i="88"/>
  <c r="AJ79" i="88"/>
  <c r="AG79" i="88"/>
  <c r="AJ78" i="88"/>
  <c r="AG78" i="88"/>
  <c r="AJ77" i="88"/>
  <c r="AG77" i="88"/>
  <c r="AJ76" i="88"/>
  <c r="AG76" i="88"/>
  <c r="AJ75" i="88"/>
  <c r="AG75" i="88"/>
  <c r="AH75" i="88" s="1"/>
  <c r="AI75" i="88" s="1"/>
  <c r="AJ86" i="89"/>
  <c r="AG86" i="89"/>
  <c r="AJ85" i="89"/>
  <c r="AG85" i="89"/>
  <c r="AJ84" i="89"/>
  <c r="AG84" i="89"/>
  <c r="AJ83" i="89"/>
  <c r="AG83" i="89"/>
  <c r="AJ82" i="89"/>
  <c r="AG82" i="89"/>
  <c r="AJ81" i="89"/>
  <c r="AG81" i="89"/>
  <c r="AJ80" i="89"/>
  <c r="AG80" i="89"/>
  <c r="AJ79" i="89"/>
  <c r="AG79" i="89"/>
  <c r="AJ78" i="89"/>
  <c r="AG78" i="89"/>
  <c r="AJ77" i="89"/>
  <c r="AG77" i="89"/>
  <c r="AJ76" i="89"/>
  <c r="AG76" i="89"/>
  <c r="AJ75" i="89"/>
  <c r="AG75" i="89"/>
  <c r="AH75" i="89" s="1"/>
  <c r="AI75" i="89" s="1"/>
  <c r="AJ86" i="90"/>
  <c r="AG86" i="90"/>
  <c r="AJ85" i="90"/>
  <c r="AG85" i="90"/>
  <c r="AJ84" i="90"/>
  <c r="AG84" i="90"/>
  <c r="AJ83" i="90"/>
  <c r="AG83" i="90"/>
  <c r="AJ82" i="90"/>
  <c r="AG82" i="90"/>
  <c r="AJ81" i="90"/>
  <c r="AG81" i="90"/>
  <c r="AJ80" i="90"/>
  <c r="AG80" i="90"/>
  <c r="AJ79" i="90"/>
  <c r="AG79" i="90"/>
  <c r="AJ78" i="90"/>
  <c r="AG78" i="90"/>
  <c r="AJ77" i="90"/>
  <c r="AG77" i="90"/>
  <c r="AJ76" i="90"/>
  <c r="AG76" i="90"/>
  <c r="AJ75" i="90"/>
  <c r="AG75" i="90"/>
  <c r="AH75" i="90" s="1"/>
  <c r="AI75" i="90" s="1"/>
  <c r="AJ86" i="91"/>
  <c r="AG86" i="91"/>
  <c r="AJ85" i="91"/>
  <c r="AG85" i="91"/>
  <c r="AJ84" i="91"/>
  <c r="AG84" i="91"/>
  <c r="AJ83" i="91"/>
  <c r="AG83" i="91"/>
  <c r="AJ82" i="91"/>
  <c r="AG82" i="91"/>
  <c r="AJ81" i="91"/>
  <c r="AG81" i="91"/>
  <c r="AJ80" i="91"/>
  <c r="AG80" i="91"/>
  <c r="AJ79" i="91"/>
  <c r="AG79" i="91"/>
  <c r="AH79" i="91" s="1"/>
  <c r="AI79" i="91" s="1"/>
  <c r="AJ78" i="91"/>
  <c r="AG78" i="91"/>
  <c r="AJ77" i="91"/>
  <c r="AG77" i="91"/>
  <c r="AH77" i="91" s="1"/>
  <c r="AI77" i="91" s="1"/>
  <c r="AJ76" i="91"/>
  <c r="AG76" i="91"/>
  <c r="AH76" i="91" s="1"/>
  <c r="AI76" i="91" s="1"/>
  <c r="AJ75" i="91"/>
  <c r="AG75" i="91"/>
  <c r="AJ86" i="92"/>
  <c r="AG86" i="92"/>
  <c r="AJ85" i="92"/>
  <c r="AG85" i="92"/>
  <c r="AJ84" i="92"/>
  <c r="AG84" i="92"/>
  <c r="AJ83" i="92"/>
  <c r="AG83" i="92"/>
  <c r="AJ82" i="92"/>
  <c r="AG82" i="92"/>
  <c r="AJ81" i="92"/>
  <c r="AG81" i="92"/>
  <c r="AJ80" i="92"/>
  <c r="AG80" i="92"/>
  <c r="AJ79" i="92"/>
  <c r="AG79" i="92"/>
  <c r="AH79" i="92" s="1"/>
  <c r="AI79" i="92" s="1"/>
  <c r="AJ78" i="92"/>
  <c r="AG78" i="92"/>
  <c r="AH78" i="92" s="1"/>
  <c r="AI78" i="92" s="1"/>
  <c r="AJ77" i="92"/>
  <c r="AG77" i="92"/>
  <c r="AH77" i="92" s="1"/>
  <c r="AI77" i="92" s="1"/>
  <c r="AJ76" i="92"/>
  <c r="AG76" i="92"/>
  <c r="AH76" i="92" s="1"/>
  <c r="AI76" i="92" s="1"/>
  <c r="AJ75" i="92"/>
  <c r="AG75" i="92"/>
  <c r="AJ86" i="93"/>
  <c r="AG86" i="93"/>
  <c r="AJ85" i="93"/>
  <c r="AG85" i="93"/>
  <c r="AJ84" i="93"/>
  <c r="AG84" i="93"/>
  <c r="AJ83" i="93"/>
  <c r="AG83" i="93"/>
  <c r="AJ82" i="93"/>
  <c r="AG82" i="93"/>
  <c r="AJ81" i="93"/>
  <c r="AG81" i="93"/>
  <c r="AJ80" i="93"/>
  <c r="AG80" i="93"/>
  <c r="AJ79" i="93"/>
  <c r="AG79" i="93"/>
  <c r="AH79" i="93" s="1"/>
  <c r="AI79" i="93" s="1"/>
  <c r="AJ78" i="93"/>
  <c r="AG78" i="93"/>
  <c r="AJ77" i="93"/>
  <c r="AG77" i="93"/>
  <c r="AH77" i="93" s="1"/>
  <c r="AI77" i="93" s="1"/>
  <c r="AJ76" i="93"/>
  <c r="AG76" i="93"/>
  <c r="AH76" i="93" s="1"/>
  <c r="AI76" i="93" s="1"/>
  <c r="AJ75" i="93"/>
  <c r="AG75" i="93"/>
  <c r="AJ86" i="94"/>
  <c r="AG86" i="94"/>
  <c r="AJ85" i="94"/>
  <c r="AG85" i="94"/>
  <c r="AJ84" i="94"/>
  <c r="AG84" i="94"/>
  <c r="AJ83" i="94"/>
  <c r="AG83" i="94"/>
  <c r="AJ82" i="94"/>
  <c r="AG82" i="94"/>
  <c r="AJ81" i="94"/>
  <c r="AG81" i="94"/>
  <c r="AJ80" i="94"/>
  <c r="AG80" i="94"/>
  <c r="AJ79" i="94"/>
  <c r="AG79" i="94"/>
  <c r="AJ78" i="94"/>
  <c r="AG78" i="94"/>
  <c r="AJ77" i="94"/>
  <c r="AG77" i="94"/>
  <c r="AJ76" i="94"/>
  <c r="AG76" i="94"/>
  <c r="AH76" i="94" s="1"/>
  <c r="AI76" i="94" s="1"/>
  <c r="AJ75" i="94"/>
  <c r="AG75" i="94"/>
  <c r="AJ86" i="95"/>
  <c r="AG86" i="95"/>
  <c r="AJ85" i="95"/>
  <c r="AG85" i="95"/>
  <c r="AJ84" i="95"/>
  <c r="AG84" i="95"/>
  <c r="AJ83" i="95"/>
  <c r="AG83" i="95"/>
  <c r="AJ82" i="95"/>
  <c r="AG82" i="95"/>
  <c r="AJ81" i="95"/>
  <c r="AG81" i="95"/>
  <c r="AJ80" i="95"/>
  <c r="AG80" i="95"/>
  <c r="AJ79" i="95"/>
  <c r="AG79" i="95"/>
  <c r="AJ78" i="95"/>
  <c r="AG78" i="95"/>
  <c r="AJ77" i="95"/>
  <c r="AG77" i="95"/>
  <c r="AJ76" i="95"/>
  <c r="AG76" i="95"/>
  <c r="AH76" i="95" s="1"/>
  <c r="AI76" i="95" s="1"/>
  <c r="AJ75" i="95"/>
  <c r="AG75" i="95"/>
  <c r="AH75" i="95" s="1"/>
  <c r="AI75" i="95" s="1"/>
  <c r="AJ86" i="96"/>
  <c r="AG86" i="96"/>
  <c r="AJ85" i="96"/>
  <c r="AG85" i="96"/>
  <c r="AJ84" i="96"/>
  <c r="AG84" i="96"/>
  <c r="AJ83" i="96"/>
  <c r="AG83" i="96"/>
  <c r="AJ82" i="96"/>
  <c r="AG82" i="96"/>
  <c r="AJ81" i="96"/>
  <c r="AG81" i="96"/>
  <c r="AJ80" i="96"/>
  <c r="AG80" i="96"/>
  <c r="AJ79" i="96"/>
  <c r="AG79" i="96"/>
  <c r="AJ78" i="96"/>
  <c r="AG78" i="96"/>
  <c r="AJ77" i="96"/>
  <c r="AG77" i="96"/>
  <c r="AJ76" i="96"/>
  <c r="AG76" i="96"/>
  <c r="AH76" i="96" s="1"/>
  <c r="AI76" i="96" s="1"/>
  <c r="AJ75" i="96"/>
  <c r="AG75" i="96"/>
  <c r="AJ86" i="100"/>
  <c r="AG86" i="100"/>
  <c r="AJ85" i="100"/>
  <c r="AG85" i="100"/>
  <c r="AJ84" i="100"/>
  <c r="AG84" i="100"/>
  <c r="AJ83" i="100"/>
  <c r="AG83" i="100"/>
  <c r="AJ82" i="100"/>
  <c r="AG82" i="100"/>
  <c r="AJ81" i="100"/>
  <c r="AG81" i="100"/>
  <c r="AJ80" i="100"/>
  <c r="AG80" i="100"/>
  <c r="AJ79" i="100"/>
  <c r="AG79" i="100"/>
  <c r="AJ78" i="100"/>
  <c r="AG78" i="100"/>
  <c r="AJ77" i="100"/>
  <c r="AG77" i="100"/>
  <c r="AH77" i="100" s="1"/>
  <c r="AI77" i="100" s="1"/>
  <c r="AJ76" i="100"/>
  <c r="AG76" i="100"/>
  <c r="AH76" i="100" s="1"/>
  <c r="AI76" i="100" s="1"/>
  <c r="AJ75" i="100"/>
  <c r="AG75" i="100"/>
  <c r="AJ86" i="101"/>
  <c r="AG86" i="101"/>
  <c r="AJ85" i="101"/>
  <c r="AG85" i="101"/>
  <c r="AJ84" i="101"/>
  <c r="AG84" i="101"/>
  <c r="AJ83" i="101"/>
  <c r="AG83" i="101"/>
  <c r="AJ82" i="101"/>
  <c r="AG82" i="101"/>
  <c r="AJ81" i="101"/>
  <c r="AG81" i="101"/>
  <c r="AJ80" i="101"/>
  <c r="AG80" i="101"/>
  <c r="AJ79" i="101"/>
  <c r="AG79" i="101"/>
  <c r="AJ78" i="101"/>
  <c r="AG78" i="101"/>
  <c r="AJ77" i="101"/>
  <c r="AG77" i="101"/>
  <c r="AJ76" i="101"/>
  <c r="AG76" i="101"/>
  <c r="AH76" i="101" s="1"/>
  <c r="AI76" i="101" s="1"/>
  <c r="AJ75" i="101"/>
  <c r="AG75" i="101"/>
  <c r="AH75" i="101" s="1"/>
  <c r="AI75" i="101" s="1"/>
  <c r="AJ86" i="102"/>
  <c r="AG86" i="102"/>
  <c r="AJ85" i="102"/>
  <c r="AG85" i="102"/>
  <c r="AJ84" i="102"/>
  <c r="AG84" i="102"/>
  <c r="AJ83" i="102"/>
  <c r="AG83" i="102"/>
  <c r="AJ82" i="102"/>
  <c r="AG82" i="102"/>
  <c r="AJ81" i="102"/>
  <c r="AG81" i="102"/>
  <c r="AJ80" i="102"/>
  <c r="AG80" i="102"/>
  <c r="AJ79" i="102"/>
  <c r="AG79" i="102"/>
  <c r="AJ78" i="102"/>
  <c r="AG78" i="102"/>
  <c r="AJ77" i="102"/>
  <c r="AG77" i="102"/>
  <c r="AH77" i="102" s="1"/>
  <c r="AI77" i="102" s="1"/>
  <c r="AJ76" i="102"/>
  <c r="AG76" i="102"/>
  <c r="AH76" i="102" s="1"/>
  <c r="AI76" i="102" s="1"/>
  <c r="AJ75" i="102"/>
  <c r="AG75" i="102"/>
  <c r="AJ86" i="104"/>
  <c r="AG86" i="104"/>
  <c r="AJ85" i="104"/>
  <c r="AG85" i="104"/>
  <c r="AJ84" i="104"/>
  <c r="AG84" i="104"/>
  <c r="AJ83" i="104"/>
  <c r="AG83" i="104"/>
  <c r="AJ82" i="104"/>
  <c r="AG82" i="104"/>
  <c r="AJ81" i="104"/>
  <c r="AG81" i="104"/>
  <c r="AJ80" i="104"/>
  <c r="AG80" i="104"/>
  <c r="AJ79" i="104"/>
  <c r="AG79" i="104"/>
  <c r="AJ78" i="104"/>
  <c r="AG78" i="104"/>
  <c r="AJ77" i="104"/>
  <c r="AG77" i="104"/>
  <c r="AJ76" i="104"/>
  <c r="AG76" i="104"/>
  <c r="AH76" i="104" s="1"/>
  <c r="AI76" i="104" s="1"/>
  <c r="AJ75" i="104"/>
  <c r="AG75" i="104"/>
  <c r="AH75" i="104" s="1"/>
  <c r="AI75" i="104" s="1"/>
  <c r="AJ86" i="97"/>
  <c r="AG86" i="97"/>
  <c r="AJ85" i="97"/>
  <c r="AG85" i="97"/>
  <c r="AI85" i="97" s="1"/>
  <c r="AJ84" i="97"/>
  <c r="AG84" i="97"/>
  <c r="AJ83" i="97"/>
  <c r="AG83" i="97"/>
  <c r="AJ82" i="97"/>
  <c r="AG82" i="97"/>
  <c r="AJ81" i="97"/>
  <c r="AG81" i="97"/>
  <c r="AJ80" i="97"/>
  <c r="AG80" i="97"/>
  <c r="AJ79" i="97"/>
  <c r="AG79" i="97"/>
  <c r="AJ78" i="97"/>
  <c r="AG78" i="97"/>
  <c r="AJ77" i="97"/>
  <c r="AG77" i="97"/>
  <c r="AI77" i="97" s="1"/>
  <c r="AJ76" i="97"/>
  <c r="AG76" i="97"/>
  <c r="AJ75" i="97"/>
  <c r="AG75" i="97"/>
  <c r="AI75" i="97" s="1"/>
  <c r="AJ86" i="98"/>
  <c r="AG86" i="98"/>
  <c r="AJ85" i="98"/>
  <c r="AG85" i="98"/>
  <c r="AJ84" i="98"/>
  <c r="AG84" i="98"/>
  <c r="AJ83" i="98"/>
  <c r="AG83" i="98"/>
  <c r="AJ82" i="98"/>
  <c r="AG82" i="98"/>
  <c r="AJ81" i="98"/>
  <c r="AG81" i="98"/>
  <c r="AJ80" i="98"/>
  <c r="AG80" i="98"/>
  <c r="AJ79" i="98"/>
  <c r="AG79" i="98"/>
  <c r="AJ78" i="98"/>
  <c r="AG78" i="98"/>
  <c r="AJ77" i="98"/>
  <c r="AG77" i="98"/>
  <c r="AH77" i="98" s="1"/>
  <c r="AI77" i="98" s="1"/>
  <c r="AJ76" i="98"/>
  <c r="AG76" i="98"/>
  <c r="AH76" i="98" s="1"/>
  <c r="AI76" i="98" s="1"/>
  <c r="AJ75" i="98"/>
  <c r="AG75" i="98"/>
  <c r="AH75" i="98" s="1"/>
  <c r="AI75" i="98" s="1"/>
  <c r="AJ86" i="99"/>
  <c r="AG86" i="99"/>
  <c r="AJ85" i="99"/>
  <c r="AG85" i="99"/>
  <c r="AJ84" i="99"/>
  <c r="AG84" i="99"/>
  <c r="AJ83" i="99"/>
  <c r="AG83" i="99"/>
  <c r="AJ82" i="99"/>
  <c r="AG82" i="99"/>
  <c r="AJ81" i="99"/>
  <c r="AG81" i="99"/>
  <c r="AJ80" i="99"/>
  <c r="AG80" i="99"/>
  <c r="AJ79" i="99"/>
  <c r="AG79" i="99"/>
  <c r="AJ78" i="99"/>
  <c r="AG78" i="99"/>
  <c r="AJ77" i="99"/>
  <c r="AG77" i="99"/>
  <c r="AH77" i="99" s="1"/>
  <c r="AI77" i="99" s="1"/>
  <c r="AJ76" i="99"/>
  <c r="AG76" i="99"/>
  <c r="AH76" i="99" s="1"/>
  <c r="AI76" i="99" s="1"/>
  <c r="AJ75" i="99"/>
  <c r="AG75" i="99"/>
  <c r="AH75" i="99" s="1"/>
  <c r="AI75" i="99" s="1"/>
  <c r="AJ86" i="103"/>
  <c r="AG86" i="103"/>
  <c r="AJ85" i="103"/>
  <c r="AG85" i="103"/>
  <c r="AJ84" i="103"/>
  <c r="AG84" i="103"/>
  <c r="AJ83" i="103"/>
  <c r="AG83" i="103"/>
  <c r="AJ82" i="103"/>
  <c r="AG82" i="103"/>
  <c r="AJ81" i="103"/>
  <c r="AG81" i="103"/>
  <c r="AJ80" i="103"/>
  <c r="AG80" i="103"/>
  <c r="AJ79" i="103"/>
  <c r="AG79" i="103"/>
  <c r="AJ78" i="103"/>
  <c r="AG78" i="103"/>
  <c r="AJ77" i="103"/>
  <c r="AG77" i="103"/>
  <c r="AH77" i="103" s="1"/>
  <c r="AI77" i="103" s="1"/>
  <c r="AJ76" i="103"/>
  <c r="AG76" i="103"/>
  <c r="AH76" i="103" s="1"/>
  <c r="AI76" i="103" s="1"/>
  <c r="AJ75" i="103"/>
  <c r="AG75" i="103"/>
  <c r="AJ86" i="105"/>
  <c r="AG86" i="105"/>
  <c r="AJ85" i="105"/>
  <c r="AG85" i="105"/>
  <c r="AJ84" i="105"/>
  <c r="AG84" i="105"/>
  <c r="AJ83" i="105"/>
  <c r="AG83" i="105"/>
  <c r="AJ82" i="105"/>
  <c r="AG82" i="105"/>
  <c r="AJ81" i="105"/>
  <c r="AG81" i="105"/>
  <c r="AJ80" i="105"/>
  <c r="AG80" i="105"/>
  <c r="AJ79" i="105"/>
  <c r="AG79" i="105"/>
  <c r="AJ78" i="105"/>
  <c r="AG78" i="105"/>
  <c r="AJ77" i="105"/>
  <c r="AG77" i="105"/>
  <c r="AJ76" i="105"/>
  <c r="AG76" i="105"/>
  <c r="AH76" i="105" s="1"/>
  <c r="AI76" i="105" s="1"/>
  <c r="AJ75" i="105"/>
  <c r="AG75" i="105"/>
  <c r="AH75" i="105" s="1"/>
  <c r="AI75" i="105" s="1"/>
  <c r="AJ86" i="106"/>
  <c r="AG86" i="106"/>
  <c r="AJ85" i="106"/>
  <c r="AG85" i="106"/>
  <c r="AJ84" i="106"/>
  <c r="AG84" i="106"/>
  <c r="AJ83" i="106"/>
  <c r="AG83" i="106"/>
  <c r="AJ82" i="106"/>
  <c r="AG82" i="106"/>
  <c r="AJ81" i="106"/>
  <c r="AG81" i="106"/>
  <c r="AJ80" i="106"/>
  <c r="AG80" i="106"/>
  <c r="AJ79" i="106"/>
  <c r="AG79" i="106"/>
  <c r="AH79" i="106" s="1"/>
  <c r="AI79" i="106" s="1"/>
  <c r="AJ78" i="106"/>
  <c r="AG78" i="106"/>
  <c r="AH78" i="106" s="1"/>
  <c r="AI78" i="106" s="1"/>
  <c r="AJ77" i="106"/>
  <c r="AG77" i="106"/>
  <c r="AH77" i="106" s="1"/>
  <c r="AI77" i="106" s="1"/>
  <c r="AJ76" i="106"/>
  <c r="AG76" i="106"/>
  <c r="AH76" i="106" s="1"/>
  <c r="AI76" i="106" s="1"/>
  <c r="AJ75" i="106"/>
  <c r="AG75" i="106"/>
  <c r="AH75" i="106" s="1"/>
  <c r="AI75" i="106" s="1"/>
  <c r="AJ86" i="107"/>
  <c r="AG86" i="107"/>
  <c r="AJ85" i="107"/>
  <c r="AG85" i="107"/>
  <c r="AJ84" i="107"/>
  <c r="AG84" i="107"/>
  <c r="AJ83" i="107"/>
  <c r="AG83" i="107"/>
  <c r="AJ82" i="107"/>
  <c r="AG82" i="107"/>
  <c r="AJ81" i="107"/>
  <c r="AG81" i="107"/>
  <c r="AJ80" i="107"/>
  <c r="AG80" i="107"/>
  <c r="AJ79" i="107"/>
  <c r="AG79" i="107"/>
  <c r="AJ78" i="107"/>
  <c r="AG78" i="107"/>
  <c r="AJ77" i="107"/>
  <c r="AG77" i="107"/>
  <c r="AH77" i="107" s="1"/>
  <c r="AI77" i="107" s="1"/>
  <c r="AJ76" i="107"/>
  <c r="AG76" i="107"/>
  <c r="AH76" i="107" s="1"/>
  <c r="AI76" i="107" s="1"/>
  <c r="AJ75" i="107"/>
  <c r="AG75" i="107"/>
  <c r="AH75" i="107" s="1"/>
  <c r="AI75" i="107" s="1"/>
  <c r="AJ86" i="108"/>
  <c r="AG86" i="108"/>
  <c r="AJ85" i="108"/>
  <c r="AG85" i="108"/>
  <c r="AJ84" i="108"/>
  <c r="AG84" i="108"/>
  <c r="AJ83" i="108"/>
  <c r="AG83" i="108"/>
  <c r="AJ82" i="108"/>
  <c r="AG82" i="108"/>
  <c r="AJ81" i="108"/>
  <c r="AG81" i="108"/>
  <c r="AJ80" i="108"/>
  <c r="AG80" i="108"/>
  <c r="AJ79" i="108"/>
  <c r="AG79" i="108"/>
  <c r="AJ78" i="108"/>
  <c r="AG78" i="108"/>
  <c r="AJ77" i="108"/>
  <c r="AG77" i="108"/>
  <c r="AJ76" i="108"/>
  <c r="AG76" i="108"/>
  <c r="AH76" i="108" s="1"/>
  <c r="AI76" i="108" s="1"/>
  <c r="AJ75" i="108"/>
  <c r="AG75" i="108"/>
  <c r="AJ86" i="109"/>
  <c r="AG86" i="109"/>
  <c r="AJ85" i="109"/>
  <c r="AG85" i="109"/>
  <c r="AJ84" i="109"/>
  <c r="AG84" i="109"/>
  <c r="AJ83" i="109"/>
  <c r="AG83" i="109"/>
  <c r="AJ82" i="109"/>
  <c r="AG82" i="109"/>
  <c r="AJ81" i="109"/>
  <c r="AG81" i="109"/>
  <c r="AJ80" i="109"/>
  <c r="AG80" i="109"/>
  <c r="AJ79" i="109"/>
  <c r="AG79" i="109"/>
  <c r="AH79" i="109" s="1"/>
  <c r="AI79" i="109" s="1"/>
  <c r="AJ78" i="109"/>
  <c r="AG78" i="109"/>
  <c r="AH78" i="109" s="1"/>
  <c r="AI78" i="109" s="1"/>
  <c r="AJ77" i="109"/>
  <c r="AG77" i="109"/>
  <c r="AH77" i="109" s="1"/>
  <c r="AI77" i="109" s="1"/>
  <c r="AJ76" i="109"/>
  <c r="AG76" i="109"/>
  <c r="AH76" i="109" s="1"/>
  <c r="AI76" i="109" s="1"/>
  <c r="AJ75" i="109"/>
  <c r="AG75" i="109"/>
  <c r="AH75" i="109" s="1"/>
  <c r="AI75" i="109" s="1"/>
  <c r="AJ86" i="110"/>
  <c r="AH86" i="110"/>
  <c r="AI86" i="110" s="1"/>
  <c r="AJ85" i="110"/>
  <c r="AH85" i="110"/>
  <c r="AI85" i="110" s="1"/>
  <c r="AJ84" i="110"/>
  <c r="AH84" i="110"/>
  <c r="AI84" i="110" s="1"/>
  <c r="AJ83" i="110"/>
  <c r="AH83" i="110"/>
  <c r="AI83" i="110" s="1"/>
  <c r="AJ82" i="110"/>
  <c r="AH82" i="110"/>
  <c r="AI82" i="110" s="1"/>
  <c r="AJ81" i="110"/>
  <c r="AH81" i="110"/>
  <c r="AI81" i="110" s="1"/>
  <c r="AJ80" i="110"/>
  <c r="AH80" i="110"/>
  <c r="AI80" i="110" s="1"/>
  <c r="AJ79" i="110"/>
  <c r="AH79" i="110"/>
  <c r="AI79" i="110" s="1"/>
  <c r="AJ78" i="110"/>
  <c r="AH78" i="110"/>
  <c r="AI78" i="110" s="1"/>
  <c r="AJ77" i="110"/>
  <c r="AH77" i="110"/>
  <c r="AI77" i="110" s="1"/>
  <c r="AJ76" i="110"/>
  <c r="AH76" i="110"/>
  <c r="AI76" i="110" s="1"/>
  <c r="AJ75" i="110"/>
  <c r="AH75" i="110"/>
  <c r="AI75" i="110" s="1"/>
  <c r="AJ86" i="111"/>
  <c r="AH86" i="111"/>
  <c r="AI86" i="111" s="1"/>
  <c r="AJ85" i="111"/>
  <c r="AH85" i="111"/>
  <c r="AI85" i="111" s="1"/>
  <c r="AJ84" i="111"/>
  <c r="AH84" i="111"/>
  <c r="AI84" i="111" s="1"/>
  <c r="AJ83" i="111"/>
  <c r="AH83" i="111"/>
  <c r="AI83" i="111" s="1"/>
  <c r="AJ82" i="111"/>
  <c r="AH82" i="111"/>
  <c r="AI82" i="111" s="1"/>
  <c r="AJ81" i="111"/>
  <c r="AH81" i="111"/>
  <c r="AI81" i="111" s="1"/>
  <c r="AJ80" i="111"/>
  <c r="AH80" i="111"/>
  <c r="AI80" i="111" s="1"/>
  <c r="AJ79" i="111"/>
  <c r="AH79" i="111"/>
  <c r="AI79" i="111" s="1"/>
  <c r="AJ78" i="111"/>
  <c r="AH78" i="111"/>
  <c r="AI78" i="111" s="1"/>
  <c r="AJ77" i="111"/>
  <c r="AH77" i="111"/>
  <c r="AI77" i="111" s="1"/>
  <c r="AJ76" i="111"/>
  <c r="AH76" i="111"/>
  <c r="AI76" i="111" s="1"/>
  <c r="AJ75" i="111"/>
  <c r="AH75" i="111"/>
  <c r="AI75" i="111" s="1"/>
  <c r="AJ86" i="113"/>
  <c r="AH86" i="113"/>
  <c r="AI86" i="113" s="1"/>
  <c r="AJ85" i="113"/>
  <c r="AH85" i="113"/>
  <c r="AI85" i="113" s="1"/>
  <c r="AJ84" i="113"/>
  <c r="AH84" i="113"/>
  <c r="AI84" i="113" s="1"/>
  <c r="AJ83" i="113"/>
  <c r="AH83" i="113"/>
  <c r="AI83" i="113" s="1"/>
  <c r="AJ82" i="113"/>
  <c r="AH82" i="113"/>
  <c r="AI82" i="113" s="1"/>
  <c r="AJ81" i="113"/>
  <c r="AH81" i="113"/>
  <c r="AI81" i="113" s="1"/>
  <c r="AJ80" i="113"/>
  <c r="AH80" i="113"/>
  <c r="AI80" i="113" s="1"/>
  <c r="AJ79" i="113"/>
  <c r="AH79" i="113"/>
  <c r="AI79" i="113" s="1"/>
  <c r="AJ78" i="113"/>
  <c r="AH78" i="113"/>
  <c r="AI78" i="113" s="1"/>
  <c r="AJ77" i="113"/>
  <c r="AH77" i="113"/>
  <c r="AI77" i="113" s="1"/>
  <c r="AJ76" i="113"/>
  <c r="AH76" i="113"/>
  <c r="AI76" i="113" s="1"/>
  <c r="AJ75" i="113"/>
  <c r="AH75" i="113"/>
  <c r="AI75" i="113" s="1"/>
  <c r="AJ86" i="112"/>
  <c r="AJ85" i="112"/>
  <c r="AJ84" i="112"/>
  <c r="AJ83" i="112"/>
  <c r="AJ82" i="112"/>
  <c r="AJ81" i="112"/>
  <c r="AJ80" i="112"/>
  <c r="AH80" i="112"/>
  <c r="AI80" i="112" s="1"/>
  <c r="AJ79" i="112"/>
  <c r="AH79" i="112"/>
  <c r="AI79" i="112" s="1"/>
  <c r="AJ78" i="112"/>
  <c r="AJ77" i="112"/>
  <c r="AH77" i="112"/>
  <c r="AI77" i="112" s="1"/>
  <c r="AJ76" i="112"/>
  <c r="AH76" i="112"/>
  <c r="AI76" i="112" s="1"/>
  <c r="AJ75" i="112"/>
  <c r="AH75" i="112"/>
  <c r="AI75" i="112" s="1"/>
  <c r="AJ86" i="114"/>
  <c r="AG86" i="114"/>
  <c r="AJ85" i="114"/>
  <c r="AG85" i="114"/>
  <c r="AJ84" i="114"/>
  <c r="AG84" i="114"/>
  <c r="AJ83" i="114"/>
  <c r="AG83" i="114"/>
  <c r="AJ82" i="114"/>
  <c r="AG82" i="114"/>
  <c r="AJ81" i="114"/>
  <c r="AG81" i="114"/>
  <c r="AJ80" i="114"/>
  <c r="AG80" i="114"/>
  <c r="AJ79" i="114"/>
  <c r="AG79" i="114"/>
  <c r="AJ78" i="114"/>
  <c r="AG78" i="114"/>
  <c r="AJ77" i="114"/>
  <c r="AG77" i="114"/>
  <c r="AJ76" i="114"/>
  <c r="AG76" i="114"/>
  <c r="AJ75" i="114"/>
  <c r="AG75" i="114"/>
  <c r="AH75" i="114" s="1"/>
  <c r="AI75" i="114" s="1"/>
  <c r="AJ86" i="115"/>
  <c r="AG86" i="115"/>
  <c r="AJ85" i="115"/>
  <c r="AG85" i="115"/>
  <c r="AJ84" i="115"/>
  <c r="AG84" i="115"/>
  <c r="AJ83" i="115"/>
  <c r="AG83" i="115"/>
  <c r="AJ82" i="115"/>
  <c r="AG82" i="115"/>
  <c r="AJ81" i="115"/>
  <c r="AG81" i="115"/>
  <c r="AJ80" i="115"/>
  <c r="AG80" i="115"/>
  <c r="AJ79" i="115"/>
  <c r="AG79" i="115"/>
  <c r="AH79" i="115" s="1"/>
  <c r="AI79" i="115" s="1"/>
  <c r="AJ78" i="115"/>
  <c r="AG78" i="115"/>
  <c r="AH78" i="115" s="1"/>
  <c r="AI78" i="115" s="1"/>
  <c r="AJ77" i="115"/>
  <c r="AG77" i="115"/>
  <c r="AH77" i="115" s="1"/>
  <c r="AI77" i="115" s="1"/>
  <c r="AJ76" i="115"/>
  <c r="AG76" i="115"/>
  <c r="AH76" i="115" s="1"/>
  <c r="AI76" i="115" s="1"/>
  <c r="AJ75" i="115"/>
  <c r="AG75" i="115"/>
  <c r="AH75" i="115" s="1"/>
  <c r="AI75" i="115" s="1"/>
  <c r="AJ86" i="116"/>
  <c r="AG86" i="116"/>
  <c r="AJ85" i="116"/>
  <c r="AG85" i="116"/>
  <c r="AJ84" i="116"/>
  <c r="AG84" i="116"/>
  <c r="AJ83" i="116"/>
  <c r="AG83" i="116"/>
  <c r="AJ82" i="116"/>
  <c r="AG82" i="116"/>
  <c r="AJ81" i="116"/>
  <c r="AG81" i="116"/>
  <c r="AJ80" i="116"/>
  <c r="AG80" i="116"/>
  <c r="AJ79" i="116"/>
  <c r="AG79" i="116"/>
  <c r="AJ78" i="116"/>
  <c r="AG78" i="116"/>
  <c r="AJ77" i="116"/>
  <c r="AG77" i="116"/>
  <c r="AJ76" i="116"/>
  <c r="AG76" i="116"/>
  <c r="AH76" i="116" s="1"/>
  <c r="AI76" i="116" s="1"/>
  <c r="AJ75" i="116"/>
  <c r="AG75" i="116"/>
  <c r="AH75" i="116" s="1"/>
  <c r="AI75" i="116" s="1"/>
  <c r="AJ86" i="117"/>
  <c r="AG86" i="117"/>
  <c r="AJ85" i="117"/>
  <c r="AG85" i="117"/>
  <c r="AJ84" i="117"/>
  <c r="AG84" i="117"/>
  <c r="AJ83" i="117"/>
  <c r="AG83" i="117"/>
  <c r="AJ82" i="117"/>
  <c r="AG82" i="117"/>
  <c r="AJ81" i="117"/>
  <c r="AG81" i="117"/>
  <c r="AJ80" i="117"/>
  <c r="AG80" i="117"/>
  <c r="AJ79" i="117"/>
  <c r="AG79" i="117"/>
  <c r="AJ78" i="117"/>
  <c r="AG78" i="117"/>
  <c r="AJ77" i="117"/>
  <c r="AG77" i="117"/>
  <c r="AJ76" i="117"/>
  <c r="AG76" i="117"/>
  <c r="AJ75" i="117"/>
  <c r="AG75" i="117"/>
  <c r="AH75" i="117" s="1"/>
  <c r="AI75" i="117" s="1"/>
  <c r="AJ86" i="118"/>
  <c r="AG86" i="118"/>
  <c r="AJ85" i="118"/>
  <c r="AG85" i="118"/>
  <c r="AJ84" i="118"/>
  <c r="AG84" i="118"/>
  <c r="AJ83" i="118"/>
  <c r="AG83" i="118"/>
  <c r="AJ82" i="118"/>
  <c r="AG82" i="118"/>
  <c r="AJ81" i="118"/>
  <c r="AG81" i="118"/>
  <c r="AJ80" i="118"/>
  <c r="AG80" i="118"/>
  <c r="AJ79" i="118"/>
  <c r="AG79" i="118"/>
  <c r="AH79" i="118" s="1"/>
  <c r="AI79" i="118" s="1"/>
  <c r="AJ78" i="118"/>
  <c r="AG78" i="118"/>
  <c r="AH78" i="118" s="1"/>
  <c r="AI78" i="118" s="1"/>
  <c r="AJ77" i="118"/>
  <c r="AG77" i="118"/>
  <c r="AH77" i="118" s="1"/>
  <c r="AI77" i="118" s="1"/>
  <c r="AJ76" i="118"/>
  <c r="AG76" i="118"/>
  <c r="AH76" i="118" s="1"/>
  <c r="AI76" i="118" s="1"/>
  <c r="AJ75" i="118"/>
  <c r="AG75" i="118"/>
  <c r="AH75" i="118" s="1"/>
  <c r="AI75" i="118" s="1"/>
  <c r="AJ86" i="119"/>
  <c r="AG86" i="119"/>
  <c r="AJ85" i="119"/>
  <c r="AG85" i="119"/>
  <c r="AJ84" i="119"/>
  <c r="AG84" i="119"/>
  <c r="AJ83" i="119"/>
  <c r="AG83" i="119"/>
  <c r="AJ82" i="119"/>
  <c r="AG82" i="119"/>
  <c r="AJ81" i="119"/>
  <c r="AG81" i="119"/>
  <c r="AJ80" i="119"/>
  <c r="AG80" i="119"/>
  <c r="AJ79" i="119"/>
  <c r="AG79" i="119"/>
  <c r="AJ78" i="119"/>
  <c r="AG78" i="119"/>
  <c r="AJ77" i="119"/>
  <c r="AG77" i="119"/>
  <c r="AJ76" i="119"/>
  <c r="AG76" i="119"/>
  <c r="AJ75" i="119"/>
  <c r="AG75" i="119"/>
  <c r="AJ86" i="120"/>
  <c r="AG86" i="120"/>
  <c r="AJ85" i="120"/>
  <c r="AG85" i="120"/>
  <c r="AJ84" i="120"/>
  <c r="AG84" i="120"/>
  <c r="AJ83" i="120"/>
  <c r="AG83" i="120"/>
  <c r="AJ82" i="120"/>
  <c r="AG82" i="120"/>
  <c r="AJ81" i="120"/>
  <c r="AG81" i="120"/>
  <c r="AJ80" i="120"/>
  <c r="AG80" i="120"/>
  <c r="AJ79" i="120"/>
  <c r="AG79" i="120"/>
  <c r="AJ78" i="120"/>
  <c r="AG78" i="120"/>
  <c r="AJ77" i="120"/>
  <c r="AG77" i="120"/>
  <c r="AJ76" i="120"/>
  <c r="AG76" i="120"/>
  <c r="AJ75" i="120"/>
  <c r="AG75" i="120"/>
  <c r="AH75" i="120" s="1"/>
  <c r="AI75" i="120" s="1"/>
  <c r="AJ86" i="121"/>
  <c r="AG86" i="121"/>
  <c r="AJ85" i="121"/>
  <c r="AG85" i="121"/>
  <c r="AJ84" i="121"/>
  <c r="AG84" i="121"/>
  <c r="AJ83" i="121"/>
  <c r="AG83" i="121"/>
  <c r="AJ82" i="121"/>
  <c r="AG82" i="121"/>
  <c r="AJ81" i="121"/>
  <c r="AG81" i="121"/>
  <c r="AJ80" i="121"/>
  <c r="AG80" i="121"/>
  <c r="AJ79" i="121"/>
  <c r="AG79" i="121"/>
  <c r="AJ78" i="121"/>
  <c r="AG78" i="121"/>
  <c r="AJ77" i="121"/>
  <c r="AG77" i="121"/>
  <c r="AJ76" i="121"/>
  <c r="AG76" i="121"/>
  <c r="AH76" i="121" s="1"/>
  <c r="AI76" i="121" s="1"/>
  <c r="AJ75" i="121"/>
  <c r="AG75" i="121"/>
  <c r="AJ86" i="122"/>
  <c r="AG86" i="122"/>
  <c r="AJ85" i="122"/>
  <c r="AG85" i="122"/>
  <c r="AJ84" i="122"/>
  <c r="AG84" i="122"/>
  <c r="AJ83" i="122"/>
  <c r="AG83" i="122"/>
  <c r="AJ82" i="122"/>
  <c r="AG82" i="122"/>
  <c r="AJ81" i="122"/>
  <c r="AG81" i="122"/>
  <c r="AJ80" i="122"/>
  <c r="AG80" i="122"/>
  <c r="AJ79" i="122"/>
  <c r="AG79" i="122"/>
  <c r="AJ78" i="122"/>
  <c r="AG78" i="122"/>
  <c r="AJ77" i="122"/>
  <c r="AG77" i="122"/>
  <c r="AH77" i="122" s="1"/>
  <c r="AI77" i="122" s="1"/>
  <c r="AJ76" i="122"/>
  <c r="AG76" i="122"/>
  <c r="AJ75" i="122"/>
  <c r="AG75" i="122"/>
  <c r="AH75" i="122" s="1"/>
  <c r="AI75" i="122" s="1"/>
  <c r="AJ86" i="123"/>
  <c r="AG86" i="123"/>
  <c r="AJ85" i="123"/>
  <c r="AG85" i="123"/>
  <c r="AJ84" i="123"/>
  <c r="AG84" i="123"/>
  <c r="AJ83" i="123"/>
  <c r="AG83" i="123"/>
  <c r="AJ82" i="123"/>
  <c r="AG82" i="123"/>
  <c r="AJ81" i="123"/>
  <c r="AG81" i="123"/>
  <c r="AJ80" i="123"/>
  <c r="AG80" i="123"/>
  <c r="AJ79" i="123"/>
  <c r="AG79" i="123"/>
  <c r="AJ78" i="123"/>
  <c r="AG78" i="123"/>
  <c r="AJ77" i="123"/>
  <c r="AG77" i="123"/>
  <c r="AJ76" i="123"/>
  <c r="AG76" i="123"/>
  <c r="AJ75" i="123"/>
  <c r="AG75" i="123"/>
  <c r="AJ86" i="124"/>
  <c r="AG86" i="124"/>
  <c r="AJ85" i="124"/>
  <c r="AG85" i="124"/>
  <c r="AJ84" i="124"/>
  <c r="AG84" i="124"/>
  <c r="AJ83" i="124"/>
  <c r="AG83" i="124"/>
  <c r="AJ82" i="124"/>
  <c r="AG82" i="124"/>
  <c r="AJ81" i="124"/>
  <c r="AG81" i="124"/>
  <c r="AJ80" i="124"/>
  <c r="AG80" i="124"/>
  <c r="AJ79" i="124"/>
  <c r="AG79" i="124"/>
  <c r="AJ78" i="124"/>
  <c r="AG78" i="124"/>
  <c r="AJ77" i="124"/>
  <c r="AG77" i="124"/>
  <c r="AJ76" i="124"/>
  <c r="AG76" i="124"/>
  <c r="AJ75" i="124"/>
  <c r="AG75" i="124"/>
  <c r="AH75" i="124" s="1"/>
  <c r="AI75" i="124" s="1"/>
  <c r="AJ86" i="125"/>
  <c r="AG86" i="125"/>
  <c r="AJ85" i="125"/>
  <c r="AG85" i="125"/>
  <c r="AJ84" i="125"/>
  <c r="AG84" i="125"/>
  <c r="AJ83" i="125"/>
  <c r="AG83" i="125"/>
  <c r="AJ82" i="125"/>
  <c r="AG82" i="125"/>
  <c r="AJ81" i="125"/>
  <c r="AG81" i="125"/>
  <c r="AJ80" i="125"/>
  <c r="AG80" i="125"/>
  <c r="AJ79" i="125"/>
  <c r="AG79" i="125"/>
  <c r="AJ78" i="125"/>
  <c r="AG78" i="125"/>
  <c r="AJ77" i="125"/>
  <c r="AG77" i="125"/>
  <c r="AH77" i="125" s="1"/>
  <c r="AI77" i="125" s="1"/>
  <c r="AJ76" i="125"/>
  <c r="AG76" i="125"/>
  <c r="AJ75" i="125"/>
  <c r="AG75" i="125"/>
  <c r="AH75" i="125" s="1"/>
  <c r="AI75" i="125" s="1"/>
  <c r="AJ86" i="126"/>
  <c r="AG86" i="126"/>
  <c r="AJ85" i="126"/>
  <c r="AG85" i="126"/>
  <c r="AJ84" i="126"/>
  <c r="AG84" i="126"/>
  <c r="AJ83" i="126"/>
  <c r="AG83" i="126"/>
  <c r="AJ82" i="126"/>
  <c r="AG82" i="126"/>
  <c r="AJ81" i="126"/>
  <c r="AG81" i="126"/>
  <c r="AJ80" i="126"/>
  <c r="AG80" i="126"/>
  <c r="AJ79" i="126"/>
  <c r="AG79" i="126"/>
  <c r="AJ78" i="126"/>
  <c r="AG78" i="126"/>
  <c r="AJ77" i="126"/>
  <c r="AG77" i="126"/>
  <c r="AJ76" i="126"/>
  <c r="AG76" i="126"/>
  <c r="AH76" i="126" s="1"/>
  <c r="AI76" i="126" s="1"/>
  <c r="AJ75" i="126"/>
  <c r="AG75" i="126"/>
  <c r="AH75" i="126" s="1"/>
  <c r="AI75" i="126" s="1"/>
  <c r="AJ86" i="128"/>
  <c r="AG86" i="128"/>
  <c r="AJ85" i="128"/>
  <c r="AG85" i="128"/>
  <c r="AJ84" i="128"/>
  <c r="AG84" i="128"/>
  <c r="AJ83" i="128"/>
  <c r="AG83" i="128"/>
  <c r="AJ82" i="128"/>
  <c r="AG82" i="128"/>
  <c r="AJ81" i="128"/>
  <c r="AG81" i="128"/>
  <c r="AJ80" i="128"/>
  <c r="AG80" i="128"/>
  <c r="AJ79" i="128"/>
  <c r="AG79" i="128"/>
  <c r="AH79" i="128" s="1"/>
  <c r="AI79" i="128" s="1"/>
  <c r="AJ78" i="128"/>
  <c r="AG78" i="128"/>
  <c r="AH78" i="128" s="1"/>
  <c r="AI78" i="128" s="1"/>
  <c r="AJ77" i="128"/>
  <c r="AG77" i="128"/>
  <c r="AH77" i="128" s="1"/>
  <c r="AI77" i="128" s="1"/>
  <c r="AJ76" i="128"/>
  <c r="AG76" i="128"/>
  <c r="AH76" i="128" s="1"/>
  <c r="AI76" i="128" s="1"/>
  <c r="AJ75" i="128"/>
  <c r="AG75" i="128"/>
  <c r="AH75" i="128" s="1"/>
  <c r="AI75" i="128" s="1"/>
  <c r="AJ86" i="129"/>
  <c r="AG86" i="129"/>
  <c r="AJ85" i="129"/>
  <c r="AG85" i="129"/>
  <c r="AJ84" i="129"/>
  <c r="AG84" i="129"/>
  <c r="AJ83" i="129"/>
  <c r="AG83" i="129"/>
  <c r="AJ82" i="129"/>
  <c r="AG82" i="129"/>
  <c r="AJ81" i="129"/>
  <c r="AG81" i="129"/>
  <c r="AJ80" i="129"/>
  <c r="AG80" i="129"/>
  <c r="AJ79" i="129"/>
  <c r="AG79" i="129"/>
  <c r="AJ78" i="129"/>
  <c r="AG78" i="129"/>
  <c r="AJ77" i="129"/>
  <c r="AG77" i="129"/>
  <c r="AJ76" i="129"/>
  <c r="AG76" i="129"/>
  <c r="AJ75" i="129"/>
  <c r="AG75" i="129"/>
  <c r="AH75" i="129" s="1"/>
  <c r="AI75" i="129" s="1"/>
  <c r="AJ86" i="135"/>
  <c r="AG86" i="135"/>
  <c r="AJ85" i="135"/>
  <c r="AG85" i="135"/>
  <c r="AJ84" i="135"/>
  <c r="AG84" i="135"/>
  <c r="AJ83" i="135"/>
  <c r="AG83" i="135"/>
  <c r="AJ82" i="135"/>
  <c r="AG82" i="135"/>
  <c r="AJ81" i="135"/>
  <c r="AG81" i="135"/>
  <c r="AJ80" i="135"/>
  <c r="AG80" i="135"/>
  <c r="AJ79" i="135"/>
  <c r="AG79" i="135"/>
  <c r="AJ78" i="135"/>
  <c r="AG78" i="135"/>
  <c r="AJ77" i="135"/>
  <c r="AG77" i="135"/>
  <c r="AJ76" i="135"/>
  <c r="AG76" i="135"/>
  <c r="AH76" i="135" s="1"/>
  <c r="AI76" i="135" s="1"/>
  <c r="AJ75" i="135"/>
  <c r="AG75" i="135"/>
  <c r="AJ86" i="136"/>
  <c r="AG86" i="136"/>
  <c r="AJ85" i="136"/>
  <c r="AG85" i="136"/>
  <c r="AJ84" i="136"/>
  <c r="AG84" i="136"/>
  <c r="AJ83" i="136"/>
  <c r="AG83" i="136"/>
  <c r="AJ82" i="136"/>
  <c r="AG82" i="136"/>
  <c r="AJ81" i="136"/>
  <c r="AG81" i="136"/>
  <c r="AJ80" i="136"/>
  <c r="AG80" i="136"/>
  <c r="AJ79" i="136"/>
  <c r="AG79" i="136"/>
  <c r="AH79" i="136" s="1"/>
  <c r="AI79" i="136" s="1"/>
  <c r="AJ78" i="136"/>
  <c r="AG78" i="136"/>
  <c r="AH78" i="136" s="1"/>
  <c r="AI78" i="136" s="1"/>
  <c r="AJ77" i="136"/>
  <c r="AG77" i="136"/>
  <c r="AH77" i="136" s="1"/>
  <c r="AI77" i="136" s="1"/>
  <c r="AJ76" i="136"/>
  <c r="AG76" i="136"/>
  <c r="AH76" i="136" s="1"/>
  <c r="AI76" i="136" s="1"/>
  <c r="AJ75" i="136"/>
  <c r="AG75" i="136"/>
  <c r="AH75" i="136" s="1"/>
  <c r="AI75" i="136" s="1"/>
  <c r="AJ86" i="140"/>
  <c r="AG86" i="140"/>
  <c r="AJ85" i="140"/>
  <c r="AG85" i="140"/>
  <c r="AJ84" i="140"/>
  <c r="AG84" i="140"/>
  <c r="AJ83" i="140"/>
  <c r="AG83" i="140"/>
  <c r="AJ82" i="140"/>
  <c r="AG82" i="140"/>
  <c r="AJ81" i="140"/>
  <c r="AG81" i="140"/>
  <c r="AJ80" i="140"/>
  <c r="AG80" i="140"/>
  <c r="AJ79" i="140"/>
  <c r="AG79" i="140"/>
  <c r="AJ78" i="140"/>
  <c r="AG78" i="140"/>
  <c r="AJ77" i="140"/>
  <c r="AG77" i="140"/>
  <c r="AH77" i="140" s="1"/>
  <c r="AI77" i="140" s="1"/>
  <c r="AJ76" i="140"/>
  <c r="AG76" i="140"/>
  <c r="AH76" i="140" s="1"/>
  <c r="AI76" i="140" s="1"/>
  <c r="AJ75" i="140"/>
  <c r="AG75" i="140"/>
  <c r="AH75" i="140" s="1"/>
  <c r="AI75" i="140" s="1"/>
  <c r="AJ86" i="127"/>
  <c r="AG86" i="127"/>
  <c r="AJ85" i="127"/>
  <c r="AG85" i="127"/>
  <c r="AJ84" i="127"/>
  <c r="AG84" i="127"/>
  <c r="AJ83" i="127"/>
  <c r="AG83" i="127"/>
  <c r="AJ82" i="127"/>
  <c r="AG82" i="127"/>
  <c r="AJ81" i="127"/>
  <c r="AG81" i="127"/>
  <c r="AJ80" i="127"/>
  <c r="AG80" i="127"/>
  <c r="AJ79" i="127"/>
  <c r="AG79" i="127"/>
  <c r="AJ78" i="127"/>
  <c r="AG78" i="127"/>
  <c r="AJ77" i="127"/>
  <c r="AG77" i="127"/>
  <c r="AJ76" i="127"/>
  <c r="AG76" i="127"/>
  <c r="AJ75" i="127"/>
  <c r="AG75" i="127"/>
  <c r="AH75" i="127" s="1"/>
  <c r="AI75" i="127" s="1"/>
  <c r="AJ86" i="130"/>
  <c r="AG86" i="130"/>
  <c r="AJ85" i="130"/>
  <c r="AG85" i="130"/>
  <c r="AJ84" i="130"/>
  <c r="AG84" i="130"/>
  <c r="AJ83" i="130"/>
  <c r="AG83" i="130"/>
  <c r="AJ82" i="130"/>
  <c r="AG82" i="130"/>
  <c r="AJ81" i="130"/>
  <c r="AG81" i="130"/>
  <c r="AJ80" i="130"/>
  <c r="AG80" i="130"/>
  <c r="AJ79" i="130"/>
  <c r="AG79" i="130"/>
  <c r="AJ78" i="130"/>
  <c r="AG78" i="130"/>
  <c r="AJ77" i="130"/>
  <c r="AG77" i="130"/>
  <c r="AJ76" i="130"/>
  <c r="AG76" i="130"/>
  <c r="AJ75" i="130"/>
  <c r="AG75" i="130"/>
  <c r="AH75" i="130" s="1"/>
  <c r="AI75" i="130" s="1"/>
  <c r="AJ86" i="131"/>
  <c r="AG86" i="131"/>
  <c r="AJ85" i="131"/>
  <c r="AG85" i="131"/>
  <c r="AJ84" i="131"/>
  <c r="AG84" i="131"/>
  <c r="AJ83" i="131"/>
  <c r="AG83" i="131"/>
  <c r="AJ82" i="131"/>
  <c r="AG82" i="131"/>
  <c r="AJ81" i="131"/>
  <c r="AG81" i="131"/>
  <c r="AJ80" i="131"/>
  <c r="AG80" i="131"/>
  <c r="AJ79" i="131"/>
  <c r="AG79" i="131"/>
  <c r="AJ78" i="131"/>
  <c r="AG78" i="131"/>
  <c r="AJ77" i="131"/>
  <c r="AG77" i="131"/>
  <c r="AJ76" i="131"/>
  <c r="AG76" i="131"/>
  <c r="AH76" i="131" s="1"/>
  <c r="AI76" i="131" s="1"/>
  <c r="AJ75" i="131"/>
  <c r="AG75" i="131"/>
  <c r="AH75" i="131" s="1"/>
  <c r="AI75" i="131" s="1"/>
  <c r="AJ86" i="132"/>
  <c r="AG86" i="132"/>
  <c r="AJ85" i="132"/>
  <c r="AG85" i="132"/>
  <c r="AJ84" i="132"/>
  <c r="AG84" i="132"/>
  <c r="AJ83" i="132"/>
  <c r="AG83" i="132"/>
  <c r="AJ82" i="132"/>
  <c r="AG82" i="132"/>
  <c r="AJ81" i="132"/>
  <c r="AG81" i="132"/>
  <c r="AJ80" i="132"/>
  <c r="AG80" i="132"/>
  <c r="AJ79" i="132"/>
  <c r="AG79" i="132"/>
  <c r="AJ78" i="132"/>
  <c r="AG78" i="132"/>
  <c r="AJ77" i="132"/>
  <c r="AG77" i="132"/>
  <c r="AJ76" i="132"/>
  <c r="AG76" i="132"/>
  <c r="AH76" i="132" s="1"/>
  <c r="AI76" i="132" s="1"/>
  <c r="AJ75" i="132"/>
  <c r="AG75" i="132"/>
  <c r="AH75" i="132" s="1"/>
  <c r="AI75" i="132" s="1"/>
  <c r="AJ86" i="133"/>
  <c r="AG86" i="133"/>
  <c r="AJ85" i="133"/>
  <c r="AG85" i="133"/>
  <c r="AJ84" i="133"/>
  <c r="AG84" i="133"/>
  <c r="AJ83" i="133"/>
  <c r="AG83" i="133"/>
  <c r="AJ82" i="133"/>
  <c r="AG82" i="133"/>
  <c r="AJ81" i="133"/>
  <c r="AG81" i="133"/>
  <c r="AJ80" i="133"/>
  <c r="AG80" i="133"/>
  <c r="AJ79" i="133"/>
  <c r="AG79" i="133"/>
  <c r="AJ78" i="133"/>
  <c r="AG78" i="133"/>
  <c r="AJ77" i="133"/>
  <c r="AG77" i="133"/>
  <c r="AH77" i="133" s="1"/>
  <c r="AI77" i="133" s="1"/>
  <c r="AJ76" i="133"/>
  <c r="AG76" i="133"/>
  <c r="AH76" i="133" s="1"/>
  <c r="AI76" i="133" s="1"/>
  <c r="AJ75" i="133"/>
  <c r="AG75" i="133"/>
  <c r="AH75" i="133" s="1"/>
  <c r="AI75" i="133" s="1"/>
  <c r="AJ86" i="134"/>
  <c r="AG86" i="134"/>
  <c r="AJ85" i="134"/>
  <c r="AG85" i="134"/>
  <c r="AJ84" i="134"/>
  <c r="AG84" i="134"/>
  <c r="AJ83" i="134"/>
  <c r="AG83" i="134"/>
  <c r="AJ82" i="134"/>
  <c r="AG82" i="134"/>
  <c r="AJ81" i="134"/>
  <c r="AG81" i="134"/>
  <c r="AJ80" i="134"/>
  <c r="AG80" i="134"/>
  <c r="AJ79" i="134"/>
  <c r="AG79" i="134"/>
  <c r="AJ78" i="134"/>
  <c r="AG78" i="134"/>
  <c r="AJ77" i="134"/>
  <c r="AG77" i="134"/>
  <c r="AJ76" i="134"/>
  <c r="AG76" i="134"/>
  <c r="AH76" i="134" s="1"/>
  <c r="AI76" i="134" s="1"/>
  <c r="AJ75" i="134"/>
  <c r="AG75" i="134"/>
  <c r="AH75" i="134" s="1"/>
  <c r="AI75" i="134" s="1"/>
  <c r="AJ86" i="137"/>
  <c r="AG86" i="137"/>
  <c r="AJ85" i="137"/>
  <c r="AG85" i="137"/>
  <c r="AJ84" i="137"/>
  <c r="AG84" i="137"/>
  <c r="AJ83" i="137"/>
  <c r="AG83" i="137"/>
  <c r="AJ82" i="137"/>
  <c r="AG82" i="137"/>
  <c r="AJ81" i="137"/>
  <c r="AG81" i="137"/>
  <c r="AJ80" i="137"/>
  <c r="AG80" i="137"/>
  <c r="AJ79" i="137"/>
  <c r="AG79" i="137"/>
  <c r="AJ78" i="137"/>
  <c r="AG78" i="137"/>
  <c r="AJ77" i="137"/>
  <c r="AG77" i="137"/>
  <c r="AH77" i="137" s="1"/>
  <c r="AI77" i="137" s="1"/>
  <c r="AJ76" i="137"/>
  <c r="AG76" i="137"/>
  <c r="AJ75" i="137"/>
  <c r="AG75" i="137"/>
  <c r="AH75" i="137" s="1"/>
  <c r="AI75" i="137" s="1"/>
  <c r="AJ86" i="138"/>
  <c r="AG86" i="138"/>
  <c r="AJ85" i="138"/>
  <c r="AG85" i="138"/>
  <c r="AJ84" i="138"/>
  <c r="AG84" i="138"/>
  <c r="AJ83" i="138"/>
  <c r="AG83" i="138"/>
  <c r="AJ82" i="138"/>
  <c r="AG82" i="138"/>
  <c r="AJ81" i="138"/>
  <c r="AG81" i="138"/>
  <c r="AJ80" i="138"/>
  <c r="AG80" i="138"/>
  <c r="AJ79" i="138"/>
  <c r="AG79" i="138"/>
  <c r="AJ78" i="138"/>
  <c r="AG78" i="138"/>
  <c r="AJ77" i="138"/>
  <c r="AG77" i="138"/>
  <c r="AH77" i="138" s="1"/>
  <c r="AI77" i="138" s="1"/>
  <c r="AJ76" i="138"/>
  <c r="AG76" i="138"/>
  <c r="AH76" i="138" s="1"/>
  <c r="AI76" i="138" s="1"/>
  <c r="AJ75" i="138"/>
  <c r="AG75" i="138"/>
  <c r="AJ86" i="139"/>
  <c r="AG86" i="139"/>
  <c r="AJ85" i="139"/>
  <c r="AG85" i="139"/>
  <c r="AJ84" i="139"/>
  <c r="AG84" i="139"/>
  <c r="AJ83" i="139"/>
  <c r="AG83" i="139"/>
  <c r="AJ82" i="139"/>
  <c r="AG82" i="139"/>
  <c r="AJ81" i="139"/>
  <c r="AG81" i="139"/>
  <c r="AJ80" i="139"/>
  <c r="AG80" i="139"/>
  <c r="AJ79" i="139"/>
  <c r="AG79" i="139"/>
  <c r="AJ78" i="139"/>
  <c r="AG78" i="139"/>
  <c r="AJ77" i="139"/>
  <c r="AG77" i="139"/>
  <c r="AJ76" i="139"/>
  <c r="AG76" i="139"/>
  <c r="AH76" i="139" s="1"/>
  <c r="AI76" i="139" s="1"/>
  <c r="AJ75" i="139"/>
  <c r="AG75" i="139"/>
  <c r="AH75" i="139" s="1"/>
  <c r="AI75" i="139" s="1"/>
  <c r="AJ86" i="141"/>
  <c r="AG86" i="141"/>
  <c r="AJ85" i="141"/>
  <c r="AG85" i="141"/>
  <c r="AJ84" i="141"/>
  <c r="AG84" i="141"/>
  <c r="AJ83" i="141"/>
  <c r="AG83" i="141"/>
  <c r="AJ82" i="141"/>
  <c r="AG82" i="141"/>
  <c r="AJ81" i="141"/>
  <c r="AG81" i="141"/>
  <c r="AJ80" i="141"/>
  <c r="AG80" i="141"/>
  <c r="AJ79" i="141"/>
  <c r="AG79" i="141"/>
  <c r="AJ78" i="141"/>
  <c r="AG78" i="141"/>
  <c r="AJ77" i="141"/>
  <c r="AG77" i="141"/>
  <c r="AH77" i="141" s="1"/>
  <c r="AI77" i="141" s="1"/>
  <c r="AJ76" i="141"/>
  <c r="AG76" i="141"/>
  <c r="AH76" i="141" s="1"/>
  <c r="AI76" i="141" s="1"/>
  <c r="AJ75" i="141"/>
  <c r="AG75" i="141"/>
  <c r="AH75" i="141" s="1"/>
  <c r="AI75" i="141" s="1"/>
  <c r="AJ86" i="142"/>
  <c r="AG86" i="142"/>
  <c r="AJ85" i="142"/>
  <c r="AG85" i="142"/>
  <c r="AJ84" i="142"/>
  <c r="AG84" i="142"/>
  <c r="AJ83" i="142"/>
  <c r="AG83" i="142"/>
  <c r="AJ82" i="142"/>
  <c r="AG82" i="142"/>
  <c r="AJ81" i="142"/>
  <c r="AG81" i="142"/>
  <c r="AJ80" i="142"/>
  <c r="AG80" i="142"/>
  <c r="AJ79" i="142"/>
  <c r="AG79" i="142"/>
  <c r="AJ78" i="142"/>
  <c r="AG78" i="142"/>
  <c r="AJ77" i="142"/>
  <c r="AG77" i="142"/>
  <c r="AH77" i="142" s="1"/>
  <c r="AI77" i="142" s="1"/>
  <c r="AJ76" i="142"/>
  <c r="AG76" i="142"/>
  <c r="AH76" i="142" s="1"/>
  <c r="AI76" i="142" s="1"/>
  <c r="AJ75" i="142"/>
  <c r="AG75" i="142"/>
  <c r="AH75" i="142" s="1"/>
  <c r="AI75" i="142" s="1"/>
  <c r="AJ86" i="143"/>
  <c r="AG86" i="143"/>
  <c r="AJ85" i="143"/>
  <c r="AG85" i="143"/>
  <c r="AJ84" i="143"/>
  <c r="AG84" i="143"/>
  <c r="AJ83" i="143"/>
  <c r="AG83" i="143"/>
  <c r="AJ82" i="143"/>
  <c r="AG82" i="143"/>
  <c r="AJ81" i="143"/>
  <c r="AG81" i="143"/>
  <c r="AJ80" i="143"/>
  <c r="AG80" i="143"/>
  <c r="AJ79" i="143"/>
  <c r="AG79" i="143"/>
  <c r="AJ78" i="143"/>
  <c r="AG78" i="143"/>
  <c r="AJ77" i="143"/>
  <c r="AG77" i="143"/>
  <c r="AJ76" i="143"/>
  <c r="AG76" i="143"/>
  <c r="AH76" i="143" s="1"/>
  <c r="AI76" i="143" s="1"/>
  <c r="AJ75" i="143"/>
  <c r="AG75" i="143"/>
  <c r="AH75" i="143" s="1"/>
  <c r="AI75" i="143" s="1"/>
  <c r="AJ86" i="144"/>
  <c r="AG86" i="144"/>
  <c r="AJ85" i="144"/>
  <c r="AG85" i="144"/>
  <c r="AJ84" i="144"/>
  <c r="AG84" i="144"/>
  <c r="AJ83" i="144"/>
  <c r="AG83" i="144"/>
  <c r="AJ82" i="144"/>
  <c r="AG82" i="144"/>
  <c r="AJ81" i="144"/>
  <c r="AG81" i="144"/>
  <c r="AJ80" i="144"/>
  <c r="AG80" i="144"/>
  <c r="AJ79" i="144"/>
  <c r="AG79" i="144"/>
  <c r="AJ78" i="144"/>
  <c r="AG78" i="144"/>
  <c r="AJ77" i="144"/>
  <c r="AG77" i="144"/>
  <c r="AJ76" i="144"/>
  <c r="AG76" i="144"/>
  <c r="AJ75" i="144"/>
  <c r="AG75" i="144"/>
  <c r="AH75" i="144" s="1"/>
  <c r="AI75" i="144" s="1"/>
  <c r="AJ86" i="148"/>
  <c r="AG86" i="148"/>
  <c r="AJ85" i="148"/>
  <c r="AG85" i="148"/>
  <c r="AJ84" i="148"/>
  <c r="AG84" i="148"/>
  <c r="AJ83" i="148"/>
  <c r="AG83" i="148"/>
  <c r="AJ82" i="148"/>
  <c r="AG82" i="148"/>
  <c r="AJ81" i="148"/>
  <c r="AG81" i="148"/>
  <c r="AJ80" i="148"/>
  <c r="AG80" i="148"/>
  <c r="AJ79" i="148"/>
  <c r="AG79" i="148"/>
  <c r="AJ78" i="148"/>
  <c r="AG78" i="148"/>
  <c r="AJ77" i="148"/>
  <c r="AG77" i="148"/>
  <c r="AH77" i="148" s="1"/>
  <c r="AI77" i="148" s="1"/>
  <c r="AJ76" i="148"/>
  <c r="AG76" i="148"/>
  <c r="AH76" i="148" s="1"/>
  <c r="AI76" i="148" s="1"/>
  <c r="AJ75" i="148"/>
  <c r="AG75" i="148"/>
  <c r="AH75" i="148" s="1"/>
  <c r="AI75" i="148" s="1"/>
  <c r="AJ86" i="145"/>
  <c r="AG86" i="145"/>
  <c r="AJ85" i="145"/>
  <c r="AG85" i="145"/>
  <c r="AJ84" i="145"/>
  <c r="AG84" i="145"/>
  <c r="AJ83" i="145"/>
  <c r="AG83" i="145"/>
  <c r="AJ82" i="145"/>
  <c r="AG82" i="145"/>
  <c r="AJ81" i="145"/>
  <c r="AG81" i="145"/>
  <c r="AJ80" i="145"/>
  <c r="AG80" i="145"/>
  <c r="AJ79" i="145"/>
  <c r="AG79" i="145"/>
  <c r="AJ78" i="145"/>
  <c r="AG78" i="145"/>
  <c r="AJ77" i="145"/>
  <c r="AG77" i="145"/>
  <c r="AJ76" i="145"/>
  <c r="AG76" i="145"/>
  <c r="AH76" i="145" s="1"/>
  <c r="AI76" i="145" s="1"/>
  <c r="AJ75" i="145"/>
  <c r="AG75" i="145"/>
  <c r="AH75" i="145" s="1"/>
  <c r="AI75" i="145" s="1"/>
  <c r="AJ86" i="146"/>
  <c r="AG86" i="146"/>
  <c r="AJ85" i="146"/>
  <c r="AG85" i="146"/>
  <c r="AJ84" i="146"/>
  <c r="AG84" i="146"/>
  <c r="AJ83" i="146"/>
  <c r="AG83" i="146"/>
  <c r="AJ82" i="146"/>
  <c r="AG82" i="146"/>
  <c r="AJ81" i="146"/>
  <c r="AG81" i="146"/>
  <c r="AJ80" i="146"/>
  <c r="AG80" i="146"/>
  <c r="AJ79" i="146"/>
  <c r="AG79" i="146"/>
  <c r="AJ78" i="146"/>
  <c r="AG78" i="146"/>
  <c r="AJ77" i="146"/>
  <c r="AG77" i="146"/>
  <c r="AJ76" i="146"/>
  <c r="AG76" i="146"/>
  <c r="AH76" i="146" s="1"/>
  <c r="AI76" i="146" s="1"/>
  <c r="AJ75" i="146"/>
  <c r="AG75" i="146"/>
  <c r="AJ86" i="147"/>
  <c r="AG86" i="147"/>
  <c r="AJ85" i="147"/>
  <c r="AG85" i="147"/>
  <c r="AJ84" i="147"/>
  <c r="AG84" i="147"/>
  <c r="AJ83" i="147"/>
  <c r="AG83" i="147"/>
  <c r="AJ82" i="147"/>
  <c r="AG82" i="147"/>
  <c r="AJ81" i="147"/>
  <c r="AG81" i="147"/>
  <c r="AJ80" i="147"/>
  <c r="AG80" i="147"/>
  <c r="AJ79" i="147"/>
  <c r="AG79" i="147"/>
  <c r="AJ78" i="147"/>
  <c r="AG78" i="147"/>
  <c r="AJ77" i="147"/>
  <c r="AG77" i="147"/>
  <c r="AJ76" i="147"/>
  <c r="AG76" i="147"/>
  <c r="AH76" i="147" s="1"/>
  <c r="AI76" i="147" s="1"/>
  <c r="AJ75" i="147"/>
  <c r="AG75" i="147"/>
  <c r="AH75" i="147" s="1"/>
  <c r="AI75" i="147" s="1"/>
  <c r="AJ86" i="149"/>
  <c r="AG86" i="149"/>
  <c r="AJ85" i="149"/>
  <c r="AG85" i="149"/>
  <c r="AJ84" i="149"/>
  <c r="AG84" i="149"/>
  <c r="AJ83" i="149"/>
  <c r="AG83" i="149"/>
  <c r="AJ82" i="149"/>
  <c r="AG82" i="149"/>
  <c r="AJ81" i="149"/>
  <c r="AG81" i="149"/>
  <c r="AJ80" i="149"/>
  <c r="AG80" i="149"/>
  <c r="AJ79" i="149"/>
  <c r="AG79" i="149"/>
  <c r="AH79" i="149" s="1"/>
  <c r="AI79" i="149" s="1"/>
  <c r="AJ78" i="149"/>
  <c r="AG78" i="149"/>
  <c r="AH78" i="149" s="1"/>
  <c r="AI78" i="149" s="1"/>
  <c r="AJ77" i="149"/>
  <c r="AG77" i="149"/>
  <c r="AH77" i="149" s="1"/>
  <c r="AI77" i="149" s="1"/>
  <c r="AJ76" i="149"/>
  <c r="AG76" i="149"/>
  <c r="AH76" i="149" s="1"/>
  <c r="AI76" i="149" s="1"/>
  <c r="AJ75" i="149"/>
  <c r="AG75" i="149"/>
  <c r="AH75" i="149" s="1"/>
  <c r="AI75" i="149" s="1"/>
  <c r="AJ86" i="150"/>
  <c r="AG86" i="150"/>
  <c r="AJ85" i="150"/>
  <c r="AG85" i="150"/>
  <c r="AJ84" i="150"/>
  <c r="AG84" i="150"/>
  <c r="AJ83" i="150"/>
  <c r="AG83" i="150"/>
  <c r="AJ82" i="150"/>
  <c r="AG82" i="150"/>
  <c r="AJ81" i="150"/>
  <c r="AG81" i="150"/>
  <c r="AJ80" i="150"/>
  <c r="AG80" i="150"/>
  <c r="AJ79" i="150"/>
  <c r="AG79" i="150"/>
  <c r="AJ78" i="150"/>
  <c r="AG78" i="150"/>
  <c r="AH78" i="150" s="1"/>
  <c r="AI78" i="150" s="1"/>
  <c r="AJ77" i="150"/>
  <c r="AG77" i="150"/>
  <c r="AH77" i="150" s="1"/>
  <c r="AI77" i="150" s="1"/>
  <c r="AJ76" i="150"/>
  <c r="AG76" i="150"/>
  <c r="AH76" i="150" s="1"/>
  <c r="AI76" i="150" s="1"/>
  <c r="AJ75" i="150"/>
  <c r="AG75" i="150"/>
  <c r="AH75" i="150" s="1"/>
  <c r="AI75" i="150" s="1"/>
  <c r="AJ86" i="151"/>
  <c r="AG86" i="151"/>
  <c r="AJ85" i="151"/>
  <c r="AG85" i="151"/>
  <c r="AJ84" i="151"/>
  <c r="AG84" i="151"/>
  <c r="AJ83" i="151"/>
  <c r="AG83" i="151"/>
  <c r="AJ82" i="151"/>
  <c r="AG82" i="151"/>
  <c r="AJ81" i="151"/>
  <c r="AG81" i="151"/>
  <c r="AJ80" i="151"/>
  <c r="AG80" i="151"/>
  <c r="AJ79" i="151"/>
  <c r="AG79" i="151"/>
  <c r="AJ78" i="151"/>
  <c r="AG78" i="151"/>
  <c r="AJ77" i="151"/>
  <c r="AG77" i="151"/>
  <c r="AJ76" i="151"/>
  <c r="AG76" i="151"/>
  <c r="AH76" i="151" s="1"/>
  <c r="AI76" i="151" s="1"/>
  <c r="AJ75" i="151"/>
  <c r="AG75" i="151"/>
  <c r="AH75" i="151" s="1"/>
  <c r="AI75" i="151" s="1"/>
  <c r="AJ86" i="152"/>
  <c r="AG86" i="152"/>
  <c r="AJ85" i="152"/>
  <c r="AG85" i="152"/>
  <c r="AJ84" i="152"/>
  <c r="AG84" i="152"/>
  <c r="AJ83" i="152"/>
  <c r="AG83" i="152"/>
  <c r="AJ82" i="152"/>
  <c r="AG82" i="152"/>
  <c r="AJ81" i="152"/>
  <c r="AG81" i="152"/>
  <c r="AJ80" i="152"/>
  <c r="AG80" i="152"/>
  <c r="AJ79" i="152"/>
  <c r="AG79" i="152"/>
  <c r="AJ78" i="152"/>
  <c r="AG78" i="152"/>
  <c r="AJ77" i="152"/>
  <c r="AG77" i="152"/>
  <c r="AJ76" i="152"/>
  <c r="AG76" i="152"/>
  <c r="AH76" i="152" s="1"/>
  <c r="AI76" i="152" s="1"/>
  <c r="AJ75" i="152"/>
  <c r="AG75" i="152"/>
  <c r="AH75" i="152" s="1"/>
  <c r="AI75" i="152" s="1"/>
  <c r="AJ86" i="153"/>
  <c r="AG86" i="153"/>
  <c r="AJ85" i="153"/>
  <c r="AG85" i="153"/>
  <c r="AJ84" i="153"/>
  <c r="AG84" i="153"/>
  <c r="AJ83" i="153"/>
  <c r="AG83" i="153"/>
  <c r="AJ82" i="153"/>
  <c r="AG82" i="153"/>
  <c r="AJ81" i="153"/>
  <c r="AG81" i="153"/>
  <c r="AJ80" i="153"/>
  <c r="AG80" i="153"/>
  <c r="AJ79" i="153"/>
  <c r="AG79" i="153"/>
  <c r="AJ78" i="153"/>
  <c r="AG78" i="153"/>
  <c r="AJ77" i="153"/>
  <c r="AG77" i="153"/>
  <c r="AJ76" i="153"/>
  <c r="AG76" i="153"/>
  <c r="AH76" i="153" s="1"/>
  <c r="AI76" i="153" s="1"/>
  <c r="AJ75" i="153"/>
  <c r="AG75" i="153"/>
  <c r="AH75" i="153" s="1"/>
  <c r="AI75" i="153" s="1"/>
  <c r="AJ86" i="154"/>
  <c r="AG86" i="154"/>
  <c r="AJ85" i="154"/>
  <c r="AG85" i="154"/>
  <c r="AJ84" i="154"/>
  <c r="AG84" i="154"/>
  <c r="AJ83" i="154"/>
  <c r="AG83" i="154"/>
  <c r="AJ82" i="154"/>
  <c r="AG82" i="154"/>
  <c r="AJ81" i="154"/>
  <c r="AG81" i="154"/>
  <c r="AJ80" i="154"/>
  <c r="AG80" i="154"/>
  <c r="AJ79" i="154"/>
  <c r="AG79" i="154"/>
  <c r="AJ78" i="154"/>
  <c r="AG78" i="154"/>
  <c r="AJ77" i="154"/>
  <c r="AG77" i="154"/>
  <c r="AJ76" i="154"/>
  <c r="AG76" i="154"/>
  <c r="AJ75" i="154"/>
  <c r="AG75" i="154"/>
  <c r="AH75" i="154" s="1"/>
  <c r="AI75" i="154" s="1"/>
  <c r="AJ86" i="155"/>
  <c r="AG86" i="155"/>
  <c r="AJ85" i="155"/>
  <c r="AG85" i="155"/>
  <c r="AH85" i="155" s="1"/>
  <c r="AI85" i="155" s="1"/>
  <c r="AJ84" i="155"/>
  <c r="AG84" i="155"/>
  <c r="AH84" i="155" s="1"/>
  <c r="AI84" i="155" s="1"/>
  <c r="AJ83" i="155"/>
  <c r="AG83" i="155"/>
  <c r="AH83" i="155" s="1"/>
  <c r="AI83" i="155" s="1"/>
  <c r="AJ82" i="155"/>
  <c r="AG82" i="155"/>
  <c r="AH82" i="155" s="1"/>
  <c r="AI82" i="155" s="1"/>
  <c r="AJ81" i="155"/>
  <c r="AG81" i="155"/>
  <c r="AH81" i="155" s="1"/>
  <c r="AI81" i="155" s="1"/>
  <c r="AJ80" i="155"/>
  <c r="AG80" i="155"/>
  <c r="AH80" i="155" s="1"/>
  <c r="AI80" i="155" s="1"/>
  <c r="AJ79" i="155"/>
  <c r="AG79" i="155"/>
  <c r="AH79" i="155" s="1"/>
  <c r="AI79" i="155" s="1"/>
  <c r="AJ78" i="155"/>
  <c r="AG78" i="155"/>
  <c r="AH78" i="155" s="1"/>
  <c r="AI78" i="155" s="1"/>
  <c r="AJ77" i="155"/>
  <c r="AG77" i="155"/>
  <c r="AH77" i="155" s="1"/>
  <c r="AI77" i="155" s="1"/>
  <c r="AJ76" i="155"/>
  <c r="AG76" i="155"/>
  <c r="AH76" i="155" s="1"/>
  <c r="AI76" i="155" s="1"/>
  <c r="AJ75" i="155"/>
  <c r="AG75" i="155"/>
  <c r="AH75" i="155" s="1"/>
  <c r="AI75" i="155" s="1"/>
  <c r="AJ86" i="156"/>
  <c r="AI86" i="156"/>
  <c r="AJ85" i="156"/>
  <c r="AI85" i="156"/>
  <c r="AJ84" i="156"/>
  <c r="AI84" i="156"/>
  <c r="AJ83" i="156"/>
  <c r="AI83" i="156"/>
  <c r="AJ82" i="156"/>
  <c r="AI82" i="156"/>
  <c r="AJ81" i="156"/>
  <c r="AI81" i="156"/>
  <c r="AJ80" i="156"/>
  <c r="AI80" i="156"/>
  <c r="AJ79" i="156"/>
  <c r="AI79" i="156"/>
  <c r="AJ78" i="156"/>
  <c r="AI78" i="156"/>
  <c r="AJ77" i="156"/>
  <c r="AI77" i="156"/>
  <c r="AJ76" i="156"/>
  <c r="AI76" i="156"/>
  <c r="AJ75" i="156"/>
  <c r="AI75" i="156"/>
  <c r="AJ86" i="157"/>
  <c r="AG86" i="157"/>
  <c r="AJ85" i="157"/>
  <c r="AG85" i="157"/>
  <c r="AJ84" i="157"/>
  <c r="AG84" i="157"/>
  <c r="AJ83" i="157"/>
  <c r="AG83" i="157"/>
  <c r="AJ82" i="157"/>
  <c r="AG82" i="157"/>
  <c r="AJ81" i="157"/>
  <c r="AG81" i="157"/>
  <c r="AJ80" i="157"/>
  <c r="AG80" i="157"/>
  <c r="AJ79" i="157"/>
  <c r="AG79" i="157"/>
  <c r="AJ78" i="157"/>
  <c r="AG78" i="157"/>
  <c r="AJ77" i="157"/>
  <c r="AG77" i="157"/>
  <c r="AJ76" i="157"/>
  <c r="AG76" i="157"/>
  <c r="AJ75" i="157"/>
  <c r="AG75" i="157"/>
  <c r="AJ86" i="158"/>
  <c r="AG86" i="158"/>
  <c r="AJ85" i="158"/>
  <c r="AG85" i="158"/>
  <c r="AJ84" i="158"/>
  <c r="AG84" i="158"/>
  <c r="AJ83" i="158"/>
  <c r="AG83" i="158"/>
  <c r="AJ82" i="158"/>
  <c r="AG82" i="158"/>
  <c r="AJ81" i="158"/>
  <c r="AG81" i="158"/>
  <c r="AJ80" i="158"/>
  <c r="AG80" i="158"/>
  <c r="AJ79" i="158"/>
  <c r="AG79" i="158"/>
  <c r="AJ78" i="158"/>
  <c r="AG78" i="158"/>
  <c r="AJ77" i="158"/>
  <c r="AG77" i="158"/>
  <c r="AJ76" i="158"/>
  <c r="AG76" i="158"/>
  <c r="AJ75" i="158"/>
  <c r="AG75" i="158"/>
  <c r="AH75" i="158" s="1"/>
  <c r="AI75" i="158" s="1"/>
  <c r="AJ86" i="159"/>
  <c r="AG86" i="159"/>
  <c r="AJ85" i="159"/>
  <c r="AG85" i="159"/>
  <c r="AJ84" i="159"/>
  <c r="AG84" i="159"/>
  <c r="AJ83" i="159"/>
  <c r="AG83" i="159"/>
  <c r="AJ82" i="159"/>
  <c r="AG82" i="159"/>
  <c r="AJ81" i="159"/>
  <c r="AG81" i="159"/>
  <c r="AJ80" i="159"/>
  <c r="AG80" i="159"/>
  <c r="AJ79" i="159"/>
  <c r="AG79" i="159"/>
  <c r="AJ78" i="159"/>
  <c r="AG78" i="159"/>
  <c r="AJ77" i="159"/>
  <c r="AG77" i="159"/>
  <c r="AJ76" i="159"/>
  <c r="AG76" i="159"/>
  <c r="AJ75" i="159"/>
  <c r="AG75" i="159"/>
  <c r="AJ86" i="160"/>
  <c r="AG86" i="160"/>
  <c r="AJ85" i="160"/>
  <c r="AG85" i="160"/>
  <c r="AJ84" i="160"/>
  <c r="AG84" i="160"/>
  <c r="AJ83" i="160"/>
  <c r="AG83" i="160"/>
  <c r="AJ82" i="160"/>
  <c r="AG82" i="160"/>
  <c r="AJ81" i="160"/>
  <c r="AG81" i="160"/>
  <c r="AH81" i="160" s="1"/>
  <c r="AI81" i="160" s="1"/>
  <c r="AJ80" i="160"/>
  <c r="AG80" i="160"/>
  <c r="AH80" i="160" s="1"/>
  <c r="AI80" i="160" s="1"/>
  <c r="AJ79" i="160"/>
  <c r="AG79" i="160"/>
  <c r="AH79" i="160" s="1"/>
  <c r="AI79" i="160" s="1"/>
  <c r="AJ78" i="160"/>
  <c r="AG78" i="160"/>
  <c r="AH78" i="160" s="1"/>
  <c r="AI78" i="160" s="1"/>
  <c r="AJ77" i="160"/>
  <c r="AG77" i="160"/>
  <c r="AH77" i="160" s="1"/>
  <c r="AI77" i="160" s="1"/>
  <c r="AJ76" i="160"/>
  <c r="AG76" i="160"/>
  <c r="AH76" i="160" s="1"/>
  <c r="AI76" i="160" s="1"/>
  <c r="AJ75" i="160"/>
  <c r="AG75" i="160"/>
  <c r="AJ86" i="161"/>
  <c r="AG86" i="161"/>
  <c r="AJ85" i="161"/>
  <c r="AG85" i="161"/>
  <c r="AH85" i="161" s="1"/>
  <c r="AI85" i="161" s="1"/>
  <c r="AJ84" i="161"/>
  <c r="AG84" i="161"/>
  <c r="AH84" i="161" s="1"/>
  <c r="AI84" i="161" s="1"/>
  <c r="AJ83" i="161"/>
  <c r="AG83" i="161"/>
  <c r="AH83" i="161" s="1"/>
  <c r="AI83" i="161" s="1"/>
  <c r="AJ82" i="161"/>
  <c r="AG82" i="161"/>
  <c r="AH82" i="161" s="1"/>
  <c r="AI82" i="161" s="1"/>
  <c r="AJ81" i="161"/>
  <c r="AG81" i="161"/>
  <c r="AH81" i="161" s="1"/>
  <c r="AI81" i="161" s="1"/>
  <c r="AJ80" i="161"/>
  <c r="AG80" i="161"/>
  <c r="AH80" i="161" s="1"/>
  <c r="AI80" i="161" s="1"/>
  <c r="AJ79" i="161"/>
  <c r="AG79" i="161"/>
  <c r="AH79" i="161" s="1"/>
  <c r="AI79" i="161" s="1"/>
  <c r="AJ78" i="161"/>
  <c r="AG78" i="161"/>
  <c r="AH78" i="161" s="1"/>
  <c r="AI78" i="161" s="1"/>
  <c r="AJ77" i="161"/>
  <c r="AG77" i="161"/>
  <c r="AH77" i="161" s="1"/>
  <c r="AI77" i="161" s="1"/>
  <c r="AJ76" i="161"/>
  <c r="AG76" i="161"/>
  <c r="AH76" i="161" s="1"/>
  <c r="AI76" i="161" s="1"/>
  <c r="AJ75" i="161"/>
  <c r="AG75" i="161"/>
  <c r="AH75" i="161" s="1"/>
  <c r="AI75" i="161" s="1"/>
  <c r="AJ86" i="162"/>
  <c r="AG86" i="162"/>
  <c r="AJ85" i="162"/>
  <c r="AG85" i="162"/>
  <c r="AJ84" i="162"/>
  <c r="AG84" i="162"/>
  <c r="AJ83" i="162"/>
  <c r="AG83" i="162"/>
  <c r="AJ82" i="162"/>
  <c r="AG82" i="162"/>
  <c r="AJ81" i="162"/>
  <c r="AG81" i="162"/>
  <c r="AJ80" i="162"/>
  <c r="AG80" i="162"/>
  <c r="AJ79" i="162"/>
  <c r="AG79" i="162"/>
  <c r="AJ78" i="162"/>
  <c r="AG78" i="162"/>
  <c r="AJ77" i="162"/>
  <c r="AG77" i="162"/>
  <c r="AJ76" i="162"/>
  <c r="AG76" i="162"/>
  <c r="AJ75" i="162"/>
  <c r="AG75" i="162"/>
  <c r="AJ86" i="163"/>
  <c r="AG86" i="163"/>
  <c r="AJ85" i="163"/>
  <c r="AG85" i="163"/>
  <c r="AJ84" i="163"/>
  <c r="AG84" i="163"/>
  <c r="AJ83" i="163"/>
  <c r="AG83" i="163"/>
  <c r="AJ82" i="163"/>
  <c r="AG82" i="163"/>
  <c r="AJ81" i="163"/>
  <c r="AG81" i="163"/>
  <c r="AJ80" i="163"/>
  <c r="AG80" i="163"/>
  <c r="AJ79" i="163"/>
  <c r="AG79" i="163"/>
  <c r="AJ78" i="163"/>
  <c r="AG78" i="163"/>
  <c r="AJ77" i="163"/>
  <c r="AG77" i="163"/>
  <c r="AJ76" i="163"/>
  <c r="AG76" i="163"/>
  <c r="AH76" i="163" s="1"/>
  <c r="AI76" i="163" s="1"/>
  <c r="AJ75" i="163"/>
  <c r="AG75" i="163"/>
  <c r="AJ86" i="164"/>
  <c r="AG86" i="164"/>
  <c r="AJ85" i="164"/>
  <c r="AG85" i="164"/>
  <c r="AJ84" i="164"/>
  <c r="AG84" i="164"/>
  <c r="AJ83" i="164"/>
  <c r="AG83" i="164"/>
  <c r="AJ82" i="164"/>
  <c r="AG82" i="164"/>
  <c r="AJ81" i="164"/>
  <c r="AG81" i="164"/>
  <c r="AJ80" i="164"/>
  <c r="AG80" i="164"/>
  <c r="AJ79" i="164"/>
  <c r="AG79" i="164"/>
  <c r="AJ78" i="164"/>
  <c r="AG78" i="164"/>
  <c r="AJ77" i="164"/>
  <c r="AG77" i="164"/>
  <c r="AJ76" i="164"/>
  <c r="AG76" i="164"/>
  <c r="AH76" i="164" s="1"/>
  <c r="AI76" i="164" s="1"/>
  <c r="AJ75" i="164"/>
  <c r="AG75" i="164"/>
  <c r="AJ86" i="165"/>
  <c r="AG86" i="165"/>
  <c r="AJ85" i="165"/>
  <c r="AG85" i="165"/>
  <c r="AJ84" i="165"/>
  <c r="AG84" i="165"/>
  <c r="AJ83" i="165"/>
  <c r="AG83" i="165"/>
  <c r="AJ82" i="165"/>
  <c r="AG82" i="165"/>
  <c r="AJ81" i="165"/>
  <c r="AG81" i="165"/>
  <c r="AJ80" i="165"/>
  <c r="AG80" i="165"/>
  <c r="AJ79" i="165"/>
  <c r="AG79" i="165"/>
  <c r="AJ78" i="165"/>
  <c r="AG78" i="165"/>
  <c r="AJ77" i="165"/>
  <c r="AG77" i="165"/>
  <c r="AJ76" i="165"/>
  <c r="AG76" i="165"/>
  <c r="AH76" i="165" s="1"/>
  <c r="AI76" i="165" s="1"/>
  <c r="AJ75" i="165"/>
  <c r="AG75" i="165"/>
  <c r="AJ86" i="166"/>
  <c r="AG86" i="166"/>
  <c r="AJ85" i="166"/>
  <c r="AG85" i="166"/>
  <c r="AJ84" i="166"/>
  <c r="AG84" i="166"/>
  <c r="AJ83" i="166"/>
  <c r="AG83" i="166"/>
  <c r="AJ82" i="166"/>
  <c r="AG82" i="166"/>
  <c r="AJ81" i="166"/>
  <c r="AG81" i="166"/>
  <c r="AJ80" i="166"/>
  <c r="AG80" i="166"/>
  <c r="AJ79" i="166"/>
  <c r="AG79" i="166"/>
  <c r="AJ78" i="166"/>
  <c r="AG78" i="166"/>
  <c r="AJ77" i="166"/>
  <c r="AG77" i="166"/>
  <c r="AJ76" i="166"/>
  <c r="AG76" i="166"/>
  <c r="AH76" i="166" s="1"/>
  <c r="AI76" i="166" s="1"/>
  <c r="AJ75" i="166"/>
  <c r="AG75" i="166"/>
  <c r="AH75" i="166" s="1"/>
  <c r="AI75" i="166" s="1"/>
  <c r="AJ86" i="167"/>
  <c r="AG86" i="167"/>
  <c r="AJ85" i="167"/>
  <c r="AG85" i="167"/>
  <c r="AJ84" i="167"/>
  <c r="AG84" i="167"/>
  <c r="AJ83" i="167"/>
  <c r="AG83" i="167"/>
  <c r="AJ82" i="167"/>
  <c r="AG82" i="167"/>
  <c r="AJ81" i="167"/>
  <c r="AG81" i="167"/>
  <c r="AJ80" i="167"/>
  <c r="AG80" i="167"/>
  <c r="AJ79" i="167"/>
  <c r="AG79" i="167"/>
  <c r="AJ78" i="167"/>
  <c r="AG78" i="167"/>
  <c r="AJ77" i="167"/>
  <c r="AG77" i="167"/>
  <c r="AJ76" i="167"/>
  <c r="AG76" i="167"/>
  <c r="AH76" i="167" s="1"/>
  <c r="AI76" i="167" s="1"/>
  <c r="AJ75" i="167"/>
  <c r="AG75" i="167"/>
  <c r="AH75" i="167" s="1"/>
  <c r="AI75" i="167" s="1"/>
  <c r="AJ86" i="168"/>
  <c r="AG86" i="168"/>
  <c r="AJ85" i="168"/>
  <c r="AG85" i="168"/>
  <c r="AJ84" i="168"/>
  <c r="AG84" i="168"/>
  <c r="AJ83" i="168"/>
  <c r="AG83" i="168"/>
  <c r="AJ82" i="168"/>
  <c r="AG82" i="168"/>
  <c r="AJ81" i="168"/>
  <c r="AG81" i="168"/>
  <c r="AJ80" i="168"/>
  <c r="AG80" i="168"/>
  <c r="AJ79" i="168"/>
  <c r="AG79" i="168"/>
  <c r="AJ78" i="168"/>
  <c r="AG78" i="168"/>
  <c r="AJ77" i="168"/>
  <c r="AG77" i="168"/>
  <c r="AJ76" i="168"/>
  <c r="AG76" i="168"/>
  <c r="AH76" i="168" s="1"/>
  <c r="AI76" i="168" s="1"/>
  <c r="AJ75" i="168"/>
  <c r="AG75" i="168"/>
  <c r="AH75" i="168" s="1"/>
  <c r="AI75" i="168" s="1"/>
  <c r="AJ86" i="169"/>
  <c r="AH86" i="169"/>
  <c r="AI86" i="169" s="1"/>
  <c r="AJ85" i="169"/>
  <c r="AH85" i="169"/>
  <c r="AI85" i="169" s="1"/>
  <c r="AJ84" i="169"/>
  <c r="AH84" i="169"/>
  <c r="AI84" i="169" s="1"/>
  <c r="AJ83" i="169"/>
  <c r="AH83" i="169"/>
  <c r="AI83" i="169" s="1"/>
  <c r="AJ82" i="169"/>
  <c r="AH82" i="169"/>
  <c r="AI82" i="169" s="1"/>
  <c r="AJ81" i="169"/>
  <c r="AH81" i="169"/>
  <c r="AI81" i="169" s="1"/>
  <c r="AJ80" i="169"/>
  <c r="AH80" i="169"/>
  <c r="AI80" i="169" s="1"/>
  <c r="AJ79" i="169"/>
  <c r="AH79" i="169"/>
  <c r="AI79" i="169" s="1"/>
  <c r="AJ78" i="169"/>
  <c r="AH78" i="169"/>
  <c r="AI78" i="169" s="1"/>
  <c r="AJ77" i="169"/>
  <c r="AH77" i="169"/>
  <c r="AI77" i="169" s="1"/>
  <c r="AJ76" i="169"/>
  <c r="AH76" i="169"/>
  <c r="AI76" i="169" s="1"/>
  <c r="AJ75" i="169"/>
  <c r="AH75" i="169"/>
  <c r="AI75" i="169" s="1"/>
  <c r="AJ86" i="170"/>
  <c r="AH86" i="170"/>
  <c r="AI86" i="170" s="1"/>
  <c r="AJ85" i="170"/>
  <c r="AH85" i="170"/>
  <c r="AI85" i="170" s="1"/>
  <c r="AJ84" i="170"/>
  <c r="AH84" i="170"/>
  <c r="AI84" i="170" s="1"/>
  <c r="AJ83" i="170"/>
  <c r="AH83" i="170"/>
  <c r="AI83" i="170" s="1"/>
  <c r="AJ82" i="170"/>
  <c r="AH82" i="170"/>
  <c r="AI82" i="170" s="1"/>
  <c r="AJ81" i="170"/>
  <c r="AH81" i="170"/>
  <c r="AI81" i="170" s="1"/>
  <c r="AJ80" i="170"/>
  <c r="AH80" i="170"/>
  <c r="AI80" i="170" s="1"/>
  <c r="AJ79" i="170"/>
  <c r="AH79" i="170"/>
  <c r="AI79" i="170" s="1"/>
  <c r="AJ78" i="170"/>
  <c r="AH78" i="170"/>
  <c r="AI78" i="170" s="1"/>
  <c r="AJ77" i="170"/>
  <c r="AH77" i="170"/>
  <c r="AI77" i="170" s="1"/>
  <c r="AJ76" i="170"/>
  <c r="AH76" i="170"/>
  <c r="AI76" i="170" s="1"/>
  <c r="AJ75" i="170"/>
  <c r="AH75" i="170"/>
  <c r="AI75" i="170" s="1"/>
  <c r="AJ86" i="171"/>
  <c r="AI86" i="171"/>
  <c r="AJ85" i="171"/>
  <c r="AI85" i="171"/>
  <c r="AJ84" i="171"/>
  <c r="AI84" i="171"/>
  <c r="AJ83" i="171"/>
  <c r="AI83" i="171"/>
  <c r="AJ82" i="171"/>
  <c r="AI82" i="171"/>
  <c r="AJ81" i="171"/>
  <c r="AI81" i="171"/>
  <c r="AJ80" i="171"/>
  <c r="AI80" i="171"/>
  <c r="AJ79" i="171"/>
  <c r="AI79" i="171"/>
  <c r="AJ78" i="171"/>
  <c r="AI78" i="171"/>
  <c r="AJ77" i="171"/>
  <c r="AI77" i="171"/>
  <c r="AJ76" i="171"/>
  <c r="AI76" i="171"/>
  <c r="AJ75" i="171"/>
  <c r="AI75" i="171"/>
  <c r="AJ86" i="172"/>
  <c r="AG86" i="172"/>
  <c r="AH86" i="172" s="1"/>
  <c r="AI86" i="172" s="1"/>
  <c r="AJ85" i="172"/>
  <c r="AG85" i="172"/>
  <c r="AH85" i="172" s="1"/>
  <c r="AI85" i="172" s="1"/>
  <c r="AJ84" i="172"/>
  <c r="AG84" i="172"/>
  <c r="AH84" i="172" s="1"/>
  <c r="AI84" i="172" s="1"/>
  <c r="AJ83" i="172"/>
  <c r="AG83" i="172"/>
  <c r="AH83" i="172" s="1"/>
  <c r="AI83" i="172" s="1"/>
  <c r="AJ82" i="172"/>
  <c r="AG82" i="172"/>
  <c r="AH82" i="172" s="1"/>
  <c r="AI82" i="172" s="1"/>
  <c r="AJ81" i="172"/>
  <c r="AG81" i="172"/>
  <c r="AH81" i="172" s="1"/>
  <c r="AI81" i="172" s="1"/>
  <c r="AJ80" i="172"/>
  <c r="AG80" i="172"/>
  <c r="AH80" i="172" s="1"/>
  <c r="AI80" i="172" s="1"/>
  <c r="AJ79" i="172"/>
  <c r="AG79" i="172"/>
  <c r="AH79" i="172" s="1"/>
  <c r="AI79" i="172" s="1"/>
  <c r="AJ78" i="172"/>
  <c r="AG78" i="172"/>
  <c r="AH78" i="172" s="1"/>
  <c r="AI78" i="172" s="1"/>
  <c r="AJ77" i="172"/>
  <c r="AG77" i="172"/>
  <c r="AH77" i="172" s="1"/>
  <c r="AI77" i="172" s="1"/>
  <c r="AJ76" i="172"/>
  <c r="AG76" i="172"/>
  <c r="AH76" i="172" s="1"/>
  <c r="AI76" i="172" s="1"/>
  <c r="AJ75" i="172"/>
  <c r="AG75" i="172"/>
  <c r="AH75" i="172" s="1"/>
  <c r="AI75" i="172" s="1"/>
  <c r="AJ86" i="173"/>
  <c r="AI86" i="173"/>
  <c r="AJ85" i="173"/>
  <c r="AI85" i="173"/>
  <c r="AJ84" i="173"/>
  <c r="AI84" i="173"/>
  <c r="AJ83" i="173"/>
  <c r="AI83" i="173"/>
  <c r="AJ82" i="173"/>
  <c r="AI82" i="173"/>
  <c r="AJ81" i="173"/>
  <c r="AI81" i="173"/>
  <c r="AJ80" i="173"/>
  <c r="AI80" i="173"/>
  <c r="AJ79" i="173"/>
  <c r="AI79" i="173"/>
  <c r="AJ78" i="173"/>
  <c r="AI78" i="173"/>
  <c r="AJ77" i="173"/>
  <c r="AI77" i="173"/>
  <c r="AJ76" i="173"/>
  <c r="AI76" i="173"/>
  <c r="AJ75" i="173"/>
  <c r="AI75" i="173"/>
  <c r="AJ86" i="174"/>
  <c r="AI86" i="174"/>
  <c r="AJ85" i="174"/>
  <c r="AI85" i="174"/>
  <c r="AJ84" i="174"/>
  <c r="AI84" i="174"/>
  <c r="AJ83" i="174"/>
  <c r="AI83" i="174"/>
  <c r="AJ82" i="174"/>
  <c r="AI82" i="174"/>
  <c r="AJ81" i="174"/>
  <c r="AI81" i="174"/>
  <c r="AJ80" i="174"/>
  <c r="AI80" i="174"/>
  <c r="AJ79" i="174"/>
  <c r="AI79" i="174"/>
  <c r="AJ78" i="174"/>
  <c r="AI78" i="174"/>
  <c r="AJ77" i="174"/>
  <c r="AI77" i="174"/>
  <c r="AJ76" i="174"/>
  <c r="AI76" i="174"/>
  <c r="AJ75" i="174"/>
  <c r="AI75" i="174"/>
  <c r="AJ86" i="203"/>
  <c r="AG86" i="203"/>
  <c r="AJ85" i="203"/>
  <c r="AG85" i="203"/>
  <c r="AJ84" i="203"/>
  <c r="AG84" i="203"/>
  <c r="AJ83" i="203"/>
  <c r="AG83" i="203"/>
  <c r="AJ82" i="203"/>
  <c r="AG82" i="203"/>
  <c r="AJ81" i="203"/>
  <c r="AG81" i="203"/>
  <c r="AJ80" i="203"/>
  <c r="AG80" i="203"/>
  <c r="AJ79" i="203"/>
  <c r="AG79" i="203"/>
  <c r="AJ78" i="203"/>
  <c r="AG78" i="203"/>
  <c r="AJ77" i="203"/>
  <c r="AG77" i="203"/>
  <c r="AJ76" i="203"/>
  <c r="AG76" i="203"/>
  <c r="AH76" i="203" s="1"/>
  <c r="AI76" i="203" s="1"/>
  <c r="AJ75" i="203"/>
  <c r="AG75" i="203"/>
  <c r="AH75" i="203" s="1"/>
  <c r="AI75" i="203" s="1"/>
  <c r="AJ86" i="176"/>
  <c r="AG86" i="176"/>
  <c r="AJ85" i="176"/>
  <c r="AG85" i="176"/>
  <c r="AH85" i="176" s="1"/>
  <c r="AI85" i="176" s="1"/>
  <c r="AJ84" i="176"/>
  <c r="AG84" i="176"/>
  <c r="AH84" i="176" s="1"/>
  <c r="AI84" i="176" s="1"/>
  <c r="AJ83" i="176"/>
  <c r="AG83" i="176"/>
  <c r="AH83" i="176" s="1"/>
  <c r="AI83" i="176" s="1"/>
  <c r="AJ82" i="176"/>
  <c r="AG82" i="176"/>
  <c r="AH82" i="176" s="1"/>
  <c r="AI82" i="176" s="1"/>
  <c r="AJ81" i="176"/>
  <c r="AG81" i="176"/>
  <c r="AH81" i="176" s="1"/>
  <c r="AI81" i="176" s="1"/>
  <c r="AJ80" i="176"/>
  <c r="AG80" i="176"/>
  <c r="AH80" i="176" s="1"/>
  <c r="AI80" i="176" s="1"/>
  <c r="AJ79" i="176"/>
  <c r="AG79" i="176"/>
  <c r="AH79" i="176" s="1"/>
  <c r="AI79" i="176" s="1"/>
  <c r="AJ78" i="176"/>
  <c r="AG78" i="176"/>
  <c r="AH78" i="176" s="1"/>
  <c r="AI78" i="176" s="1"/>
  <c r="AJ77" i="176"/>
  <c r="AG77" i="176"/>
  <c r="AH77" i="176" s="1"/>
  <c r="AI77" i="176" s="1"/>
  <c r="AJ76" i="176"/>
  <c r="AG76" i="176"/>
  <c r="AH76" i="176" s="1"/>
  <c r="AI76" i="176" s="1"/>
  <c r="AJ75" i="176"/>
  <c r="AG75" i="176"/>
  <c r="AH75" i="176" s="1"/>
  <c r="AI75" i="176" s="1"/>
  <c r="AJ86" i="177"/>
  <c r="AG86" i="177"/>
  <c r="AJ85" i="177"/>
  <c r="AG85" i="177"/>
  <c r="AJ84" i="177"/>
  <c r="AG84" i="177"/>
  <c r="AJ83" i="177"/>
  <c r="AG83" i="177"/>
  <c r="AJ82" i="177"/>
  <c r="AG82" i="177"/>
  <c r="AJ81" i="177"/>
  <c r="AG81" i="177"/>
  <c r="AJ80" i="177"/>
  <c r="AG80" i="177"/>
  <c r="AJ79" i="177"/>
  <c r="AG79" i="177"/>
  <c r="AJ78" i="177"/>
  <c r="AG78" i="177"/>
  <c r="AJ77" i="177"/>
  <c r="AG77" i="177"/>
  <c r="AJ76" i="177"/>
  <c r="AG76" i="177"/>
  <c r="AH76" i="177" s="1"/>
  <c r="AI76" i="177" s="1"/>
  <c r="AJ75" i="177"/>
  <c r="AG75" i="177"/>
  <c r="AH75" i="177" s="1"/>
  <c r="AI75" i="177" s="1"/>
  <c r="AJ86" i="178"/>
  <c r="AG86" i="178"/>
  <c r="AJ85" i="178"/>
  <c r="AG85" i="178"/>
  <c r="AJ84" i="178"/>
  <c r="AG84" i="178"/>
  <c r="AJ83" i="178"/>
  <c r="AG83" i="178"/>
  <c r="AJ82" i="178"/>
  <c r="AG82" i="178"/>
  <c r="AJ81" i="178"/>
  <c r="AG81" i="178"/>
  <c r="AJ80" i="178"/>
  <c r="AG80" i="178"/>
  <c r="AJ79" i="178"/>
  <c r="AG79" i="178"/>
  <c r="AJ78" i="178"/>
  <c r="AG78" i="178"/>
  <c r="AJ77" i="178"/>
  <c r="AG77" i="178"/>
  <c r="AJ76" i="178"/>
  <c r="AG76" i="178"/>
  <c r="AH76" i="178" s="1"/>
  <c r="AI76" i="178" s="1"/>
  <c r="AJ75" i="178"/>
  <c r="AG75" i="178"/>
  <c r="AH75" i="178" s="1"/>
  <c r="AI75" i="178" s="1"/>
  <c r="AJ86" i="181"/>
  <c r="AG86" i="181"/>
  <c r="AJ85" i="181"/>
  <c r="AG85" i="181"/>
  <c r="AH85" i="181" s="1"/>
  <c r="AI85" i="181" s="1"/>
  <c r="AJ84" i="181"/>
  <c r="AG84" i="181"/>
  <c r="AH84" i="181" s="1"/>
  <c r="AI84" i="181" s="1"/>
  <c r="AJ83" i="181"/>
  <c r="AG83" i="181"/>
  <c r="AH83" i="181" s="1"/>
  <c r="AI83" i="181" s="1"/>
  <c r="AJ82" i="181"/>
  <c r="AG82" i="181"/>
  <c r="AH82" i="181" s="1"/>
  <c r="AI82" i="181" s="1"/>
  <c r="AJ81" i="181"/>
  <c r="AG81" i="181"/>
  <c r="AH81" i="181" s="1"/>
  <c r="AI81" i="181" s="1"/>
  <c r="AJ80" i="181"/>
  <c r="AG80" i="181"/>
  <c r="AH80" i="181" s="1"/>
  <c r="AI80" i="181" s="1"/>
  <c r="AJ79" i="181"/>
  <c r="AG79" i="181"/>
  <c r="AH79" i="181" s="1"/>
  <c r="AI79" i="181" s="1"/>
  <c r="AJ78" i="181"/>
  <c r="AG78" i="181"/>
  <c r="AH78" i="181" s="1"/>
  <c r="AI78" i="181" s="1"/>
  <c r="AJ77" i="181"/>
  <c r="AG77" i="181"/>
  <c r="AH77" i="181" s="1"/>
  <c r="AI77" i="181" s="1"/>
  <c r="AJ76" i="181"/>
  <c r="AG76" i="181"/>
  <c r="AH76" i="181" s="1"/>
  <c r="AI76" i="181" s="1"/>
  <c r="AJ75" i="181"/>
  <c r="AG75" i="181"/>
  <c r="AH75" i="181" s="1"/>
  <c r="AI75" i="181" s="1"/>
  <c r="AJ86" i="175"/>
  <c r="AG86" i="175"/>
  <c r="AJ85" i="175"/>
  <c r="AG85" i="175"/>
  <c r="AJ84" i="175"/>
  <c r="AG84" i="175"/>
  <c r="AJ83" i="175"/>
  <c r="AG83" i="175"/>
  <c r="AJ82" i="175"/>
  <c r="AG82" i="175"/>
  <c r="AJ81" i="175"/>
  <c r="AG81" i="175"/>
  <c r="AJ80" i="175"/>
  <c r="AG80" i="175"/>
  <c r="AJ79" i="175"/>
  <c r="AG79" i="175"/>
  <c r="AJ78" i="175"/>
  <c r="AG78" i="175"/>
  <c r="AJ77" i="175"/>
  <c r="AG77" i="175"/>
  <c r="AJ76" i="175"/>
  <c r="AG76" i="175"/>
  <c r="AJ75" i="175"/>
  <c r="AG75" i="175"/>
  <c r="AJ86" i="179"/>
  <c r="AG86" i="179"/>
  <c r="AJ85" i="179"/>
  <c r="AG85" i="179"/>
  <c r="AJ84" i="179"/>
  <c r="AG84" i="179"/>
  <c r="AJ83" i="179"/>
  <c r="AG83" i="179"/>
  <c r="AJ82" i="179"/>
  <c r="AG82" i="179"/>
  <c r="AJ81" i="179"/>
  <c r="AG81" i="179"/>
  <c r="AJ80" i="179"/>
  <c r="AG80" i="179"/>
  <c r="AJ79" i="179"/>
  <c r="AG79" i="179"/>
  <c r="AJ78" i="179"/>
  <c r="AG78" i="179"/>
  <c r="AJ77" i="179"/>
  <c r="AG77" i="179"/>
  <c r="AJ76" i="179"/>
  <c r="AG76" i="179"/>
  <c r="AJ75" i="179"/>
  <c r="AG75" i="179"/>
  <c r="AJ86" i="180"/>
  <c r="AG86" i="180"/>
  <c r="AJ85" i="180"/>
  <c r="AG85" i="180"/>
  <c r="AJ84" i="180"/>
  <c r="AG84" i="180"/>
  <c r="AJ83" i="180"/>
  <c r="AG83" i="180"/>
  <c r="AJ82" i="180"/>
  <c r="AG82" i="180"/>
  <c r="AJ81" i="180"/>
  <c r="AG81" i="180"/>
  <c r="AJ80" i="180"/>
  <c r="AG80" i="180"/>
  <c r="AJ79" i="180"/>
  <c r="AG79" i="180"/>
  <c r="AJ78" i="180"/>
  <c r="AG78" i="180"/>
  <c r="AJ77" i="180"/>
  <c r="AG77" i="180"/>
  <c r="AJ76" i="180"/>
  <c r="AG76" i="180"/>
  <c r="AH76" i="180" s="1"/>
  <c r="AI76" i="180" s="1"/>
  <c r="AJ75" i="180"/>
  <c r="AG75" i="180"/>
  <c r="AJ86" i="182"/>
  <c r="AG86" i="182"/>
  <c r="AJ85" i="182"/>
  <c r="AG85" i="182"/>
  <c r="AJ84" i="182"/>
  <c r="AG84" i="182"/>
  <c r="AJ83" i="182"/>
  <c r="AG83" i="182"/>
  <c r="AJ82" i="182"/>
  <c r="AG82" i="182"/>
  <c r="AJ81" i="182"/>
  <c r="AG81" i="182"/>
  <c r="AJ80" i="182"/>
  <c r="AG80" i="182"/>
  <c r="AJ79" i="182"/>
  <c r="AG79" i="182"/>
  <c r="AJ78" i="182"/>
  <c r="AG78" i="182"/>
  <c r="AJ77" i="182"/>
  <c r="AG77" i="182"/>
  <c r="AH77" i="182" s="1"/>
  <c r="AI77" i="182" s="1"/>
  <c r="AJ76" i="182"/>
  <c r="AG76" i="182"/>
  <c r="AH76" i="182" s="1"/>
  <c r="AI76" i="182" s="1"/>
  <c r="AJ75" i="182"/>
  <c r="AG75" i="182"/>
  <c r="AJ86" i="183"/>
  <c r="AG86" i="183"/>
  <c r="AJ85" i="183"/>
  <c r="AG85" i="183"/>
  <c r="AJ84" i="183"/>
  <c r="AG84" i="183"/>
  <c r="AJ83" i="183"/>
  <c r="AG83" i="183"/>
  <c r="AJ82" i="183"/>
  <c r="AG82" i="183"/>
  <c r="AJ81" i="183"/>
  <c r="AG81" i="183"/>
  <c r="AJ80" i="183"/>
  <c r="AG80" i="183"/>
  <c r="AJ79" i="183"/>
  <c r="AG79" i="183"/>
  <c r="AJ78" i="183"/>
  <c r="AG78" i="183"/>
  <c r="AJ77" i="183"/>
  <c r="AG77" i="183"/>
  <c r="AJ76" i="183"/>
  <c r="AG76" i="183"/>
  <c r="AJ75" i="183"/>
  <c r="AG75" i="183"/>
  <c r="AH75" i="183" s="1"/>
  <c r="AI75" i="183" s="1"/>
  <c r="AJ86" i="184"/>
  <c r="AG86" i="184"/>
  <c r="AJ85" i="184"/>
  <c r="AG85" i="184"/>
  <c r="AJ84" i="184"/>
  <c r="AG84" i="184"/>
  <c r="AJ83" i="184"/>
  <c r="AG83" i="184"/>
  <c r="AJ82" i="184"/>
  <c r="AG82" i="184"/>
  <c r="AJ81" i="184"/>
  <c r="AG81" i="184"/>
  <c r="AJ80" i="184"/>
  <c r="AG80" i="184"/>
  <c r="AJ79" i="184"/>
  <c r="AG79" i="184"/>
  <c r="AJ78" i="184"/>
  <c r="AG78" i="184"/>
  <c r="AJ77" i="184"/>
  <c r="AG77" i="184"/>
  <c r="AJ76" i="184"/>
  <c r="AG76" i="184"/>
  <c r="AH76" i="184" s="1"/>
  <c r="AI76" i="184" s="1"/>
  <c r="AJ75" i="184"/>
  <c r="AG75" i="184"/>
  <c r="AH75" i="184" s="1"/>
  <c r="AI75" i="184" s="1"/>
  <c r="AJ86" i="185"/>
  <c r="AG86" i="185"/>
  <c r="AJ85" i="185"/>
  <c r="AG85" i="185"/>
  <c r="AJ84" i="185"/>
  <c r="AG84" i="185"/>
  <c r="AJ83" i="185"/>
  <c r="AG83" i="185"/>
  <c r="AJ82" i="185"/>
  <c r="AG82" i="185"/>
  <c r="AJ81" i="185"/>
  <c r="AG81" i="185"/>
  <c r="AJ80" i="185"/>
  <c r="AG80" i="185"/>
  <c r="AJ79" i="185"/>
  <c r="AG79" i="185"/>
  <c r="AJ78" i="185"/>
  <c r="AG78" i="185"/>
  <c r="AJ77" i="185"/>
  <c r="AG77" i="185"/>
  <c r="AJ76" i="185"/>
  <c r="AG76" i="185"/>
  <c r="AH76" i="185" s="1"/>
  <c r="AI76" i="185" s="1"/>
  <c r="AJ75" i="185"/>
  <c r="AG75" i="185"/>
  <c r="AH75" i="185" s="1"/>
  <c r="AI75" i="185" s="1"/>
  <c r="AJ86" i="186"/>
  <c r="AG86" i="186"/>
  <c r="AJ85" i="186"/>
  <c r="AG85" i="186"/>
  <c r="AJ84" i="186"/>
  <c r="AG84" i="186"/>
  <c r="AJ83" i="186"/>
  <c r="AG83" i="186"/>
  <c r="AJ82" i="186"/>
  <c r="AG82" i="186"/>
  <c r="AJ81" i="186"/>
  <c r="AG81" i="186"/>
  <c r="AJ80" i="186"/>
  <c r="AG80" i="186"/>
  <c r="AJ79" i="186"/>
  <c r="AG79" i="186"/>
  <c r="AJ78" i="186"/>
  <c r="AG78" i="186"/>
  <c r="AJ77" i="186"/>
  <c r="AG77" i="186"/>
  <c r="AJ76" i="186"/>
  <c r="AG76" i="186"/>
  <c r="AH76" i="186" s="1"/>
  <c r="AI76" i="186" s="1"/>
  <c r="AJ75" i="186"/>
  <c r="AG75" i="186"/>
  <c r="AJ86" i="187"/>
  <c r="AG86" i="187"/>
  <c r="AJ85" i="187"/>
  <c r="AG85" i="187"/>
  <c r="AJ84" i="187"/>
  <c r="AG84" i="187"/>
  <c r="AJ83" i="187"/>
  <c r="AG83" i="187"/>
  <c r="AJ82" i="187"/>
  <c r="AG82" i="187"/>
  <c r="AJ81" i="187"/>
  <c r="AG81" i="187"/>
  <c r="AJ80" i="187"/>
  <c r="AG80" i="187"/>
  <c r="AJ79" i="187"/>
  <c r="AG79" i="187"/>
  <c r="AH79" i="187" s="1"/>
  <c r="AI79" i="187" s="1"/>
  <c r="AJ78" i="187"/>
  <c r="AG78" i="187"/>
  <c r="AJ77" i="187"/>
  <c r="AG77" i="187"/>
  <c r="AH77" i="187" s="1"/>
  <c r="AI77" i="187" s="1"/>
  <c r="AJ76" i="187"/>
  <c r="AG76" i="187"/>
  <c r="AH76" i="187" s="1"/>
  <c r="AI76" i="187" s="1"/>
  <c r="AJ75" i="187"/>
  <c r="AG75" i="187"/>
  <c r="AH75" i="187" s="1"/>
  <c r="AI75" i="187" s="1"/>
  <c r="AJ86" i="188"/>
  <c r="AG86" i="188"/>
  <c r="AJ85" i="188"/>
  <c r="AG85" i="188"/>
  <c r="AJ84" i="188"/>
  <c r="AG84" i="188"/>
  <c r="AJ83" i="188"/>
  <c r="AG83" i="188"/>
  <c r="AJ82" i="188"/>
  <c r="AG82" i="188"/>
  <c r="AJ81" i="188"/>
  <c r="AG81" i="188"/>
  <c r="AJ80" i="188"/>
  <c r="AG80" i="188"/>
  <c r="AJ79" i="188"/>
  <c r="AG79" i="188"/>
  <c r="AH79" i="188" s="1"/>
  <c r="AI79" i="188" s="1"/>
  <c r="AJ78" i="188"/>
  <c r="AG78" i="188"/>
  <c r="AJ77" i="188"/>
  <c r="AG77" i="188"/>
  <c r="AH77" i="188" s="1"/>
  <c r="AI77" i="188" s="1"/>
  <c r="AJ76" i="188"/>
  <c r="AG76" i="188"/>
  <c r="AH76" i="188" s="1"/>
  <c r="AI76" i="188" s="1"/>
  <c r="AJ75" i="188"/>
  <c r="AG75" i="188"/>
  <c r="AH75" i="188" s="1"/>
  <c r="AI75" i="188" s="1"/>
  <c r="AJ86" i="189"/>
  <c r="AG86" i="189"/>
  <c r="AJ85" i="189"/>
  <c r="AG85" i="189"/>
  <c r="AJ84" i="189"/>
  <c r="AG84" i="189"/>
  <c r="AJ83" i="189"/>
  <c r="AG83" i="189"/>
  <c r="AJ82" i="189"/>
  <c r="AG82" i="189"/>
  <c r="AJ81" i="189"/>
  <c r="AG81" i="189"/>
  <c r="AJ80" i="189"/>
  <c r="AG80" i="189"/>
  <c r="AJ79" i="189"/>
  <c r="AG79" i="189"/>
  <c r="AH79" i="189" s="1"/>
  <c r="AI79" i="189" s="1"/>
  <c r="AJ78" i="189"/>
  <c r="AG78" i="189"/>
  <c r="AJ77" i="189"/>
  <c r="AG77" i="189"/>
  <c r="AH77" i="189" s="1"/>
  <c r="AI77" i="189" s="1"/>
  <c r="AJ76" i="189"/>
  <c r="AG76" i="189"/>
  <c r="AH76" i="189" s="1"/>
  <c r="AI76" i="189" s="1"/>
  <c r="AJ75" i="189"/>
  <c r="AG75" i="189"/>
  <c r="AH75" i="189" s="1"/>
  <c r="AI75" i="189" s="1"/>
  <c r="AJ86" i="190"/>
  <c r="AG86" i="190"/>
  <c r="AJ85" i="190"/>
  <c r="AG85" i="190"/>
  <c r="AH85" i="190" s="1"/>
  <c r="AI85" i="190" s="1"/>
  <c r="AJ84" i="190"/>
  <c r="AG84" i="190"/>
  <c r="AH84" i="190" s="1"/>
  <c r="AI84" i="190" s="1"/>
  <c r="AJ83" i="190"/>
  <c r="AG83" i="190"/>
  <c r="AH83" i="190" s="1"/>
  <c r="AI83" i="190" s="1"/>
  <c r="AJ82" i="190"/>
  <c r="AG82" i="190"/>
  <c r="AH82" i="190" s="1"/>
  <c r="AI82" i="190" s="1"/>
  <c r="AJ81" i="190"/>
  <c r="AG81" i="190"/>
  <c r="AH81" i="190" s="1"/>
  <c r="AI81" i="190" s="1"/>
  <c r="AJ80" i="190"/>
  <c r="AG80" i="190"/>
  <c r="AH80" i="190" s="1"/>
  <c r="AI80" i="190" s="1"/>
  <c r="AJ79" i="190"/>
  <c r="AG79" i="190"/>
  <c r="AH79" i="190" s="1"/>
  <c r="AI79" i="190" s="1"/>
  <c r="AJ78" i="190"/>
  <c r="AG78" i="190"/>
  <c r="AH78" i="190" s="1"/>
  <c r="AI78" i="190" s="1"/>
  <c r="AJ77" i="190"/>
  <c r="AG77" i="190"/>
  <c r="AH77" i="190" s="1"/>
  <c r="AI77" i="190" s="1"/>
  <c r="AJ76" i="190"/>
  <c r="AG76" i="190"/>
  <c r="AH76" i="190" s="1"/>
  <c r="AI76" i="190" s="1"/>
  <c r="AJ75" i="190"/>
  <c r="AG75" i="190"/>
  <c r="AH75" i="190" s="1"/>
  <c r="AI75" i="190" s="1"/>
  <c r="AJ86" i="191"/>
  <c r="AG86" i="191"/>
  <c r="AJ85" i="191"/>
  <c r="AG85" i="191"/>
  <c r="AJ84" i="191"/>
  <c r="AG84" i="191"/>
  <c r="AJ83" i="191"/>
  <c r="AG83" i="191"/>
  <c r="AJ82" i="191"/>
  <c r="AG82" i="191"/>
  <c r="AJ81" i="191"/>
  <c r="AG81" i="191"/>
  <c r="AJ80" i="191"/>
  <c r="AG80" i="191"/>
  <c r="AJ79" i="191"/>
  <c r="AG79" i="191"/>
  <c r="AJ78" i="191"/>
  <c r="AG78" i="191"/>
  <c r="AJ77" i="191"/>
  <c r="AG77" i="191"/>
  <c r="AH77" i="191" s="1"/>
  <c r="AI77" i="191" s="1"/>
  <c r="AJ76" i="191"/>
  <c r="AG76" i="191"/>
  <c r="AH76" i="191" s="1"/>
  <c r="AI76" i="191" s="1"/>
  <c r="AJ75" i="191"/>
  <c r="AG75" i="191"/>
  <c r="AJ86" i="192"/>
  <c r="AG86" i="192"/>
  <c r="AJ85" i="192"/>
  <c r="AG85" i="192"/>
  <c r="AJ84" i="192"/>
  <c r="AG84" i="192"/>
  <c r="AJ83" i="192"/>
  <c r="AG83" i="192"/>
  <c r="AJ82" i="192"/>
  <c r="AG82" i="192"/>
  <c r="AJ81" i="192"/>
  <c r="AG81" i="192"/>
  <c r="AJ80" i="192"/>
  <c r="AG80" i="192"/>
  <c r="AJ79" i="192"/>
  <c r="AG79" i="192"/>
  <c r="AJ78" i="192"/>
  <c r="AG78" i="192"/>
  <c r="AJ77" i="192"/>
  <c r="AG77" i="192"/>
  <c r="AJ76" i="192"/>
  <c r="AG76" i="192"/>
  <c r="AH76" i="192" s="1"/>
  <c r="AI76" i="192" s="1"/>
  <c r="AJ75" i="192"/>
  <c r="AG75" i="192"/>
  <c r="AJ86" i="193"/>
  <c r="AG86" i="193"/>
  <c r="AJ85" i="193"/>
  <c r="AG85" i="193"/>
  <c r="AJ84" i="193"/>
  <c r="AG84" i="193"/>
  <c r="AJ83" i="193"/>
  <c r="AG83" i="193"/>
  <c r="AJ82" i="193"/>
  <c r="AG82" i="193"/>
  <c r="AJ81" i="193"/>
  <c r="AG81" i="193"/>
  <c r="AJ80" i="193"/>
  <c r="AG80" i="193"/>
  <c r="AJ79" i="193"/>
  <c r="AG79" i="193"/>
  <c r="AJ78" i="193"/>
  <c r="AG78" i="193"/>
  <c r="AJ77" i="193"/>
  <c r="AG77" i="193"/>
  <c r="AJ76" i="193"/>
  <c r="AG76" i="193"/>
  <c r="AH76" i="193" s="1"/>
  <c r="AI76" i="193" s="1"/>
  <c r="AJ75" i="193"/>
  <c r="AG75" i="193"/>
  <c r="AJ86" i="194"/>
  <c r="AG86" i="194"/>
  <c r="AJ85" i="194"/>
  <c r="AG85" i="194"/>
  <c r="AJ84" i="194"/>
  <c r="AG84" i="194"/>
  <c r="AJ83" i="194"/>
  <c r="AG83" i="194"/>
  <c r="AJ82" i="194"/>
  <c r="AG82" i="194"/>
  <c r="AJ81" i="194"/>
  <c r="AG81" i="194"/>
  <c r="AJ80" i="194"/>
  <c r="AG80" i="194"/>
  <c r="AJ79" i="194"/>
  <c r="AG79" i="194"/>
  <c r="AJ78" i="194"/>
  <c r="AG78" i="194"/>
  <c r="AH78" i="194" s="1"/>
  <c r="AI78" i="194" s="1"/>
  <c r="AJ77" i="194"/>
  <c r="AG77" i="194"/>
  <c r="AH77" i="194" s="1"/>
  <c r="AI77" i="194" s="1"/>
  <c r="AJ76" i="194"/>
  <c r="AG76" i="194"/>
  <c r="AH76" i="194" s="1"/>
  <c r="AI76" i="194" s="1"/>
  <c r="AJ75" i="194"/>
  <c r="AG75" i="194"/>
  <c r="AH75" i="194" s="1"/>
  <c r="AI75" i="194" s="1"/>
  <c r="AJ86" i="195"/>
  <c r="AG86" i="195"/>
  <c r="AJ85" i="195"/>
  <c r="AG85" i="195"/>
  <c r="AJ84" i="195"/>
  <c r="AG84" i="195"/>
  <c r="AJ83" i="195"/>
  <c r="AG83" i="195"/>
  <c r="AJ82" i="195"/>
  <c r="AG82" i="195"/>
  <c r="AJ81" i="195"/>
  <c r="AG81" i="195"/>
  <c r="AJ80" i="195"/>
  <c r="AG80" i="195"/>
  <c r="AJ79" i="195"/>
  <c r="AG79" i="195"/>
  <c r="AJ78" i="195"/>
  <c r="AG78" i="195"/>
  <c r="AJ77" i="195"/>
  <c r="AG77" i="195"/>
  <c r="AJ76" i="195"/>
  <c r="AG76" i="195"/>
  <c r="AH76" i="195" s="1"/>
  <c r="AI76" i="195" s="1"/>
  <c r="AJ75" i="195"/>
  <c r="AG75" i="195"/>
  <c r="AJ86" i="196"/>
  <c r="AG86" i="196"/>
  <c r="AJ85" i="196"/>
  <c r="AG85" i="196"/>
  <c r="AJ84" i="196"/>
  <c r="AG84" i="196"/>
  <c r="AJ83" i="196"/>
  <c r="AG83" i="196"/>
  <c r="AJ82" i="196"/>
  <c r="AG82" i="196"/>
  <c r="AH82" i="196" s="1"/>
  <c r="AI82" i="196" s="1"/>
  <c r="AJ81" i="196"/>
  <c r="AG81" i="196"/>
  <c r="AH81" i="196" s="1"/>
  <c r="AI81" i="196" s="1"/>
  <c r="AJ80" i="196"/>
  <c r="AG80" i="196"/>
  <c r="AH80" i="196" s="1"/>
  <c r="AI80" i="196" s="1"/>
  <c r="AJ79" i="196"/>
  <c r="AG79" i="196"/>
  <c r="AH79" i="196" s="1"/>
  <c r="AI79" i="196" s="1"/>
  <c r="AJ78" i="196"/>
  <c r="AG78" i="196"/>
  <c r="AJ77" i="196"/>
  <c r="AG77" i="196"/>
  <c r="AH77" i="196" s="1"/>
  <c r="AI77" i="196" s="1"/>
  <c r="AJ76" i="196"/>
  <c r="AG76" i="196"/>
  <c r="AH76" i="196" s="1"/>
  <c r="AI76" i="196" s="1"/>
  <c r="AJ75" i="196"/>
  <c r="AG75" i="196"/>
  <c r="AH75" i="196" s="1"/>
  <c r="AI75" i="196" s="1"/>
  <c r="AJ86" i="197"/>
  <c r="AG86" i="197"/>
  <c r="AJ85" i="197"/>
  <c r="AG85" i="197"/>
  <c r="AJ84" i="197"/>
  <c r="AG84" i="197"/>
  <c r="AJ83" i="197"/>
  <c r="AG83" i="197"/>
  <c r="AJ82" i="197"/>
  <c r="AG82" i="197"/>
  <c r="AJ81" i="197"/>
  <c r="AG81" i="197"/>
  <c r="AJ80" i="197"/>
  <c r="AG80" i="197"/>
  <c r="AJ79" i="197"/>
  <c r="AG79" i="197"/>
  <c r="AJ78" i="197"/>
  <c r="AG78" i="197"/>
  <c r="AJ77" i="197"/>
  <c r="AG77" i="197"/>
  <c r="AJ76" i="197"/>
  <c r="AG76" i="197"/>
  <c r="AH76" i="197" s="1"/>
  <c r="AI76" i="197" s="1"/>
  <c r="AJ75" i="197"/>
  <c r="AG75" i="197"/>
  <c r="AH75" i="197" s="1"/>
  <c r="AI75" i="197" s="1"/>
  <c r="AJ86" i="198"/>
  <c r="AG86" i="198"/>
  <c r="AJ85" i="198"/>
  <c r="AG85" i="198"/>
  <c r="AJ84" i="198"/>
  <c r="AG84" i="198"/>
  <c r="AJ83" i="198"/>
  <c r="AG83" i="198"/>
  <c r="AJ82" i="198"/>
  <c r="AG82" i="198"/>
  <c r="AJ81" i="198"/>
  <c r="AG81" i="198"/>
  <c r="AJ80" i="198"/>
  <c r="AG80" i="198"/>
  <c r="AJ79" i="198"/>
  <c r="AG79" i="198"/>
  <c r="AJ78" i="198"/>
  <c r="AG78" i="198"/>
  <c r="AJ77" i="198"/>
  <c r="AG77" i="198"/>
  <c r="AJ76" i="198"/>
  <c r="AG76" i="198"/>
  <c r="AH76" i="198" s="1"/>
  <c r="AI76" i="198" s="1"/>
  <c r="AJ75" i="198"/>
  <c r="AG75" i="198"/>
  <c r="AH75" i="198" s="1"/>
  <c r="AI75" i="198" s="1"/>
  <c r="AJ86" i="199"/>
  <c r="AG86" i="199"/>
  <c r="AJ85" i="199"/>
  <c r="AG85" i="199"/>
  <c r="AJ84" i="199"/>
  <c r="AG84" i="199"/>
  <c r="AJ83" i="199"/>
  <c r="AG83" i="199"/>
  <c r="AJ82" i="199"/>
  <c r="AG82" i="199"/>
  <c r="AJ81" i="199"/>
  <c r="AG81" i="199"/>
  <c r="AJ80" i="199"/>
  <c r="AG80" i="199"/>
  <c r="AJ79" i="199"/>
  <c r="AG79" i="199"/>
  <c r="AJ78" i="199"/>
  <c r="AG78" i="199"/>
  <c r="AJ77" i="199"/>
  <c r="AG77" i="199"/>
  <c r="AJ76" i="199"/>
  <c r="AG76" i="199"/>
  <c r="AH76" i="199" s="1"/>
  <c r="AI76" i="199" s="1"/>
  <c r="AJ75" i="199"/>
  <c r="AG75" i="199"/>
  <c r="AH75" i="199" s="1"/>
  <c r="AI75" i="199" s="1"/>
  <c r="AJ86" i="200"/>
  <c r="AG86" i="200"/>
  <c r="AJ85" i="200"/>
  <c r="AG85" i="200"/>
  <c r="AJ84" i="200"/>
  <c r="AG84" i="200"/>
  <c r="AJ83" i="200"/>
  <c r="AG83" i="200"/>
  <c r="AJ82" i="200"/>
  <c r="AG82" i="200"/>
  <c r="AJ81" i="200"/>
  <c r="AG81" i="200"/>
  <c r="AJ80" i="200"/>
  <c r="AG80" i="200"/>
  <c r="AJ79" i="200"/>
  <c r="AG79" i="200"/>
  <c r="AJ78" i="200"/>
  <c r="AG78" i="200"/>
  <c r="AJ77" i="200"/>
  <c r="AG77" i="200"/>
  <c r="AJ76" i="200"/>
  <c r="AG76" i="200"/>
  <c r="AH76" i="200" s="1"/>
  <c r="AI76" i="200" s="1"/>
  <c r="AJ75" i="200"/>
  <c r="AG75" i="200"/>
  <c r="AH75" i="200" s="1"/>
  <c r="AI75" i="200" s="1"/>
  <c r="AJ86" i="201"/>
  <c r="AG86" i="201"/>
  <c r="AJ85" i="201"/>
  <c r="AG85" i="201"/>
  <c r="AJ84" i="201"/>
  <c r="AG84" i="201"/>
  <c r="AJ83" i="201"/>
  <c r="AG83" i="201"/>
  <c r="AJ82" i="201"/>
  <c r="AG82" i="201"/>
  <c r="AJ81" i="201"/>
  <c r="AG81" i="201"/>
  <c r="AJ80" i="201"/>
  <c r="AG80" i="201"/>
  <c r="AJ79" i="201"/>
  <c r="AG79" i="201"/>
  <c r="AJ78" i="201"/>
  <c r="AG78" i="201"/>
  <c r="AJ77" i="201"/>
  <c r="AG77" i="201"/>
  <c r="AJ76" i="201"/>
  <c r="AG76" i="201"/>
  <c r="AJ75" i="201"/>
  <c r="AG75" i="201"/>
  <c r="AH75" i="201" s="1"/>
  <c r="AI75" i="201" s="1"/>
  <c r="AJ86" i="202"/>
  <c r="AG86" i="202"/>
  <c r="AJ85" i="202"/>
  <c r="AG85" i="202"/>
  <c r="AJ84" i="202"/>
  <c r="AG84" i="202"/>
  <c r="AJ83" i="202"/>
  <c r="AG83" i="202"/>
  <c r="AJ82" i="202"/>
  <c r="AG82" i="202"/>
  <c r="AJ81" i="202"/>
  <c r="AG81" i="202"/>
  <c r="AJ80" i="202"/>
  <c r="AG80" i="202"/>
  <c r="AJ79" i="202"/>
  <c r="AG79" i="202"/>
  <c r="AH79" i="202" s="1"/>
  <c r="AI79" i="202" s="1"/>
  <c r="AJ78" i="202"/>
  <c r="AG78" i="202"/>
  <c r="AH78" i="202" s="1"/>
  <c r="AI78" i="202" s="1"/>
  <c r="AJ77" i="202"/>
  <c r="AG77" i="202"/>
  <c r="AH77" i="202" s="1"/>
  <c r="AI77" i="202" s="1"/>
  <c r="AJ76" i="202"/>
  <c r="AG76" i="202"/>
  <c r="AH76" i="202" s="1"/>
  <c r="AI76" i="202" s="1"/>
  <c r="AJ75" i="202"/>
  <c r="AG75" i="202"/>
  <c r="AH75" i="202" s="1"/>
  <c r="AI75" i="202" s="1"/>
  <c r="AJ86" i="1"/>
  <c r="AG86" i="1"/>
  <c r="AJ85" i="1"/>
  <c r="AG85" i="1"/>
  <c r="AJ84" i="1"/>
  <c r="AG84" i="1"/>
  <c r="AJ83" i="1"/>
  <c r="AG83" i="1"/>
  <c r="AJ82" i="1"/>
  <c r="AG82" i="1"/>
  <c r="AJ81" i="1"/>
  <c r="AG81" i="1"/>
  <c r="AJ80" i="1"/>
  <c r="AG80" i="1"/>
  <c r="AJ79" i="1"/>
  <c r="AG79" i="1"/>
  <c r="AJ78" i="1"/>
  <c r="AG78" i="1"/>
  <c r="AJ77" i="1"/>
  <c r="AG77" i="1"/>
  <c r="AJ76" i="1"/>
  <c r="AG76" i="1"/>
  <c r="AJ75" i="1"/>
  <c r="AG75" i="1"/>
  <c r="AK76" i="59" l="1"/>
  <c r="AK78" i="9"/>
  <c r="AK76" i="8"/>
  <c r="AK76" i="4"/>
  <c r="AK80" i="4"/>
  <c r="AK76" i="3"/>
  <c r="AK76" i="58"/>
  <c r="AK76" i="68"/>
  <c r="AK79" i="68"/>
  <c r="AK76" i="69"/>
  <c r="AK75" i="67"/>
  <c r="AK77" i="67"/>
  <c r="AK79" i="67"/>
  <c r="AK79" i="66"/>
  <c r="AK75" i="65"/>
  <c r="AK79" i="65"/>
  <c r="AK79" i="38"/>
  <c r="AK79" i="37"/>
  <c r="AK75" i="6"/>
  <c r="AK78" i="92"/>
  <c r="AH83" i="100"/>
  <c r="AI83" i="100" s="1"/>
  <c r="AK76" i="60"/>
  <c r="AK78" i="60"/>
  <c r="AK77" i="191"/>
  <c r="AK75" i="190"/>
  <c r="AK77" i="190"/>
  <c r="AK79" i="190"/>
  <c r="AK81" i="190"/>
  <c r="AK83" i="190"/>
  <c r="AK85" i="190"/>
  <c r="AK75" i="189"/>
  <c r="AK77" i="189"/>
  <c r="AK79" i="189"/>
  <c r="AK75" i="188"/>
  <c r="AK77" i="188"/>
  <c r="AK76" i="22"/>
  <c r="AK78" i="22"/>
  <c r="AK76" i="16"/>
  <c r="AK76" i="15"/>
  <c r="AK77" i="187"/>
  <c r="AK76" i="13"/>
  <c r="AK76" i="197"/>
  <c r="AK76" i="196"/>
  <c r="AK76" i="194"/>
  <c r="AK78" i="194"/>
  <c r="AK76" i="193"/>
  <c r="AK76" i="177"/>
  <c r="AK78" i="176"/>
  <c r="AK80" i="176"/>
  <c r="AK82" i="176"/>
  <c r="AK84" i="176"/>
  <c r="AK82" i="171"/>
  <c r="AK84" i="171"/>
  <c r="AK82" i="170"/>
  <c r="AK84" i="170"/>
  <c r="AK76" i="169"/>
  <c r="AK76" i="161"/>
  <c r="AK78" i="161"/>
  <c r="AK80" i="161"/>
  <c r="AK84" i="161"/>
  <c r="AK76" i="160"/>
  <c r="AK76" i="153"/>
  <c r="AK76" i="152"/>
  <c r="AK77" i="9"/>
  <c r="AK79" i="187"/>
  <c r="AK75" i="152"/>
  <c r="AK75" i="150"/>
  <c r="AK77" i="150"/>
  <c r="AK75" i="149"/>
  <c r="AK75" i="148"/>
  <c r="AH84" i="1"/>
  <c r="AI84" i="1" s="1"/>
  <c r="AK84" i="1" s="1"/>
  <c r="AH84" i="192"/>
  <c r="AI84" i="192" s="1"/>
  <c r="AK84" i="192" s="1"/>
  <c r="AK75" i="158"/>
  <c r="AK75" i="153"/>
  <c r="AK77" i="149"/>
  <c r="AK77" i="125"/>
  <c r="AK75" i="124"/>
  <c r="AK75" i="122"/>
  <c r="AK75" i="120"/>
  <c r="AK75" i="118"/>
  <c r="AK79" i="118"/>
  <c r="AH76" i="48"/>
  <c r="AI76" i="48" s="1"/>
  <c r="AK76" i="48" s="1"/>
  <c r="AK76" i="21"/>
  <c r="AK78" i="21"/>
  <c r="AH76" i="11"/>
  <c r="AI76" i="11" s="1"/>
  <c r="AK76" i="11" s="1"/>
  <c r="AK82" i="2"/>
  <c r="AK75" i="73"/>
  <c r="AK79" i="70"/>
  <c r="AK75" i="64"/>
  <c r="AK77" i="64"/>
  <c r="AK79" i="63"/>
  <c r="AK75" i="62"/>
  <c r="AH77" i="193"/>
  <c r="AI77" i="193" s="1"/>
  <c r="AK77" i="193" s="1"/>
  <c r="AH77" i="178"/>
  <c r="AI77" i="178" s="1"/>
  <c r="AK77" i="178" s="1"/>
  <c r="AK75" i="177"/>
  <c r="AK75" i="176"/>
  <c r="AK77" i="176"/>
  <c r="AK79" i="176"/>
  <c r="AK85" i="176"/>
  <c r="AK75" i="203"/>
  <c r="AK75" i="174"/>
  <c r="AK77" i="173"/>
  <c r="AK79" i="173"/>
  <c r="AK75" i="172"/>
  <c r="AK77" i="170"/>
  <c r="AK79" i="170"/>
  <c r="AK78" i="74"/>
  <c r="AH76" i="162"/>
  <c r="AI76" i="162" s="1"/>
  <c r="AK76" i="162" s="1"/>
  <c r="AK80" i="160"/>
  <c r="AH76" i="154"/>
  <c r="AI76" i="154" s="1"/>
  <c r="AK76" i="154" s="1"/>
  <c r="AK76" i="148"/>
  <c r="AK76" i="143"/>
  <c r="AK76" i="141"/>
  <c r="AK76" i="139"/>
  <c r="AK76" i="134"/>
  <c r="AK82" i="3"/>
  <c r="AK80" i="2"/>
  <c r="AK76" i="108"/>
  <c r="AH76" i="80"/>
  <c r="AI76" i="80" s="1"/>
  <c r="AK76" i="80" s="1"/>
  <c r="AH76" i="79"/>
  <c r="AI76" i="79" s="1"/>
  <c r="AK76" i="79" s="1"/>
  <c r="AK82" i="85"/>
  <c r="AH77" i="11"/>
  <c r="AI77" i="11" s="1"/>
  <c r="AK77" i="11" s="1"/>
  <c r="AH79" i="11"/>
  <c r="AI79" i="11" s="1"/>
  <c r="AK79" i="11" s="1"/>
  <c r="AK75" i="10"/>
  <c r="AK77" i="10"/>
  <c r="AK76" i="136"/>
  <c r="AK78" i="128"/>
  <c r="AK76" i="126"/>
  <c r="AK77" i="93"/>
  <c r="AK77" i="92"/>
  <c r="AK79" i="92"/>
  <c r="AK77" i="91"/>
  <c r="AH77" i="89"/>
  <c r="AI77" i="89" s="1"/>
  <c r="AK77" i="89" s="1"/>
  <c r="AH77" i="82"/>
  <c r="AI77" i="82" s="1"/>
  <c r="AK77" i="82" s="1"/>
  <c r="AK76" i="34"/>
  <c r="AK78" i="34"/>
  <c r="AK78" i="30"/>
  <c r="AK75" i="18"/>
  <c r="AK75" i="17"/>
  <c r="AK75" i="16"/>
  <c r="AK76" i="9"/>
  <c r="AK81" i="4"/>
  <c r="AK75" i="3"/>
  <c r="AK77" i="3"/>
  <c r="AK79" i="3"/>
  <c r="AK81" i="3"/>
  <c r="AK75" i="2"/>
  <c r="AK76" i="192"/>
  <c r="AK76" i="191"/>
  <c r="AK76" i="190"/>
  <c r="AK82" i="190"/>
  <c r="AK84" i="190"/>
  <c r="AK76" i="189"/>
  <c r="AK76" i="166"/>
  <c r="AK76" i="165"/>
  <c r="AK76" i="164"/>
  <c r="AH76" i="159"/>
  <c r="AI76" i="159" s="1"/>
  <c r="AK76" i="159" s="1"/>
  <c r="AK76" i="93"/>
  <c r="AH76" i="78"/>
  <c r="AI76" i="78" s="1"/>
  <c r="AK76" i="78" s="1"/>
  <c r="AK76" i="74"/>
  <c r="AK75" i="72"/>
  <c r="AK75" i="71"/>
  <c r="AH79" i="193"/>
  <c r="AI79" i="193" s="1"/>
  <c r="AK79" i="193" s="1"/>
  <c r="AH76" i="144"/>
  <c r="AI76" i="144" s="1"/>
  <c r="AK76" i="144" s="1"/>
  <c r="AK76" i="142"/>
  <c r="AK76" i="138"/>
  <c r="AH86" i="121"/>
  <c r="AI86" i="121" s="1"/>
  <c r="AK86" i="121" s="1"/>
  <c r="AH79" i="119"/>
  <c r="AI79" i="119" s="1"/>
  <c r="AK79" i="119" s="1"/>
  <c r="AK75" i="117"/>
  <c r="AK79" i="115"/>
  <c r="AH79" i="28"/>
  <c r="AI79" i="28" s="1"/>
  <c r="AK79" i="28" s="1"/>
  <c r="AH79" i="123"/>
  <c r="AI79" i="123" s="1"/>
  <c r="AK79" i="123" s="1"/>
  <c r="AH78" i="195"/>
  <c r="AI78" i="195" s="1"/>
  <c r="AK78" i="195" s="1"/>
  <c r="AH77" i="185"/>
  <c r="AI77" i="185" s="1"/>
  <c r="AK75" i="184"/>
  <c r="AK75" i="183"/>
  <c r="AK77" i="182"/>
  <c r="AH77" i="175"/>
  <c r="AI77" i="175" s="1"/>
  <c r="AK77" i="175" s="1"/>
  <c r="AH76" i="158"/>
  <c r="AI76" i="158" s="1"/>
  <c r="AK76" i="158" s="1"/>
  <c r="AH76" i="157"/>
  <c r="AI76" i="157" s="1"/>
  <c r="AK76" i="157" s="1"/>
  <c r="AH77" i="151"/>
  <c r="AI77" i="151" s="1"/>
  <c r="AK77" i="151" s="1"/>
  <c r="AK79" i="149"/>
  <c r="AK75" i="147"/>
  <c r="AK75" i="114"/>
  <c r="AK76" i="107"/>
  <c r="AK78" i="106"/>
  <c r="AK76" i="103"/>
  <c r="AK76" i="99"/>
  <c r="AK75" i="81"/>
  <c r="AK77" i="81"/>
  <c r="AK79" i="81"/>
  <c r="AK81" i="81"/>
  <c r="AK85" i="81"/>
  <c r="AH77" i="84"/>
  <c r="AI77" i="84" s="1"/>
  <c r="AK77" i="84" s="1"/>
  <c r="AK75" i="78"/>
  <c r="AK80" i="85"/>
  <c r="AK77" i="62"/>
  <c r="AK75" i="48"/>
  <c r="AK75" i="36"/>
  <c r="AK76" i="29"/>
  <c r="AK78" i="29"/>
  <c r="AK75" i="26"/>
  <c r="AK79" i="27"/>
  <c r="AK75" i="25"/>
  <c r="AK75" i="24"/>
  <c r="AH80" i="15"/>
  <c r="AI80" i="15" s="1"/>
  <c r="AK80" i="15" s="1"/>
  <c r="AK76" i="14"/>
  <c r="AH79" i="178"/>
  <c r="AI79" i="178" s="1"/>
  <c r="AK79" i="178" s="1"/>
  <c r="AH77" i="203"/>
  <c r="AI77" i="203" s="1"/>
  <c r="AK77" i="203" s="1"/>
  <c r="AK75" i="168"/>
  <c r="AK75" i="167"/>
  <c r="AK75" i="166"/>
  <c r="AK77" i="148"/>
  <c r="AK75" i="144"/>
  <c r="AK75" i="142"/>
  <c r="AK75" i="141"/>
  <c r="AK75" i="137"/>
  <c r="AK77" i="137"/>
  <c r="AK75" i="134"/>
  <c r="AK75" i="133"/>
  <c r="AK75" i="132"/>
  <c r="AK75" i="131"/>
  <c r="AK75" i="130"/>
  <c r="AK75" i="127"/>
  <c r="AH83" i="127"/>
  <c r="AI83" i="127" s="1"/>
  <c r="AK83" i="127" s="1"/>
  <c r="AK76" i="118"/>
  <c r="AK78" i="118"/>
  <c r="AK76" i="116"/>
  <c r="AK78" i="115"/>
  <c r="AK77" i="109"/>
  <c r="AK76" i="92"/>
  <c r="AK76" i="91"/>
  <c r="AH76" i="90"/>
  <c r="AI76" i="90" s="1"/>
  <c r="AK76" i="90" s="1"/>
  <c r="AH76" i="89"/>
  <c r="AI76" i="89" s="1"/>
  <c r="AK76" i="89" s="1"/>
  <c r="AK76" i="82"/>
  <c r="AH83" i="86"/>
  <c r="AI83" i="86" s="1"/>
  <c r="AK83" i="86" s="1"/>
  <c r="AK75" i="85"/>
  <c r="AK79" i="85"/>
  <c r="AK83" i="85"/>
  <c r="AK76" i="64"/>
  <c r="AK78" i="64"/>
  <c r="AK76" i="63"/>
  <c r="AK79" i="62"/>
  <c r="AK75" i="61"/>
  <c r="AK76" i="37"/>
  <c r="AK75" i="34"/>
  <c r="AH79" i="34"/>
  <c r="AI79" i="34" s="1"/>
  <c r="AK79" i="34" s="1"/>
  <c r="AK75" i="30"/>
  <c r="AK77" i="30"/>
  <c r="AK76" i="28"/>
  <c r="AK79" i="22"/>
  <c r="AK75" i="21"/>
  <c r="AK77" i="21"/>
  <c r="AK79" i="21"/>
  <c r="AK75" i="20"/>
  <c r="AK79" i="20"/>
  <c r="AK75" i="19"/>
  <c r="AH85" i="167"/>
  <c r="AI85" i="167" s="1"/>
  <c r="AK85" i="167" s="1"/>
  <c r="AK75" i="202"/>
  <c r="AK77" i="202"/>
  <c r="AK79" i="202"/>
  <c r="AK75" i="201"/>
  <c r="AH77" i="200"/>
  <c r="AI77" i="200" s="1"/>
  <c r="AK77" i="200" s="1"/>
  <c r="AK75" i="199"/>
  <c r="AK75" i="198"/>
  <c r="AK75" i="197"/>
  <c r="AK77" i="196"/>
  <c r="AK76" i="188"/>
  <c r="AK76" i="182"/>
  <c r="AH85" i="180"/>
  <c r="AI85" i="180" s="1"/>
  <c r="AK85" i="180" s="1"/>
  <c r="AK76" i="181"/>
  <c r="AK82" i="181"/>
  <c r="AK84" i="181"/>
  <c r="AK76" i="178"/>
  <c r="AH77" i="158"/>
  <c r="AI77" i="158" s="1"/>
  <c r="AK77" i="158" s="1"/>
  <c r="AK75" i="156"/>
  <c r="AK79" i="156"/>
  <c r="AK83" i="156"/>
  <c r="AK81" i="155"/>
  <c r="AK83" i="155"/>
  <c r="AK85" i="155"/>
  <c r="AK75" i="154"/>
  <c r="AK76" i="151"/>
  <c r="AK78" i="150"/>
  <c r="AK78" i="149"/>
  <c r="AK79" i="136"/>
  <c r="AK75" i="129"/>
  <c r="AK75" i="128"/>
  <c r="AK79" i="128"/>
  <c r="AK75" i="126"/>
  <c r="AK77" i="107"/>
  <c r="AK77" i="106"/>
  <c r="AK77" i="103"/>
  <c r="AK76" i="81"/>
  <c r="AK78" i="81"/>
  <c r="AK80" i="81"/>
  <c r="AK82" i="81"/>
  <c r="AK76" i="35"/>
  <c r="AK79" i="30"/>
  <c r="AK75" i="29"/>
  <c r="AK76" i="27"/>
  <c r="AK78" i="27"/>
  <c r="AK76" i="25"/>
  <c r="AK76" i="24"/>
  <c r="AK78" i="24"/>
  <c r="AK80" i="24"/>
  <c r="AK82" i="24"/>
  <c r="AK75" i="15"/>
  <c r="AK79" i="15"/>
  <c r="AH77" i="8"/>
  <c r="AI77" i="8" s="1"/>
  <c r="AK77" i="8" s="1"/>
  <c r="AK77" i="5"/>
  <c r="AH82" i="165"/>
  <c r="AI82" i="165" s="1"/>
  <c r="AK82" i="165" s="1"/>
  <c r="AH80" i="130"/>
  <c r="AI80" i="130" s="1"/>
  <c r="AK80" i="130" s="1"/>
  <c r="AH77" i="78"/>
  <c r="AI77" i="78" s="1"/>
  <c r="AK77" i="78" s="1"/>
  <c r="AH83" i="26"/>
  <c r="AI83" i="26" s="1"/>
  <c r="AK83" i="26" s="1"/>
  <c r="AH75" i="7"/>
  <c r="AI75" i="7" s="1"/>
  <c r="AK75" i="7" s="1"/>
  <c r="AH78" i="7"/>
  <c r="AI78" i="7" s="1"/>
  <c r="AK78" i="7" s="1"/>
  <c r="AH78" i="162"/>
  <c r="AI78" i="162" s="1"/>
  <c r="AK78" i="162" s="1"/>
  <c r="AH80" i="159"/>
  <c r="AI80" i="159" s="1"/>
  <c r="AK80" i="159" s="1"/>
  <c r="AH77" i="145"/>
  <c r="AI77" i="145" s="1"/>
  <c r="AK77" i="145" s="1"/>
  <c r="AK77" i="138"/>
  <c r="AH79" i="133"/>
  <c r="AI79" i="133" s="1"/>
  <c r="AK79" i="133" s="1"/>
  <c r="AH79" i="132"/>
  <c r="AI79" i="132" s="1"/>
  <c r="AK79" i="132" s="1"/>
  <c r="AH79" i="135"/>
  <c r="AI79" i="135" s="1"/>
  <c r="AK79" i="135" s="1"/>
  <c r="AH83" i="120"/>
  <c r="AI83" i="120" s="1"/>
  <c r="AK83" i="120" s="1"/>
  <c r="AH83" i="117"/>
  <c r="AI83" i="117" s="1"/>
  <c r="AK83" i="117" s="1"/>
  <c r="AH82" i="92"/>
  <c r="AI82" i="92" s="1"/>
  <c r="AK82" i="92" s="1"/>
  <c r="AH85" i="89"/>
  <c r="AI85" i="89" s="1"/>
  <c r="AK85" i="89" s="1"/>
  <c r="AH77" i="88"/>
  <c r="AI77" i="88" s="1"/>
  <c r="AK77" i="88" s="1"/>
  <c r="AH85" i="88"/>
  <c r="AI85" i="88" s="1"/>
  <c r="AK85" i="88" s="1"/>
  <c r="AH81" i="77"/>
  <c r="AI81" i="77" s="1"/>
  <c r="AK81" i="77" s="1"/>
  <c r="AH77" i="83"/>
  <c r="AI77" i="83" s="1"/>
  <c r="AK77" i="83" s="1"/>
  <c r="AH85" i="83"/>
  <c r="AI85" i="83" s="1"/>
  <c r="AK85" i="83" s="1"/>
  <c r="AK84" i="85"/>
  <c r="AH83" i="63"/>
  <c r="AI83" i="63" s="1"/>
  <c r="AK83" i="63" s="1"/>
  <c r="AH80" i="60"/>
  <c r="AI80" i="60" s="1"/>
  <c r="AK80" i="60" s="1"/>
  <c r="AH80" i="59"/>
  <c r="AI80" i="59" s="1"/>
  <c r="AK80" i="59" s="1"/>
  <c r="AH81" i="11"/>
  <c r="AI81" i="11" s="1"/>
  <c r="AK81" i="11" s="1"/>
  <c r="AH85" i="198"/>
  <c r="AI85" i="198" s="1"/>
  <c r="AK85" i="198" s="1"/>
  <c r="AH85" i="183"/>
  <c r="AI85" i="183" s="1"/>
  <c r="AK85" i="183" s="1"/>
  <c r="AH80" i="165"/>
  <c r="AI80" i="165" s="1"/>
  <c r="AK80" i="165" s="1"/>
  <c r="AH81" i="78"/>
  <c r="AI81" i="78" s="1"/>
  <c r="AK81" i="78" s="1"/>
  <c r="AH77" i="76"/>
  <c r="AI77" i="76" s="1"/>
  <c r="AK77" i="76" s="1"/>
  <c r="AH79" i="71"/>
  <c r="AI79" i="71" s="1"/>
  <c r="AK79" i="71" s="1"/>
  <c r="AH80" i="48"/>
  <c r="AI80" i="48" s="1"/>
  <c r="AK80" i="48" s="1"/>
  <c r="AH77" i="186"/>
  <c r="AI77" i="186" s="1"/>
  <c r="AK77" i="186" s="1"/>
  <c r="AH77" i="198"/>
  <c r="AI77" i="198" s="1"/>
  <c r="AK77" i="198" s="1"/>
  <c r="AH79" i="185"/>
  <c r="AI79" i="185" s="1"/>
  <c r="AK79" i="185" s="1"/>
  <c r="AH77" i="183"/>
  <c r="AI77" i="183" s="1"/>
  <c r="AK77" i="183" s="1"/>
  <c r="AH77" i="180"/>
  <c r="AI77" i="180" s="1"/>
  <c r="AK77" i="180" s="1"/>
  <c r="AH77" i="167"/>
  <c r="AI77" i="167" s="1"/>
  <c r="AK77" i="167" s="1"/>
  <c r="AH77" i="165"/>
  <c r="AI77" i="165" s="1"/>
  <c r="AK77" i="165" s="1"/>
  <c r="AH77" i="164"/>
  <c r="AI77" i="164" s="1"/>
  <c r="AK77" i="164" s="1"/>
  <c r="AH77" i="143"/>
  <c r="AI77" i="143" s="1"/>
  <c r="AK77" i="143" s="1"/>
  <c r="AH77" i="130"/>
  <c r="AI77" i="130" s="1"/>
  <c r="AK77" i="130" s="1"/>
  <c r="AH79" i="130"/>
  <c r="AI79" i="130" s="1"/>
  <c r="AK79" i="130" s="1"/>
  <c r="AH83" i="128"/>
  <c r="AI83" i="128" s="1"/>
  <c r="AK83" i="128" s="1"/>
  <c r="AH79" i="116"/>
  <c r="AI79" i="116" s="1"/>
  <c r="AK79" i="116" s="1"/>
  <c r="AH77" i="105"/>
  <c r="AI77" i="105" s="1"/>
  <c r="AK77" i="105" s="1"/>
  <c r="AH81" i="105"/>
  <c r="AI81" i="105" s="1"/>
  <c r="AK81" i="105" s="1"/>
  <c r="AH77" i="80"/>
  <c r="AI77" i="80" s="1"/>
  <c r="AK77" i="80" s="1"/>
  <c r="AH79" i="80"/>
  <c r="AI79" i="80" s="1"/>
  <c r="AK79" i="80" s="1"/>
  <c r="AH81" i="80"/>
  <c r="AI81" i="80" s="1"/>
  <c r="AK81" i="80" s="1"/>
  <c r="AH77" i="79"/>
  <c r="AI77" i="79" s="1"/>
  <c r="AK77" i="79" s="1"/>
  <c r="AH76" i="76"/>
  <c r="AI76" i="76" s="1"/>
  <c r="AK76" i="76" s="1"/>
  <c r="AH77" i="18"/>
  <c r="AI77" i="18" s="1"/>
  <c r="AK77" i="18" s="1"/>
  <c r="AH78" i="12"/>
  <c r="AI78" i="12" s="1"/>
  <c r="AK78" i="12" s="1"/>
  <c r="AH85" i="10"/>
  <c r="AI85" i="10" s="1"/>
  <c r="AK85" i="10" s="1"/>
  <c r="AH83" i="114"/>
  <c r="AI83" i="114" s="1"/>
  <c r="AK83" i="114" s="1"/>
  <c r="AH75" i="84"/>
  <c r="AI75" i="84" s="1"/>
  <c r="AK75" i="84" s="1"/>
  <c r="AH76" i="84"/>
  <c r="AI76" i="84" s="1"/>
  <c r="AK76" i="84" s="1"/>
  <c r="AH79" i="78"/>
  <c r="AI79" i="78" s="1"/>
  <c r="AK79" i="78" s="1"/>
  <c r="AH83" i="73"/>
  <c r="AI83" i="73" s="1"/>
  <c r="AK83" i="73" s="1"/>
  <c r="AH85" i="6"/>
  <c r="AI85" i="6" s="1"/>
  <c r="AK85" i="6" s="1"/>
  <c r="AH79" i="200"/>
  <c r="AI79" i="200" s="1"/>
  <c r="AK79" i="200" s="1"/>
  <c r="AH79" i="191"/>
  <c r="AI79" i="191" s="1"/>
  <c r="AK79" i="191" s="1"/>
  <c r="AK78" i="202"/>
  <c r="AK76" i="200"/>
  <c r="AK79" i="196"/>
  <c r="AK81" i="196"/>
  <c r="AH77" i="195"/>
  <c r="AI77" i="195" s="1"/>
  <c r="AK77" i="195" s="1"/>
  <c r="AK75" i="194"/>
  <c r="AH81" i="187"/>
  <c r="AI81" i="187" s="1"/>
  <c r="AK81" i="187" s="1"/>
  <c r="AK76" i="186"/>
  <c r="AK76" i="185"/>
  <c r="AH79" i="175"/>
  <c r="AI79" i="175" s="1"/>
  <c r="AK79" i="175" s="1"/>
  <c r="AK75" i="181"/>
  <c r="AK77" i="181"/>
  <c r="AK79" i="181"/>
  <c r="AK81" i="181"/>
  <c r="AK83" i="181"/>
  <c r="AK76" i="203"/>
  <c r="AK82" i="172"/>
  <c r="AK84" i="172"/>
  <c r="AK81" i="161"/>
  <c r="AK83" i="161"/>
  <c r="AK77" i="160"/>
  <c r="AK79" i="160"/>
  <c r="AH77" i="159"/>
  <c r="AI77" i="159" s="1"/>
  <c r="AK77" i="159" s="1"/>
  <c r="AH78" i="157"/>
  <c r="AI78" i="157" s="1"/>
  <c r="AK78" i="157" s="1"/>
  <c r="AK78" i="156"/>
  <c r="AK76" i="155"/>
  <c r="AK80" i="155"/>
  <c r="AK84" i="155"/>
  <c r="AK76" i="147"/>
  <c r="AK76" i="145"/>
  <c r="AK77" i="141"/>
  <c r="AK75" i="139"/>
  <c r="AK76" i="133"/>
  <c r="AK76" i="131"/>
  <c r="AK75" i="140"/>
  <c r="AK77" i="140"/>
  <c r="AH79" i="140"/>
  <c r="AI79" i="140" s="1"/>
  <c r="AK79" i="140" s="1"/>
  <c r="AK76" i="135"/>
  <c r="AK76" i="128"/>
  <c r="AH79" i="126"/>
  <c r="AI79" i="126" s="1"/>
  <c r="AK79" i="126" s="1"/>
  <c r="AH76" i="123"/>
  <c r="AI76" i="123" s="1"/>
  <c r="AK76" i="123" s="1"/>
  <c r="AK76" i="121"/>
  <c r="AH76" i="119"/>
  <c r="AI76" i="119" s="1"/>
  <c r="AK76" i="119" s="1"/>
  <c r="AK79" i="112"/>
  <c r="AK76" i="111"/>
  <c r="AK78" i="111"/>
  <c r="AK80" i="111"/>
  <c r="AK82" i="111"/>
  <c r="AK84" i="111"/>
  <c r="AK86" i="111"/>
  <c r="AK78" i="110"/>
  <c r="AK80" i="110"/>
  <c r="AK76" i="109"/>
  <c r="AK78" i="109"/>
  <c r="AH81" i="99"/>
  <c r="AI81" i="99" s="1"/>
  <c r="AK81" i="99" s="1"/>
  <c r="AK77" i="98"/>
  <c r="AH77" i="104"/>
  <c r="AI77" i="104" s="1"/>
  <c r="AK77" i="104" s="1"/>
  <c r="AK77" i="102"/>
  <c r="AH81" i="102"/>
  <c r="AI81" i="102" s="1"/>
  <c r="AK81" i="102" s="1"/>
  <c r="AK75" i="101"/>
  <c r="AK83" i="100"/>
  <c r="AK77" i="100"/>
  <c r="AH81" i="100"/>
  <c r="AI81" i="100" s="1"/>
  <c r="AK81" i="100" s="1"/>
  <c r="AH77" i="96"/>
  <c r="AI77" i="96" s="1"/>
  <c r="AK77" i="96" s="1"/>
  <c r="AH77" i="95"/>
  <c r="AI77" i="95" s="1"/>
  <c r="AK77" i="95" s="1"/>
  <c r="AH81" i="94"/>
  <c r="AI81" i="94" s="1"/>
  <c r="AK81" i="94" s="1"/>
  <c r="AH81" i="92"/>
  <c r="AI81" i="92" s="1"/>
  <c r="AK81" i="92" s="1"/>
  <c r="AH85" i="91"/>
  <c r="AI85" i="91" s="1"/>
  <c r="AK85" i="91" s="1"/>
  <c r="AH77" i="90"/>
  <c r="AI77" i="90" s="1"/>
  <c r="AK77" i="90" s="1"/>
  <c r="AH79" i="74"/>
  <c r="AI79" i="74" s="1"/>
  <c r="AK79" i="74" s="1"/>
  <c r="AK75" i="38"/>
  <c r="AK76" i="5"/>
  <c r="AH78" i="5"/>
  <c r="AI78" i="5" s="1"/>
  <c r="AK78" i="5" s="1"/>
  <c r="AK84" i="81"/>
  <c r="AH85" i="84"/>
  <c r="AI85" i="84" s="1"/>
  <c r="AK85" i="84" s="1"/>
  <c r="AK75" i="80"/>
  <c r="AH85" i="79"/>
  <c r="AI85" i="79" s="1"/>
  <c r="AK85" i="79" s="1"/>
  <c r="AH85" i="87"/>
  <c r="AI85" i="87" s="1"/>
  <c r="AK85" i="87" s="1"/>
  <c r="AH79" i="87"/>
  <c r="AI79" i="87" s="1"/>
  <c r="AK79" i="87" s="1"/>
  <c r="AH83" i="70"/>
  <c r="AI83" i="70" s="1"/>
  <c r="AK83" i="70" s="1"/>
  <c r="AK78" i="63"/>
  <c r="AK76" i="62"/>
  <c r="AK79" i="61"/>
  <c r="AH83" i="61"/>
  <c r="AI83" i="61" s="1"/>
  <c r="AK83" i="61" s="1"/>
  <c r="AK77" i="65"/>
  <c r="AH79" i="25"/>
  <c r="AI79" i="25" s="1"/>
  <c r="AK79" i="25" s="1"/>
  <c r="AK76" i="7"/>
  <c r="AK75" i="4"/>
  <c r="AK78" i="3"/>
  <c r="AH84" i="2"/>
  <c r="AI84" i="2" s="1"/>
  <c r="AK84" i="2" s="1"/>
  <c r="AK75" i="115"/>
  <c r="AK76" i="112"/>
  <c r="AH81" i="109"/>
  <c r="AI81" i="109" s="1"/>
  <c r="AK81" i="109" s="1"/>
  <c r="AH84" i="108"/>
  <c r="AI84" i="108" s="1"/>
  <c r="AK84" i="108" s="1"/>
  <c r="AH78" i="98"/>
  <c r="AI78" i="98" s="1"/>
  <c r="AK78" i="98" s="1"/>
  <c r="AK76" i="104"/>
  <c r="AH78" i="102"/>
  <c r="AI78" i="102" s="1"/>
  <c r="AK78" i="102" s="1"/>
  <c r="AK76" i="101"/>
  <c r="AH78" i="96"/>
  <c r="AI78" i="96" s="1"/>
  <c r="AK78" i="96" s="1"/>
  <c r="AK76" i="95"/>
  <c r="AK76" i="94"/>
  <c r="AH85" i="93"/>
  <c r="AI85" i="93" s="1"/>
  <c r="AK85" i="93" s="1"/>
  <c r="AH76" i="88"/>
  <c r="AI76" i="88" s="1"/>
  <c r="AK76" i="88" s="1"/>
  <c r="AH76" i="77"/>
  <c r="AI76" i="77" s="1"/>
  <c r="AK76" i="77" s="1"/>
  <c r="AH78" i="77"/>
  <c r="AI78" i="77" s="1"/>
  <c r="AK78" i="77" s="1"/>
  <c r="AK76" i="83"/>
  <c r="AK76" i="85"/>
  <c r="AK78" i="85"/>
  <c r="AK75" i="75"/>
  <c r="AK76" i="70"/>
  <c r="AK78" i="70"/>
  <c r="AK79" i="64"/>
  <c r="AK78" i="62"/>
  <c r="AK75" i="60"/>
  <c r="AK77" i="60"/>
  <c r="AK79" i="60"/>
  <c r="AK77" i="59"/>
  <c r="AK79" i="59"/>
  <c r="AK75" i="58"/>
  <c r="AK79" i="58"/>
  <c r="AK75" i="69"/>
  <c r="AK77" i="69"/>
  <c r="AK79" i="69"/>
  <c r="AK75" i="68"/>
  <c r="AK76" i="67"/>
  <c r="AK78" i="67"/>
  <c r="AH80" i="67"/>
  <c r="AI80" i="67" s="1"/>
  <c r="AK80" i="67" s="1"/>
  <c r="AK76" i="66"/>
  <c r="AK78" i="66"/>
  <c r="AK76" i="65"/>
  <c r="AH76" i="57"/>
  <c r="AI76" i="57" s="1"/>
  <c r="AK76" i="57" s="1"/>
  <c r="AK76" i="38"/>
  <c r="AH83" i="37"/>
  <c r="AI83" i="37" s="1"/>
  <c r="AK83" i="37" s="1"/>
  <c r="AK77" i="36"/>
  <c r="AK79" i="36"/>
  <c r="AK75" i="35"/>
  <c r="AH79" i="35"/>
  <c r="AI79" i="35" s="1"/>
  <c r="AK79" i="35" s="1"/>
  <c r="AK77" i="29"/>
  <c r="AK79" i="29"/>
  <c r="AK75" i="23"/>
  <c r="AK76" i="19"/>
  <c r="AK76" i="18"/>
  <c r="AH84" i="18"/>
  <c r="AI84" i="18" s="1"/>
  <c r="AK84" i="18" s="1"/>
  <c r="AK76" i="17"/>
  <c r="AH80" i="17"/>
  <c r="AI80" i="17" s="1"/>
  <c r="AK80" i="17" s="1"/>
  <c r="AK75" i="14"/>
  <c r="AK75" i="12"/>
  <c r="AK77" i="12"/>
  <c r="AK76" i="10"/>
  <c r="AH78" i="10"/>
  <c r="AI78" i="10" s="1"/>
  <c r="AK78" i="10" s="1"/>
  <c r="AH82" i="10"/>
  <c r="AI82" i="10" s="1"/>
  <c r="AK82" i="10" s="1"/>
  <c r="AH84" i="10"/>
  <c r="AI84" i="10" s="1"/>
  <c r="AK84" i="10" s="1"/>
  <c r="AK75" i="8"/>
  <c r="AH80" i="7"/>
  <c r="AI80" i="7" s="1"/>
  <c r="AK80" i="7" s="1"/>
  <c r="AK76" i="6"/>
  <c r="AH82" i="6"/>
  <c r="AI82" i="6" s="1"/>
  <c r="AK82" i="6" s="1"/>
  <c r="AK77" i="4"/>
  <c r="AK80" i="3"/>
  <c r="AK77" i="2"/>
  <c r="AK79" i="2"/>
  <c r="AK81" i="2"/>
  <c r="AH80" i="198"/>
  <c r="AI80" i="198" s="1"/>
  <c r="AK80" i="198" s="1"/>
  <c r="AH82" i="198"/>
  <c r="AI82" i="198" s="1"/>
  <c r="AK82" i="198" s="1"/>
  <c r="AH84" i="198"/>
  <c r="AI84" i="198" s="1"/>
  <c r="AK84" i="198" s="1"/>
  <c r="AH86" i="198"/>
  <c r="AI86" i="198" s="1"/>
  <c r="AK86" i="198" s="1"/>
  <c r="AH83" i="193"/>
  <c r="AI83" i="193" s="1"/>
  <c r="AK83" i="193" s="1"/>
  <c r="AH77" i="192"/>
  <c r="AI77" i="192" s="1"/>
  <c r="AK77" i="192" s="1"/>
  <c r="AH83" i="189"/>
  <c r="AI83" i="189" s="1"/>
  <c r="AK83" i="189" s="1"/>
  <c r="AH80" i="183"/>
  <c r="AI80" i="183" s="1"/>
  <c r="AK80" i="183" s="1"/>
  <c r="AH82" i="183"/>
  <c r="AI82" i="183" s="1"/>
  <c r="AK82" i="183" s="1"/>
  <c r="AH84" i="183"/>
  <c r="AI84" i="183" s="1"/>
  <c r="AK84" i="183" s="1"/>
  <c r="AH86" i="183"/>
  <c r="AI86" i="183" s="1"/>
  <c r="AK86" i="183" s="1"/>
  <c r="AH82" i="180"/>
  <c r="AI82" i="180" s="1"/>
  <c r="AK82" i="180" s="1"/>
  <c r="AH86" i="180"/>
  <c r="AI86" i="180" s="1"/>
  <c r="AK86" i="180" s="1"/>
  <c r="AH83" i="178"/>
  <c r="AI83" i="178" s="1"/>
  <c r="AK83" i="178" s="1"/>
  <c r="AH77" i="177"/>
  <c r="AI77" i="177" s="1"/>
  <c r="AK77" i="177" s="1"/>
  <c r="AK81" i="176"/>
  <c r="AH80" i="167"/>
  <c r="AI80" i="167" s="1"/>
  <c r="AK80" i="167" s="1"/>
  <c r="AH82" i="167"/>
  <c r="AI82" i="167" s="1"/>
  <c r="AK82" i="167" s="1"/>
  <c r="AH84" i="167"/>
  <c r="AI84" i="167" s="1"/>
  <c r="AK84" i="167" s="1"/>
  <c r="AH86" i="167"/>
  <c r="AI86" i="167" s="1"/>
  <c r="AK86" i="167" s="1"/>
  <c r="AK76" i="163"/>
  <c r="AH80" i="153"/>
  <c r="AI80" i="153" s="1"/>
  <c r="AK80" i="153" s="1"/>
  <c r="AH81" i="151"/>
  <c r="AI81" i="151" s="1"/>
  <c r="AK81" i="151" s="1"/>
  <c r="AH85" i="150"/>
  <c r="AI85" i="150" s="1"/>
  <c r="AK85" i="150" s="1"/>
  <c r="AH82" i="162"/>
  <c r="AI82" i="162" s="1"/>
  <c r="AK82" i="162" s="1"/>
  <c r="AH85" i="147"/>
  <c r="AI85" i="147" s="1"/>
  <c r="AK85" i="147" s="1"/>
  <c r="AH77" i="1"/>
  <c r="AI77" i="1" s="1"/>
  <c r="AK77" i="1" s="1"/>
  <c r="AH82" i="195"/>
  <c r="AI82" i="195" s="1"/>
  <c r="AK82" i="195" s="1"/>
  <c r="AH86" i="195"/>
  <c r="AI86" i="195" s="1"/>
  <c r="AK86" i="195" s="1"/>
  <c r="AH86" i="159"/>
  <c r="AI86" i="159" s="1"/>
  <c r="AK86" i="159" s="1"/>
  <c r="AH81" i="147"/>
  <c r="AI81" i="147" s="1"/>
  <c r="AK81" i="147" s="1"/>
  <c r="AH75" i="146"/>
  <c r="AI75" i="146" s="1"/>
  <c r="AK75" i="146" s="1"/>
  <c r="AH80" i="146"/>
  <c r="AI80" i="146" s="1"/>
  <c r="AK80" i="146" s="1"/>
  <c r="AH83" i="200"/>
  <c r="AI83" i="200" s="1"/>
  <c r="AK83" i="200" s="1"/>
  <c r="AH77" i="199"/>
  <c r="AI77" i="199" s="1"/>
  <c r="AK77" i="199" s="1"/>
  <c r="AH83" i="191"/>
  <c r="AI83" i="191" s="1"/>
  <c r="AK83" i="191" s="1"/>
  <c r="AH83" i="185"/>
  <c r="AI83" i="185" s="1"/>
  <c r="AK83" i="185" s="1"/>
  <c r="AH77" i="184"/>
  <c r="AI77" i="184" s="1"/>
  <c r="AK77" i="184" s="1"/>
  <c r="AH77" i="179"/>
  <c r="AI77" i="179" s="1"/>
  <c r="AK77" i="179" s="1"/>
  <c r="AH77" i="168"/>
  <c r="AI77" i="168" s="1"/>
  <c r="AK77" i="168" s="1"/>
  <c r="AH79" i="153"/>
  <c r="AI79" i="153" s="1"/>
  <c r="AK79" i="153" s="1"/>
  <c r="AK76" i="150"/>
  <c r="AH80" i="150"/>
  <c r="AI80" i="150" s="1"/>
  <c r="AK80" i="150" s="1"/>
  <c r="AK76" i="149"/>
  <c r="AH80" i="202"/>
  <c r="AI80" i="202" s="1"/>
  <c r="AK80" i="202" s="1"/>
  <c r="AH82" i="202"/>
  <c r="AI82" i="202" s="1"/>
  <c r="AK82" i="202" s="1"/>
  <c r="AH84" i="202"/>
  <c r="AI84" i="202" s="1"/>
  <c r="AK84" i="202" s="1"/>
  <c r="AH86" i="202"/>
  <c r="AI86" i="202" s="1"/>
  <c r="AK86" i="202" s="1"/>
  <c r="AH76" i="201"/>
  <c r="AI76" i="201" s="1"/>
  <c r="AK76" i="201" s="1"/>
  <c r="AH77" i="201"/>
  <c r="AI77" i="201" s="1"/>
  <c r="AK77" i="201" s="1"/>
  <c r="AK77" i="194"/>
  <c r="AK76" i="187"/>
  <c r="AH80" i="187"/>
  <c r="AI80" i="187" s="1"/>
  <c r="AK80" i="187" s="1"/>
  <c r="AH82" i="187"/>
  <c r="AI82" i="187" s="1"/>
  <c r="AK82" i="187" s="1"/>
  <c r="AH84" i="187"/>
  <c r="AI84" i="187" s="1"/>
  <c r="AK84" i="187" s="1"/>
  <c r="AH86" i="187"/>
  <c r="AI86" i="187" s="1"/>
  <c r="AK86" i="187" s="1"/>
  <c r="AH83" i="175"/>
  <c r="AI83" i="175" s="1"/>
  <c r="AK83" i="175" s="1"/>
  <c r="AK85" i="181"/>
  <c r="AH79" i="159"/>
  <c r="AI79" i="159" s="1"/>
  <c r="AK79" i="159" s="1"/>
  <c r="AH82" i="157"/>
  <c r="AI82" i="157" s="1"/>
  <c r="AK82" i="157" s="1"/>
  <c r="AK76" i="146"/>
  <c r="AH80" i="143"/>
  <c r="AI80" i="143" s="1"/>
  <c r="AK80" i="143" s="1"/>
  <c r="AH83" i="133"/>
  <c r="AI83" i="133" s="1"/>
  <c r="AK83" i="133" s="1"/>
  <c r="AH80" i="132"/>
  <c r="AI80" i="132" s="1"/>
  <c r="AK80" i="132" s="1"/>
  <c r="AH80" i="140"/>
  <c r="AI80" i="140" s="1"/>
  <c r="AK80" i="140" s="1"/>
  <c r="AH84" i="136"/>
  <c r="AI84" i="136" s="1"/>
  <c r="AK84" i="136" s="1"/>
  <c r="AH82" i="128"/>
  <c r="AI82" i="128" s="1"/>
  <c r="AK82" i="128" s="1"/>
  <c r="AH84" i="124"/>
  <c r="AI84" i="124" s="1"/>
  <c r="AK84" i="124" s="1"/>
  <c r="AH85" i="118"/>
  <c r="AI85" i="118" s="1"/>
  <c r="AK85" i="118" s="1"/>
  <c r="AH85" i="115"/>
  <c r="AI85" i="115" s="1"/>
  <c r="AK85" i="115" s="1"/>
  <c r="AH80" i="106"/>
  <c r="AI80" i="106" s="1"/>
  <c r="AK80" i="106" s="1"/>
  <c r="AH81" i="106"/>
  <c r="AI81" i="106" s="1"/>
  <c r="AK81" i="106" s="1"/>
  <c r="AH83" i="106"/>
  <c r="AI83" i="106" s="1"/>
  <c r="AK83" i="106" s="1"/>
  <c r="AH82" i="103"/>
  <c r="AI82" i="103" s="1"/>
  <c r="AK82" i="103" s="1"/>
  <c r="AH80" i="98"/>
  <c r="AI80" i="98" s="1"/>
  <c r="AK80" i="98" s="1"/>
  <c r="AH77" i="101"/>
  <c r="AI77" i="101" s="1"/>
  <c r="AK77" i="101" s="1"/>
  <c r="AH78" i="100"/>
  <c r="AI78" i="100" s="1"/>
  <c r="AK78" i="100" s="1"/>
  <c r="AH80" i="96"/>
  <c r="AI80" i="96" s="1"/>
  <c r="AK80" i="96" s="1"/>
  <c r="AH86" i="92"/>
  <c r="AI86" i="92" s="1"/>
  <c r="AK86" i="92" s="1"/>
  <c r="AH80" i="72"/>
  <c r="AI80" i="72" s="1"/>
  <c r="AK80" i="72" s="1"/>
  <c r="AH84" i="64"/>
  <c r="AI84" i="64" s="1"/>
  <c r="AK84" i="64" s="1"/>
  <c r="AH82" i="61"/>
  <c r="AI82" i="61" s="1"/>
  <c r="AK82" i="61" s="1"/>
  <c r="AH80" i="69"/>
  <c r="AI80" i="69" s="1"/>
  <c r="AK80" i="69" s="1"/>
  <c r="AH85" i="68"/>
  <c r="AI85" i="68" s="1"/>
  <c r="AK85" i="68" s="1"/>
  <c r="AH80" i="65"/>
  <c r="AI80" i="65" s="1"/>
  <c r="AK80" i="65" s="1"/>
  <c r="AH81" i="38"/>
  <c r="AI81" i="38" s="1"/>
  <c r="AK81" i="38" s="1"/>
  <c r="AH84" i="37"/>
  <c r="AI84" i="37" s="1"/>
  <c r="AK84" i="37" s="1"/>
  <c r="AH80" i="29"/>
  <c r="AI80" i="29" s="1"/>
  <c r="AK80" i="29" s="1"/>
  <c r="AH84" i="29"/>
  <c r="AI84" i="29" s="1"/>
  <c r="AK84" i="29" s="1"/>
  <c r="AH85" i="28"/>
  <c r="AI85" i="28" s="1"/>
  <c r="AK85" i="28" s="1"/>
  <c r="AH85" i="24"/>
  <c r="AI85" i="24" s="1"/>
  <c r="AK85" i="24" s="1"/>
  <c r="AH81" i="21"/>
  <c r="AI81" i="21" s="1"/>
  <c r="AK81" i="21" s="1"/>
  <c r="AH80" i="18"/>
  <c r="AI80" i="18" s="1"/>
  <c r="AK80" i="18" s="1"/>
  <c r="AH85" i="18"/>
  <c r="AI85" i="18" s="1"/>
  <c r="AK85" i="18" s="1"/>
  <c r="AH81" i="7"/>
  <c r="AI81" i="7" s="1"/>
  <c r="AK81" i="7" s="1"/>
  <c r="AH86" i="4"/>
  <c r="AI86" i="4" s="1"/>
  <c r="AK86" i="4" s="1"/>
  <c r="AH83" i="3"/>
  <c r="AI83" i="3" s="1"/>
  <c r="AK83" i="3" s="1"/>
  <c r="AH85" i="2"/>
  <c r="AI85" i="2" s="1"/>
  <c r="AK85" i="2" s="1"/>
  <c r="AH83" i="1"/>
  <c r="AI83" i="1" s="1"/>
  <c r="AK83" i="1" s="1"/>
  <c r="AH78" i="201"/>
  <c r="AI78" i="201" s="1"/>
  <c r="AK78" i="201" s="1"/>
  <c r="AH81" i="197"/>
  <c r="AI81" i="197" s="1"/>
  <c r="AK81" i="197" s="1"/>
  <c r="AH84" i="197"/>
  <c r="AI84" i="197" s="1"/>
  <c r="AK84" i="197" s="1"/>
  <c r="AH84" i="195"/>
  <c r="AI84" i="195" s="1"/>
  <c r="AK84" i="195" s="1"/>
  <c r="AH82" i="194"/>
  <c r="AI82" i="194" s="1"/>
  <c r="AK82" i="194" s="1"/>
  <c r="AH83" i="192"/>
  <c r="AI83" i="192" s="1"/>
  <c r="AK83" i="192" s="1"/>
  <c r="AH81" i="188"/>
  <c r="AI81" i="188" s="1"/>
  <c r="AK81" i="188" s="1"/>
  <c r="AH84" i="188"/>
  <c r="AI84" i="188" s="1"/>
  <c r="AK84" i="188" s="1"/>
  <c r="AH82" i="186"/>
  <c r="AI82" i="186" s="1"/>
  <c r="AK82" i="186" s="1"/>
  <c r="AH79" i="182"/>
  <c r="AI79" i="182" s="1"/>
  <c r="AK79" i="182" s="1"/>
  <c r="AH84" i="180"/>
  <c r="AI84" i="180" s="1"/>
  <c r="AK84" i="180" s="1"/>
  <c r="AH82" i="179"/>
  <c r="AI82" i="179" s="1"/>
  <c r="AK82" i="179" s="1"/>
  <c r="AH82" i="160"/>
  <c r="AI82" i="160" s="1"/>
  <c r="AK82" i="160" s="1"/>
  <c r="AH81" i="159"/>
  <c r="AI81" i="159" s="1"/>
  <c r="AK81" i="159" s="1"/>
  <c r="AH81" i="158"/>
  <c r="AI81" i="158" s="1"/>
  <c r="AK81" i="158" s="1"/>
  <c r="AH83" i="157"/>
  <c r="AI83" i="157" s="1"/>
  <c r="AK83" i="157" s="1"/>
  <c r="AH81" i="153"/>
  <c r="AI81" i="153" s="1"/>
  <c r="AK81" i="153" s="1"/>
  <c r="AH85" i="153"/>
  <c r="AI85" i="153" s="1"/>
  <c r="AK85" i="153" s="1"/>
  <c r="AH77" i="146"/>
  <c r="AI77" i="146" s="1"/>
  <c r="AK77" i="146" s="1"/>
  <c r="AH79" i="146"/>
  <c r="AI79" i="146" s="1"/>
  <c r="AK79" i="146" s="1"/>
  <c r="AH79" i="143"/>
  <c r="AI79" i="143" s="1"/>
  <c r="AK79" i="143" s="1"/>
  <c r="AH81" i="141"/>
  <c r="AI81" i="141" s="1"/>
  <c r="AK81" i="141" s="1"/>
  <c r="AH84" i="134"/>
  <c r="AI84" i="134" s="1"/>
  <c r="AK84" i="134" s="1"/>
  <c r="AH82" i="133"/>
  <c r="AI82" i="133" s="1"/>
  <c r="AK82" i="133" s="1"/>
  <c r="AH84" i="131"/>
  <c r="AI84" i="131" s="1"/>
  <c r="AK84" i="131" s="1"/>
  <c r="AH85" i="135"/>
  <c r="AI85" i="135" s="1"/>
  <c r="AK85" i="135" s="1"/>
  <c r="AH84" i="128"/>
  <c r="AI84" i="128" s="1"/>
  <c r="AK84" i="128" s="1"/>
  <c r="AH78" i="123"/>
  <c r="AI78" i="123" s="1"/>
  <c r="AK78" i="123" s="1"/>
  <c r="AH75" i="121"/>
  <c r="AI75" i="121" s="1"/>
  <c r="AK75" i="121" s="1"/>
  <c r="AH80" i="121"/>
  <c r="AI80" i="121" s="1"/>
  <c r="AK80" i="121" s="1"/>
  <c r="AH80" i="119"/>
  <c r="AI80" i="119" s="1"/>
  <c r="AK80" i="119" s="1"/>
  <c r="AH79" i="107"/>
  <c r="AI79" i="107" s="1"/>
  <c r="AK79" i="107" s="1"/>
  <c r="AH78" i="99"/>
  <c r="AI78" i="99" s="1"/>
  <c r="AK78" i="99" s="1"/>
  <c r="AH80" i="99"/>
  <c r="AI80" i="99" s="1"/>
  <c r="AK80" i="99" s="1"/>
  <c r="AH83" i="99"/>
  <c r="AI83" i="99" s="1"/>
  <c r="AK83" i="99" s="1"/>
  <c r="AH79" i="104"/>
  <c r="AI79" i="104" s="1"/>
  <c r="AK79" i="104" s="1"/>
  <c r="AH80" i="102"/>
  <c r="AI80" i="102" s="1"/>
  <c r="AK80" i="102" s="1"/>
  <c r="AH75" i="100"/>
  <c r="AI75" i="100" s="1"/>
  <c r="AK75" i="100" s="1"/>
  <c r="AH80" i="100"/>
  <c r="AI80" i="100" s="1"/>
  <c r="AK80" i="100" s="1"/>
  <c r="AH83" i="96"/>
  <c r="AI83" i="96" s="1"/>
  <c r="AK83" i="96" s="1"/>
  <c r="AH84" i="94"/>
  <c r="AI84" i="94" s="1"/>
  <c r="AK84" i="94" s="1"/>
  <c r="AH78" i="94"/>
  <c r="AI78" i="94" s="1"/>
  <c r="AK78" i="94" s="1"/>
  <c r="AH80" i="94"/>
  <c r="AI80" i="94" s="1"/>
  <c r="AK80" i="94" s="1"/>
  <c r="AH83" i="94"/>
  <c r="AI83" i="94" s="1"/>
  <c r="AK83" i="94" s="1"/>
  <c r="AH84" i="92"/>
  <c r="AI84" i="92" s="1"/>
  <c r="AK84" i="92" s="1"/>
  <c r="AH84" i="77"/>
  <c r="AI84" i="77" s="1"/>
  <c r="AK84" i="77" s="1"/>
  <c r="AH82" i="77"/>
  <c r="AI82" i="77" s="1"/>
  <c r="AK82" i="77" s="1"/>
  <c r="AH86" i="77"/>
  <c r="AI86" i="77" s="1"/>
  <c r="AK86" i="77" s="1"/>
  <c r="AH83" i="80"/>
  <c r="AI83" i="80" s="1"/>
  <c r="AK83" i="80" s="1"/>
  <c r="AH83" i="78"/>
  <c r="AI83" i="78" s="1"/>
  <c r="AK83" i="78" s="1"/>
  <c r="AH75" i="87"/>
  <c r="AI75" i="87" s="1"/>
  <c r="AK75" i="87" s="1"/>
  <c r="AH86" i="85"/>
  <c r="AI86" i="85" s="1"/>
  <c r="AK86" i="85" s="1"/>
  <c r="AH85" i="74"/>
  <c r="AI85" i="74" s="1"/>
  <c r="AK85" i="74" s="1"/>
  <c r="AH84" i="74"/>
  <c r="AI84" i="74" s="1"/>
  <c r="AK84" i="74" s="1"/>
  <c r="AH78" i="71"/>
  <c r="AI78" i="71" s="1"/>
  <c r="AK78" i="71" s="1"/>
  <c r="AH85" i="70"/>
  <c r="AI85" i="70" s="1"/>
  <c r="AK85" i="70" s="1"/>
  <c r="AH84" i="62"/>
  <c r="AI84" i="62" s="1"/>
  <c r="AK84" i="62" s="1"/>
  <c r="AH86" i="67"/>
  <c r="AI86" i="67" s="1"/>
  <c r="AK86" i="67" s="1"/>
  <c r="AH82" i="48"/>
  <c r="AI82" i="48" s="1"/>
  <c r="AK82" i="48" s="1"/>
  <c r="AH75" i="37"/>
  <c r="AI75" i="37" s="1"/>
  <c r="AK75" i="37" s="1"/>
  <c r="AH78" i="35"/>
  <c r="AI78" i="35" s="1"/>
  <c r="AK78" i="35" s="1"/>
  <c r="AH81" i="35"/>
  <c r="AI81" i="35" s="1"/>
  <c r="AK81" i="35" s="1"/>
  <c r="AH80" i="30"/>
  <c r="AI80" i="30" s="1"/>
  <c r="AK80" i="30" s="1"/>
  <c r="AH78" i="28"/>
  <c r="AI78" i="28" s="1"/>
  <c r="AK78" i="28" s="1"/>
  <c r="AH78" i="25"/>
  <c r="AI78" i="25" s="1"/>
  <c r="AK78" i="25" s="1"/>
  <c r="AH81" i="25"/>
  <c r="AI81" i="25" s="1"/>
  <c r="AK81" i="25" s="1"/>
  <c r="AH81" i="17"/>
  <c r="AI81" i="17" s="1"/>
  <c r="AK81" i="17" s="1"/>
  <c r="AH82" i="12"/>
  <c r="AI82" i="12" s="1"/>
  <c r="AK82" i="12" s="1"/>
  <c r="AH83" i="11"/>
  <c r="AI83" i="11" s="1"/>
  <c r="AK83" i="11" s="1"/>
  <c r="AH77" i="7"/>
  <c r="AI77" i="7" s="1"/>
  <c r="AK77" i="7" s="1"/>
  <c r="AK77" i="6"/>
  <c r="AK79" i="6"/>
  <c r="AH81" i="6"/>
  <c r="AI81" i="6" s="1"/>
  <c r="AK81" i="6" s="1"/>
  <c r="AK79" i="4"/>
  <c r="AH79" i="1"/>
  <c r="AI79" i="1" s="1"/>
  <c r="AK79" i="1" s="1"/>
  <c r="AH80" i="201"/>
  <c r="AI80" i="201" s="1"/>
  <c r="AK80" i="201" s="1"/>
  <c r="AH86" i="201"/>
  <c r="AI86" i="201" s="1"/>
  <c r="AK86" i="201" s="1"/>
  <c r="AH79" i="199"/>
  <c r="AI79" i="199" s="1"/>
  <c r="AK79" i="199" s="1"/>
  <c r="AH80" i="197"/>
  <c r="AI80" i="197" s="1"/>
  <c r="AK80" i="197" s="1"/>
  <c r="AH83" i="196"/>
  <c r="AI83" i="196" s="1"/>
  <c r="AK83" i="196" s="1"/>
  <c r="AH84" i="194"/>
  <c r="AI84" i="194" s="1"/>
  <c r="AK84" i="194" s="1"/>
  <c r="AH79" i="192"/>
  <c r="AI79" i="192" s="1"/>
  <c r="AK79" i="192" s="1"/>
  <c r="AH80" i="188"/>
  <c r="AI80" i="188" s="1"/>
  <c r="AK80" i="188" s="1"/>
  <c r="AH86" i="188"/>
  <c r="AI86" i="188" s="1"/>
  <c r="AK86" i="188" s="1"/>
  <c r="AH81" i="186"/>
  <c r="AI81" i="186" s="1"/>
  <c r="AK81" i="186" s="1"/>
  <c r="AH83" i="184"/>
  <c r="AI83" i="184" s="1"/>
  <c r="AK83" i="184" s="1"/>
  <c r="AH79" i="203"/>
  <c r="AI79" i="203" s="1"/>
  <c r="AK79" i="203" s="1"/>
  <c r="AH83" i="203"/>
  <c r="AI83" i="203" s="1"/>
  <c r="AK83" i="203" s="1"/>
  <c r="AH80" i="166"/>
  <c r="AI80" i="166" s="1"/>
  <c r="AK80" i="166" s="1"/>
  <c r="AH84" i="166"/>
  <c r="AI84" i="166" s="1"/>
  <c r="AK84" i="166" s="1"/>
  <c r="AH81" i="165"/>
  <c r="AI81" i="165" s="1"/>
  <c r="AK81" i="165" s="1"/>
  <c r="AH86" i="165"/>
  <c r="AI86" i="165" s="1"/>
  <c r="AK86" i="165" s="1"/>
  <c r="AH77" i="163"/>
  <c r="AI77" i="163" s="1"/>
  <c r="AK77" i="163" s="1"/>
  <c r="AH83" i="202"/>
  <c r="AI83" i="202" s="1"/>
  <c r="AK83" i="202" s="1"/>
  <c r="AH78" i="200"/>
  <c r="AI78" i="200" s="1"/>
  <c r="AK78" i="200" s="1"/>
  <c r="AH80" i="200"/>
  <c r="AI80" i="200" s="1"/>
  <c r="AK80" i="200" s="1"/>
  <c r="AH82" i="200"/>
  <c r="AI82" i="200" s="1"/>
  <c r="AK82" i="200" s="1"/>
  <c r="AH84" i="200"/>
  <c r="AI84" i="200" s="1"/>
  <c r="AK84" i="200" s="1"/>
  <c r="AH86" i="200"/>
  <c r="AI86" i="200" s="1"/>
  <c r="AK86" i="200" s="1"/>
  <c r="AK76" i="199"/>
  <c r="AH79" i="198"/>
  <c r="AI79" i="198" s="1"/>
  <c r="AK79" i="198" s="1"/>
  <c r="AH83" i="198"/>
  <c r="AI83" i="198" s="1"/>
  <c r="AK83" i="198" s="1"/>
  <c r="AH85" i="196"/>
  <c r="AI85" i="196" s="1"/>
  <c r="AK85" i="196" s="1"/>
  <c r="AK80" i="196"/>
  <c r="AH79" i="195"/>
  <c r="AI79" i="195" s="1"/>
  <c r="AK79" i="195" s="1"/>
  <c r="AH83" i="195"/>
  <c r="AI83" i="195" s="1"/>
  <c r="AK83" i="195" s="1"/>
  <c r="AH78" i="193"/>
  <c r="AI78" i="193" s="1"/>
  <c r="AK78" i="193" s="1"/>
  <c r="AH82" i="193"/>
  <c r="AI82" i="193" s="1"/>
  <c r="AK82" i="193" s="1"/>
  <c r="AH84" i="193"/>
  <c r="AI84" i="193" s="1"/>
  <c r="AK84" i="193" s="1"/>
  <c r="AH86" i="193"/>
  <c r="AI86" i="193" s="1"/>
  <c r="AK86" i="193" s="1"/>
  <c r="AH81" i="191"/>
  <c r="AI81" i="191" s="1"/>
  <c r="AK81" i="191" s="1"/>
  <c r="AH82" i="191"/>
  <c r="AI82" i="191" s="1"/>
  <c r="AK82" i="191" s="1"/>
  <c r="AH86" i="191"/>
  <c r="AI86" i="191" s="1"/>
  <c r="AK86" i="191" s="1"/>
  <c r="AH85" i="189"/>
  <c r="AI85" i="189" s="1"/>
  <c r="AK85" i="189" s="1"/>
  <c r="AH80" i="189"/>
  <c r="AI80" i="189" s="1"/>
  <c r="AK80" i="189" s="1"/>
  <c r="AH82" i="189"/>
  <c r="AI82" i="189" s="1"/>
  <c r="AK82" i="189" s="1"/>
  <c r="AH84" i="189"/>
  <c r="AI84" i="189" s="1"/>
  <c r="AK84" i="189" s="1"/>
  <c r="AH86" i="189"/>
  <c r="AI86" i="189" s="1"/>
  <c r="AK86" i="189" s="1"/>
  <c r="AH83" i="187"/>
  <c r="AI83" i="187" s="1"/>
  <c r="AK83" i="187" s="1"/>
  <c r="AH84" i="186"/>
  <c r="AI84" i="186" s="1"/>
  <c r="AK84" i="186" s="1"/>
  <c r="AH81" i="185"/>
  <c r="AI81" i="185" s="1"/>
  <c r="AK81" i="185" s="1"/>
  <c r="AH80" i="185"/>
  <c r="AI80" i="185" s="1"/>
  <c r="AK80" i="185" s="1"/>
  <c r="AH82" i="185"/>
  <c r="AI82" i="185" s="1"/>
  <c r="AK82" i="185" s="1"/>
  <c r="AH84" i="185"/>
  <c r="AI84" i="185" s="1"/>
  <c r="AK84" i="185" s="1"/>
  <c r="AH86" i="185"/>
  <c r="AI86" i="185" s="1"/>
  <c r="AK86" i="185" s="1"/>
  <c r="AK76" i="184"/>
  <c r="AH79" i="183"/>
  <c r="AI79" i="183" s="1"/>
  <c r="AK79" i="183" s="1"/>
  <c r="AH83" i="183"/>
  <c r="AI83" i="183" s="1"/>
  <c r="AK83" i="183" s="1"/>
  <c r="AH84" i="182"/>
  <c r="AI84" i="182" s="1"/>
  <c r="AK84" i="182" s="1"/>
  <c r="AH79" i="180"/>
  <c r="AI79" i="180" s="1"/>
  <c r="AK79" i="180" s="1"/>
  <c r="AH83" i="180"/>
  <c r="AI83" i="180" s="1"/>
  <c r="AK83" i="180" s="1"/>
  <c r="AH84" i="179"/>
  <c r="AI84" i="179" s="1"/>
  <c r="AK84" i="179" s="1"/>
  <c r="AH85" i="175"/>
  <c r="AI85" i="175" s="1"/>
  <c r="AK85" i="175" s="1"/>
  <c r="AH82" i="175"/>
  <c r="AI82" i="175" s="1"/>
  <c r="AK82" i="175" s="1"/>
  <c r="AH86" i="175"/>
  <c r="AI86" i="175" s="1"/>
  <c r="AK86" i="175" s="1"/>
  <c r="AH85" i="178"/>
  <c r="AI85" i="178" s="1"/>
  <c r="AK85" i="178" s="1"/>
  <c r="AH80" i="178"/>
  <c r="AI80" i="178" s="1"/>
  <c r="AK80" i="178" s="1"/>
  <c r="AH82" i="178"/>
  <c r="AI82" i="178" s="1"/>
  <c r="AK82" i="178" s="1"/>
  <c r="AH84" i="178"/>
  <c r="AI84" i="178" s="1"/>
  <c r="AK84" i="178" s="1"/>
  <c r="AH86" i="178"/>
  <c r="AI86" i="178" s="1"/>
  <c r="AK86" i="178" s="1"/>
  <c r="AH86" i="176"/>
  <c r="AI86" i="176" s="1"/>
  <c r="AK86" i="176" s="1"/>
  <c r="AK76" i="168"/>
  <c r="AH79" i="167"/>
  <c r="AI79" i="167" s="1"/>
  <c r="AK79" i="167" s="1"/>
  <c r="AH83" i="167"/>
  <c r="AI83" i="167" s="1"/>
  <c r="AK83" i="167" s="1"/>
  <c r="AH78" i="165"/>
  <c r="AI78" i="165" s="1"/>
  <c r="AK78" i="165" s="1"/>
  <c r="AH77" i="162"/>
  <c r="AI77" i="162" s="1"/>
  <c r="AK77" i="162" s="1"/>
  <c r="AH81" i="162"/>
  <c r="AI81" i="162" s="1"/>
  <c r="AK81" i="162" s="1"/>
  <c r="AH85" i="162"/>
  <c r="AI85" i="162" s="1"/>
  <c r="AK85" i="162" s="1"/>
  <c r="AK75" i="161"/>
  <c r="AK82" i="161"/>
  <c r="AK78" i="160"/>
  <c r="AH78" i="159"/>
  <c r="AI78" i="159" s="1"/>
  <c r="AK78" i="159" s="1"/>
  <c r="AH85" i="159"/>
  <c r="AI85" i="159" s="1"/>
  <c r="AK85" i="159" s="1"/>
  <c r="AH77" i="157"/>
  <c r="AI77" i="157" s="1"/>
  <c r="AK77" i="157" s="1"/>
  <c r="AH81" i="157"/>
  <c r="AI81" i="157" s="1"/>
  <c r="AK81" i="157" s="1"/>
  <c r="AH85" i="157"/>
  <c r="AI85" i="157" s="1"/>
  <c r="AK85" i="157" s="1"/>
  <c r="AK75" i="155"/>
  <c r="AH77" i="154"/>
  <c r="AI77" i="154" s="1"/>
  <c r="AK77" i="154" s="1"/>
  <c r="AH81" i="154"/>
  <c r="AI81" i="154" s="1"/>
  <c r="AK81" i="154" s="1"/>
  <c r="AH85" i="154"/>
  <c r="AI85" i="154" s="1"/>
  <c r="AK85" i="154" s="1"/>
  <c r="AH77" i="152"/>
  <c r="AI77" i="152" s="1"/>
  <c r="AK77" i="152" s="1"/>
  <c r="AH81" i="146"/>
  <c r="AI81" i="146" s="1"/>
  <c r="AK81" i="146" s="1"/>
  <c r="AH81" i="148"/>
  <c r="AI81" i="148" s="1"/>
  <c r="AK81" i="148" s="1"/>
  <c r="AH81" i="143"/>
  <c r="AI81" i="143" s="1"/>
  <c r="AK81" i="143" s="1"/>
  <c r="AH85" i="143"/>
  <c r="AI85" i="143" s="1"/>
  <c r="AK85" i="143" s="1"/>
  <c r="AH77" i="139"/>
  <c r="AI77" i="139" s="1"/>
  <c r="AK77" i="139" s="1"/>
  <c r="AH81" i="139"/>
  <c r="AI81" i="139" s="1"/>
  <c r="AK81" i="139" s="1"/>
  <c r="AH85" i="139"/>
  <c r="AI85" i="139" s="1"/>
  <c r="AK85" i="139" s="1"/>
  <c r="AH83" i="138"/>
  <c r="AI83" i="138" s="1"/>
  <c r="AK83" i="138" s="1"/>
  <c r="AH84" i="133"/>
  <c r="AI84" i="133" s="1"/>
  <c r="AK84" i="133" s="1"/>
  <c r="AH76" i="130"/>
  <c r="AI76" i="130" s="1"/>
  <c r="AK76" i="130" s="1"/>
  <c r="AH85" i="130"/>
  <c r="AI85" i="130" s="1"/>
  <c r="AK85" i="130" s="1"/>
  <c r="AH77" i="135"/>
  <c r="AI77" i="135" s="1"/>
  <c r="AK77" i="135" s="1"/>
  <c r="AH78" i="135"/>
  <c r="AI78" i="135" s="1"/>
  <c r="AK78" i="135" s="1"/>
  <c r="AH81" i="128"/>
  <c r="AI81" i="128" s="1"/>
  <c r="AK81" i="128" s="1"/>
  <c r="AH78" i="126"/>
  <c r="AI78" i="126" s="1"/>
  <c r="AK78" i="126" s="1"/>
  <c r="AH85" i="126"/>
  <c r="AI85" i="126" s="1"/>
  <c r="AK85" i="126" s="1"/>
  <c r="AH85" i="123"/>
  <c r="AI85" i="123" s="1"/>
  <c r="AK85" i="123" s="1"/>
  <c r="AH80" i="123"/>
  <c r="AI80" i="123" s="1"/>
  <c r="AK80" i="123" s="1"/>
  <c r="AH75" i="119"/>
  <c r="AI75" i="119" s="1"/>
  <c r="AK75" i="119" s="1"/>
  <c r="AH77" i="119"/>
  <c r="AI77" i="119" s="1"/>
  <c r="AK77" i="119" s="1"/>
  <c r="AH80" i="116"/>
  <c r="AI80" i="116" s="1"/>
  <c r="AK80" i="116" s="1"/>
  <c r="AK77" i="112"/>
  <c r="AK86" i="113"/>
  <c r="AH80" i="109"/>
  <c r="AI80" i="109" s="1"/>
  <c r="AK80" i="109" s="1"/>
  <c r="AK79" i="106"/>
  <c r="AH82" i="106"/>
  <c r="AI82" i="106" s="1"/>
  <c r="AK82" i="106" s="1"/>
  <c r="AH86" i="106"/>
  <c r="AI86" i="106" s="1"/>
  <c r="AK86" i="106" s="1"/>
  <c r="AK76" i="105"/>
  <c r="AH84" i="103"/>
  <c r="AI84" i="103" s="1"/>
  <c r="AK84" i="103" s="1"/>
  <c r="AH79" i="103"/>
  <c r="AI79" i="103" s="1"/>
  <c r="AK79" i="103" s="1"/>
  <c r="AH85" i="101"/>
  <c r="AI85" i="101" s="1"/>
  <c r="AK85" i="101" s="1"/>
  <c r="AH75" i="94"/>
  <c r="AI75" i="94" s="1"/>
  <c r="AK75" i="94" s="1"/>
  <c r="AH77" i="77"/>
  <c r="AI77" i="77" s="1"/>
  <c r="AK77" i="77" s="1"/>
  <c r="AH78" i="80"/>
  <c r="AI78" i="80" s="1"/>
  <c r="AK78" i="80" s="1"/>
  <c r="AH78" i="78"/>
  <c r="AI78" i="78" s="1"/>
  <c r="AK78" i="78" s="1"/>
  <c r="AH75" i="74"/>
  <c r="AI75" i="74" s="1"/>
  <c r="AK75" i="74" s="1"/>
  <c r="AH75" i="70"/>
  <c r="AI75" i="70" s="1"/>
  <c r="AK75" i="70" s="1"/>
  <c r="AH82" i="70"/>
  <c r="AI82" i="70" s="1"/>
  <c r="AK82" i="70" s="1"/>
  <c r="AH85" i="63"/>
  <c r="AI85" i="63" s="1"/>
  <c r="AK85" i="63" s="1"/>
  <c r="AK76" i="61"/>
  <c r="AH86" i="59"/>
  <c r="AI86" i="59" s="1"/>
  <c r="AK86" i="59" s="1"/>
  <c r="AH83" i="58"/>
  <c r="AI83" i="58" s="1"/>
  <c r="AK83" i="58" s="1"/>
  <c r="AH81" i="69"/>
  <c r="AI81" i="69" s="1"/>
  <c r="AK81" i="69" s="1"/>
  <c r="AH82" i="68"/>
  <c r="AI82" i="68" s="1"/>
  <c r="AK82" i="68" s="1"/>
  <c r="AH81" i="66"/>
  <c r="AI81" i="66" s="1"/>
  <c r="AK81" i="66" s="1"/>
  <c r="AH77" i="48"/>
  <c r="AI77" i="48" s="1"/>
  <c r="AK77" i="48" s="1"/>
  <c r="AH83" i="36"/>
  <c r="AI83" i="36" s="1"/>
  <c r="AK83" i="36" s="1"/>
  <c r="AH83" i="33"/>
  <c r="AI83" i="33" s="1"/>
  <c r="AK83" i="33" s="1"/>
  <c r="AH81" i="29"/>
  <c r="AI81" i="29" s="1"/>
  <c r="AK81" i="29" s="1"/>
  <c r="AH80" i="21"/>
  <c r="AI80" i="21" s="1"/>
  <c r="AK80" i="21" s="1"/>
  <c r="AH84" i="21"/>
  <c r="AI84" i="21" s="1"/>
  <c r="AK84" i="21" s="1"/>
  <c r="AH85" i="20"/>
  <c r="AI85" i="20" s="1"/>
  <c r="AK85" i="20" s="1"/>
  <c r="AH81" i="18"/>
  <c r="AI81" i="18" s="1"/>
  <c r="AK81" i="18" s="1"/>
  <c r="AH85" i="16"/>
  <c r="AI85" i="16" s="1"/>
  <c r="AK85" i="16" s="1"/>
  <c r="AH81" i="15"/>
  <c r="AI81" i="15" s="1"/>
  <c r="AK81" i="15" s="1"/>
  <c r="AH78" i="11"/>
  <c r="AI78" i="11" s="1"/>
  <c r="AK78" i="11" s="1"/>
  <c r="AH80" i="11"/>
  <c r="AI80" i="11" s="1"/>
  <c r="AK80" i="11" s="1"/>
  <c r="AH81" i="10"/>
  <c r="AI81" i="10" s="1"/>
  <c r="AK81" i="10" s="1"/>
  <c r="AH82" i="9"/>
  <c r="AI82" i="9" s="1"/>
  <c r="AK82" i="9" s="1"/>
  <c r="AH84" i="6"/>
  <c r="AI84" i="6" s="1"/>
  <c r="AK84" i="6" s="1"/>
  <c r="AH81" i="5"/>
  <c r="AI81" i="5" s="1"/>
  <c r="AK81" i="5" s="1"/>
  <c r="AH86" i="3"/>
  <c r="AI86" i="3" s="1"/>
  <c r="AK86" i="3" s="1"/>
  <c r="AH86" i="2"/>
  <c r="AI86" i="2" s="1"/>
  <c r="AK86" i="2" s="1"/>
  <c r="AH82" i="201"/>
  <c r="AI82" i="201" s="1"/>
  <c r="AK82" i="201" s="1"/>
  <c r="AH84" i="201"/>
  <c r="AI84" i="201" s="1"/>
  <c r="AK84" i="201" s="1"/>
  <c r="AH83" i="199"/>
  <c r="AI83" i="199" s="1"/>
  <c r="AK83" i="199" s="1"/>
  <c r="AH82" i="197"/>
  <c r="AI82" i="197" s="1"/>
  <c r="AK82" i="197" s="1"/>
  <c r="AH86" i="197"/>
  <c r="AI86" i="197" s="1"/>
  <c r="AK86" i="197" s="1"/>
  <c r="AH80" i="194"/>
  <c r="AI80" i="194" s="1"/>
  <c r="AK80" i="194" s="1"/>
  <c r="AH86" i="194"/>
  <c r="AI86" i="194" s="1"/>
  <c r="AK86" i="194" s="1"/>
  <c r="AH84" i="191"/>
  <c r="AI84" i="191" s="1"/>
  <c r="AK84" i="191" s="1"/>
  <c r="AH82" i="188"/>
  <c r="AI82" i="188" s="1"/>
  <c r="AK82" i="188" s="1"/>
  <c r="AH80" i="186"/>
  <c r="AI80" i="186" s="1"/>
  <c r="AK80" i="186" s="1"/>
  <c r="AH86" i="186"/>
  <c r="AI86" i="186" s="1"/>
  <c r="AK86" i="186" s="1"/>
  <c r="AH79" i="184"/>
  <c r="AI79" i="184" s="1"/>
  <c r="AK79" i="184" s="1"/>
  <c r="AH83" i="182"/>
  <c r="AI83" i="182" s="1"/>
  <c r="AK83" i="182" s="1"/>
  <c r="AH85" i="179"/>
  <c r="AI85" i="179" s="1"/>
  <c r="AK85" i="179" s="1"/>
  <c r="AH86" i="179"/>
  <c r="AI86" i="179" s="1"/>
  <c r="AK86" i="179" s="1"/>
  <c r="AH86" i="181"/>
  <c r="AI86" i="181" s="1"/>
  <c r="AK86" i="181" s="1"/>
  <c r="AH79" i="177"/>
  <c r="AI79" i="177" s="1"/>
  <c r="AK79" i="177" s="1"/>
  <c r="AH83" i="177"/>
  <c r="AI83" i="177" s="1"/>
  <c r="AK83" i="177" s="1"/>
  <c r="AH79" i="168"/>
  <c r="AI79" i="168" s="1"/>
  <c r="AK79" i="168" s="1"/>
  <c r="AH83" i="168"/>
  <c r="AI83" i="168" s="1"/>
  <c r="AK83" i="168" s="1"/>
  <c r="AH81" i="166"/>
  <c r="AI81" i="166" s="1"/>
  <c r="AK81" i="166" s="1"/>
  <c r="AH82" i="166"/>
  <c r="AI82" i="166" s="1"/>
  <c r="AK82" i="166" s="1"/>
  <c r="AH81" i="163"/>
  <c r="AI81" i="163" s="1"/>
  <c r="AK81" i="163" s="1"/>
  <c r="AH83" i="162"/>
  <c r="AI83" i="162" s="1"/>
  <c r="AK83" i="162" s="1"/>
  <c r="AH86" i="161"/>
  <c r="AI86" i="161" s="1"/>
  <c r="AK86" i="161" s="1"/>
  <c r="AH78" i="1"/>
  <c r="AI78" i="1" s="1"/>
  <c r="AK78" i="1" s="1"/>
  <c r="AH82" i="1"/>
  <c r="AI82" i="1" s="1"/>
  <c r="AK82" i="1" s="1"/>
  <c r="AH86" i="1"/>
  <c r="AI86" i="1" s="1"/>
  <c r="AK86" i="1" s="1"/>
  <c r="AK76" i="202"/>
  <c r="AH79" i="201"/>
  <c r="AI79" i="201" s="1"/>
  <c r="AK79" i="201" s="1"/>
  <c r="AH83" i="201"/>
  <c r="AI83" i="201" s="1"/>
  <c r="AK83" i="201" s="1"/>
  <c r="AK75" i="200"/>
  <c r="AH78" i="199"/>
  <c r="AI78" i="199" s="1"/>
  <c r="AK78" i="199" s="1"/>
  <c r="AH80" i="199"/>
  <c r="AI80" i="199" s="1"/>
  <c r="AK80" i="199" s="1"/>
  <c r="AH82" i="199"/>
  <c r="AI82" i="199" s="1"/>
  <c r="AK82" i="199" s="1"/>
  <c r="AH84" i="199"/>
  <c r="AI84" i="199" s="1"/>
  <c r="AK84" i="199" s="1"/>
  <c r="AH86" i="199"/>
  <c r="AI86" i="199" s="1"/>
  <c r="AK86" i="199" s="1"/>
  <c r="AK76" i="198"/>
  <c r="AH77" i="197"/>
  <c r="AI77" i="197" s="1"/>
  <c r="AK77" i="197" s="1"/>
  <c r="AH79" i="197"/>
  <c r="AI79" i="197" s="1"/>
  <c r="AK79" i="197" s="1"/>
  <c r="AH83" i="197"/>
  <c r="AI83" i="197" s="1"/>
  <c r="AK83" i="197" s="1"/>
  <c r="AK75" i="196"/>
  <c r="AK82" i="196"/>
  <c r="AH84" i="196"/>
  <c r="AI84" i="196" s="1"/>
  <c r="AK84" i="196" s="1"/>
  <c r="AH86" i="196"/>
  <c r="AI86" i="196" s="1"/>
  <c r="AK86" i="196" s="1"/>
  <c r="AK76" i="195"/>
  <c r="AH79" i="194"/>
  <c r="AI79" i="194" s="1"/>
  <c r="AK79" i="194" s="1"/>
  <c r="AH83" i="194"/>
  <c r="AI83" i="194" s="1"/>
  <c r="AK83" i="194" s="1"/>
  <c r="AH80" i="193"/>
  <c r="AI80" i="193" s="1"/>
  <c r="AK80" i="193" s="1"/>
  <c r="AH78" i="192"/>
  <c r="AI78" i="192" s="1"/>
  <c r="AK78" i="192" s="1"/>
  <c r="AH82" i="192"/>
  <c r="AI82" i="192" s="1"/>
  <c r="AK82" i="192" s="1"/>
  <c r="AH86" i="192"/>
  <c r="AI86" i="192" s="1"/>
  <c r="AK86" i="192" s="1"/>
  <c r="AK78" i="190"/>
  <c r="AK80" i="190"/>
  <c r="AH86" i="190"/>
  <c r="AI86" i="190" s="1"/>
  <c r="AK86" i="190" s="1"/>
  <c r="AK79" i="188"/>
  <c r="AH83" i="188"/>
  <c r="AI83" i="188" s="1"/>
  <c r="AK83" i="188" s="1"/>
  <c r="AK75" i="187"/>
  <c r="AH79" i="186"/>
  <c r="AI79" i="186" s="1"/>
  <c r="AK79" i="186" s="1"/>
  <c r="AH83" i="186"/>
  <c r="AI83" i="186" s="1"/>
  <c r="AK83" i="186" s="1"/>
  <c r="AK75" i="185"/>
  <c r="AH81" i="184"/>
  <c r="AI81" i="184" s="1"/>
  <c r="AK81" i="184" s="1"/>
  <c r="AH80" i="184"/>
  <c r="AI80" i="184" s="1"/>
  <c r="AK80" i="184" s="1"/>
  <c r="AH82" i="184"/>
  <c r="AI82" i="184" s="1"/>
  <c r="AK82" i="184" s="1"/>
  <c r="AH84" i="184"/>
  <c r="AI84" i="184" s="1"/>
  <c r="AK84" i="184" s="1"/>
  <c r="AH86" i="184"/>
  <c r="AI86" i="184" s="1"/>
  <c r="AK86" i="184" s="1"/>
  <c r="AH76" i="183"/>
  <c r="AI76" i="183" s="1"/>
  <c r="AK76" i="183" s="1"/>
  <c r="AH81" i="182"/>
  <c r="AI81" i="182" s="1"/>
  <c r="AK81" i="182" s="1"/>
  <c r="AH82" i="182"/>
  <c r="AI82" i="182" s="1"/>
  <c r="AK82" i="182" s="1"/>
  <c r="AH86" i="182"/>
  <c r="AI86" i="182" s="1"/>
  <c r="AK86" i="182" s="1"/>
  <c r="AK76" i="180"/>
  <c r="AH79" i="179"/>
  <c r="AI79" i="179" s="1"/>
  <c r="AK79" i="179" s="1"/>
  <c r="AH83" i="179"/>
  <c r="AI83" i="179" s="1"/>
  <c r="AK83" i="179" s="1"/>
  <c r="AH84" i="175"/>
  <c r="AI84" i="175" s="1"/>
  <c r="AK84" i="175" s="1"/>
  <c r="AK78" i="181"/>
  <c r="AK80" i="181"/>
  <c r="AK75" i="178"/>
  <c r="AH85" i="177"/>
  <c r="AI85" i="177" s="1"/>
  <c r="AK85" i="177" s="1"/>
  <c r="AH80" i="177"/>
  <c r="AI80" i="177" s="1"/>
  <c r="AK80" i="177" s="1"/>
  <c r="AH82" i="177"/>
  <c r="AI82" i="177" s="1"/>
  <c r="AK82" i="177" s="1"/>
  <c r="AH84" i="177"/>
  <c r="AI84" i="177" s="1"/>
  <c r="AK84" i="177" s="1"/>
  <c r="AH86" i="177"/>
  <c r="AI86" i="177" s="1"/>
  <c r="AK86" i="177" s="1"/>
  <c r="AK76" i="176"/>
  <c r="AK83" i="176"/>
  <c r="AH85" i="203"/>
  <c r="AI85" i="203" s="1"/>
  <c r="AK85" i="203" s="1"/>
  <c r="AH80" i="203"/>
  <c r="AI80" i="203" s="1"/>
  <c r="AK80" i="203" s="1"/>
  <c r="AH82" i="203"/>
  <c r="AI82" i="203" s="1"/>
  <c r="AK82" i="203" s="1"/>
  <c r="AH84" i="203"/>
  <c r="AI84" i="203" s="1"/>
  <c r="AK84" i="203" s="1"/>
  <c r="AH86" i="203"/>
  <c r="AI86" i="203" s="1"/>
  <c r="AK86" i="203" s="1"/>
  <c r="AK76" i="174"/>
  <c r="AK82" i="174"/>
  <c r="AK84" i="174"/>
  <c r="AH85" i="168"/>
  <c r="AI85" i="168" s="1"/>
  <c r="AK85" i="168" s="1"/>
  <c r="AH80" i="168"/>
  <c r="AI80" i="168" s="1"/>
  <c r="AK80" i="168" s="1"/>
  <c r="AH82" i="168"/>
  <c r="AI82" i="168" s="1"/>
  <c r="AK82" i="168" s="1"/>
  <c r="AH84" i="168"/>
  <c r="AI84" i="168" s="1"/>
  <c r="AK84" i="168" s="1"/>
  <c r="AH86" i="168"/>
  <c r="AI86" i="168" s="1"/>
  <c r="AK86" i="168" s="1"/>
  <c r="AK76" i="167"/>
  <c r="AH77" i="166"/>
  <c r="AI77" i="166" s="1"/>
  <c r="AK77" i="166" s="1"/>
  <c r="AH79" i="166"/>
  <c r="AI79" i="166" s="1"/>
  <c r="AK79" i="166" s="1"/>
  <c r="AH83" i="166"/>
  <c r="AI83" i="166" s="1"/>
  <c r="AK83" i="166" s="1"/>
  <c r="AH83" i="165"/>
  <c r="AI83" i="165" s="1"/>
  <c r="AK83" i="165" s="1"/>
  <c r="AH85" i="165"/>
  <c r="AI85" i="165" s="1"/>
  <c r="AK85" i="165" s="1"/>
  <c r="AH78" i="163"/>
  <c r="AI78" i="163" s="1"/>
  <c r="AK78" i="163" s="1"/>
  <c r="AK77" i="161"/>
  <c r="AK79" i="161"/>
  <c r="AK85" i="161"/>
  <c r="AK81" i="160"/>
  <c r="AH85" i="160"/>
  <c r="AI85" i="160" s="1"/>
  <c r="AK85" i="160" s="1"/>
  <c r="AH83" i="159"/>
  <c r="AI83" i="159" s="1"/>
  <c r="AK83" i="159" s="1"/>
  <c r="AH82" i="159"/>
  <c r="AI82" i="159" s="1"/>
  <c r="AK82" i="159" s="1"/>
  <c r="AH78" i="158"/>
  <c r="AI78" i="158" s="1"/>
  <c r="AK78" i="158" s="1"/>
  <c r="AK77" i="155"/>
  <c r="AK79" i="155"/>
  <c r="AK82" i="155"/>
  <c r="AH77" i="153"/>
  <c r="AI77" i="153" s="1"/>
  <c r="AK77" i="153" s="1"/>
  <c r="AK75" i="151"/>
  <c r="AH79" i="150"/>
  <c r="AI79" i="150" s="1"/>
  <c r="AK79" i="150" s="1"/>
  <c r="AH77" i="147"/>
  <c r="AI77" i="147" s="1"/>
  <c r="AK77" i="147" s="1"/>
  <c r="AH85" i="146"/>
  <c r="AI85" i="146" s="1"/>
  <c r="AK85" i="146" s="1"/>
  <c r="AK75" i="145"/>
  <c r="AH77" i="144"/>
  <c r="AI77" i="144" s="1"/>
  <c r="AK77" i="144" s="1"/>
  <c r="AH81" i="144"/>
  <c r="AI81" i="144" s="1"/>
  <c r="AK81" i="144" s="1"/>
  <c r="AH85" i="144"/>
  <c r="AI85" i="144" s="1"/>
  <c r="AK85" i="144" s="1"/>
  <c r="AK75" i="143"/>
  <c r="AK77" i="142"/>
  <c r="AH81" i="134"/>
  <c r="AI81" i="134" s="1"/>
  <c r="AK81" i="134" s="1"/>
  <c r="AH85" i="133"/>
  <c r="AI85" i="133" s="1"/>
  <c r="AK85" i="133" s="1"/>
  <c r="AH78" i="133"/>
  <c r="AI78" i="133" s="1"/>
  <c r="AK78" i="133" s="1"/>
  <c r="AK76" i="132"/>
  <c r="AH78" i="132"/>
  <c r="AI78" i="132" s="1"/>
  <c r="AK78" i="132" s="1"/>
  <c r="AH78" i="130"/>
  <c r="AI78" i="130" s="1"/>
  <c r="AK78" i="130" s="1"/>
  <c r="AK76" i="140"/>
  <c r="AH78" i="140"/>
  <c r="AI78" i="140" s="1"/>
  <c r="AK78" i="140" s="1"/>
  <c r="AK75" i="136"/>
  <c r="AK78" i="136"/>
  <c r="AH75" i="135"/>
  <c r="AI75" i="135" s="1"/>
  <c r="AK75" i="135" s="1"/>
  <c r="AH80" i="135"/>
  <c r="AI80" i="135" s="1"/>
  <c r="AK80" i="135" s="1"/>
  <c r="AH77" i="126"/>
  <c r="AI77" i="126" s="1"/>
  <c r="AK77" i="126" s="1"/>
  <c r="AH80" i="126"/>
  <c r="AI80" i="126" s="1"/>
  <c r="AK80" i="126" s="1"/>
  <c r="AK75" i="125"/>
  <c r="AH76" i="124"/>
  <c r="AI76" i="124" s="1"/>
  <c r="AK76" i="124" s="1"/>
  <c r="AH75" i="123"/>
  <c r="AI75" i="123" s="1"/>
  <c r="AK75" i="123" s="1"/>
  <c r="AH79" i="121"/>
  <c r="AI79" i="121" s="1"/>
  <c r="AK79" i="121" s="1"/>
  <c r="AH85" i="121"/>
  <c r="AI85" i="121" s="1"/>
  <c r="AK85" i="121" s="1"/>
  <c r="AK75" i="116"/>
  <c r="AH77" i="116"/>
  <c r="AI77" i="116" s="1"/>
  <c r="AK77" i="116" s="1"/>
  <c r="AK76" i="115"/>
  <c r="AK80" i="112"/>
  <c r="AK75" i="111"/>
  <c r="AK77" i="111"/>
  <c r="AK79" i="111"/>
  <c r="AK81" i="111"/>
  <c r="AK85" i="111"/>
  <c r="AK85" i="110"/>
  <c r="AH77" i="108"/>
  <c r="AI77" i="108" s="1"/>
  <c r="AK77" i="108" s="1"/>
  <c r="AK75" i="107"/>
  <c r="AH78" i="107"/>
  <c r="AI78" i="107" s="1"/>
  <c r="AK78" i="107" s="1"/>
  <c r="AH82" i="107"/>
  <c r="AI82" i="107" s="1"/>
  <c r="AK82" i="107" s="1"/>
  <c r="AK76" i="106"/>
  <c r="AH78" i="105"/>
  <c r="AI78" i="105" s="1"/>
  <c r="AK78" i="105" s="1"/>
  <c r="AH80" i="105"/>
  <c r="AI80" i="105" s="1"/>
  <c r="AK80" i="105" s="1"/>
  <c r="AH78" i="103"/>
  <c r="AI78" i="103" s="1"/>
  <c r="AK78" i="103" s="1"/>
  <c r="AK77" i="99"/>
  <c r="AH79" i="99"/>
  <c r="AI79" i="99" s="1"/>
  <c r="AK79" i="99" s="1"/>
  <c r="AH82" i="99"/>
  <c r="AI82" i="99" s="1"/>
  <c r="AK82" i="99" s="1"/>
  <c r="AH86" i="99"/>
  <c r="AI86" i="99" s="1"/>
  <c r="AK86" i="99" s="1"/>
  <c r="AK76" i="98"/>
  <c r="AH81" i="98"/>
  <c r="AI81" i="98" s="1"/>
  <c r="AK81" i="98" s="1"/>
  <c r="AK75" i="97"/>
  <c r="AK77" i="97"/>
  <c r="AK85" i="97"/>
  <c r="AK75" i="104"/>
  <c r="AH78" i="104"/>
  <c r="AI78" i="104" s="1"/>
  <c r="AK78" i="104" s="1"/>
  <c r="AH82" i="104"/>
  <c r="AI82" i="104" s="1"/>
  <c r="AK82" i="104" s="1"/>
  <c r="AK76" i="102"/>
  <c r="AH82" i="102"/>
  <c r="AI82" i="102" s="1"/>
  <c r="AK82" i="102" s="1"/>
  <c r="AH86" i="102"/>
  <c r="AI86" i="102" s="1"/>
  <c r="AK86" i="102" s="1"/>
  <c r="AK76" i="100"/>
  <c r="AH82" i="100"/>
  <c r="AI82" i="100" s="1"/>
  <c r="AK82" i="100" s="1"/>
  <c r="AH86" i="100"/>
  <c r="AI86" i="100" s="1"/>
  <c r="AK86" i="100" s="1"/>
  <c r="AK76" i="96"/>
  <c r="AH81" i="96"/>
  <c r="AI81" i="96" s="1"/>
  <c r="AK81" i="96" s="1"/>
  <c r="AK75" i="95"/>
  <c r="AH77" i="94"/>
  <c r="AI77" i="94" s="1"/>
  <c r="AK77" i="94" s="1"/>
  <c r="AH79" i="94"/>
  <c r="AI79" i="94" s="1"/>
  <c r="AK79" i="94" s="1"/>
  <c r="AH82" i="94"/>
  <c r="AI82" i="94" s="1"/>
  <c r="AK82" i="94" s="1"/>
  <c r="AH86" i="94"/>
  <c r="AI86" i="94" s="1"/>
  <c r="AK86" i="94" s="1"/>
  <c r="AH83" i="77"/>
  <c r="AI83" i="77" s="1"/>
  <c r="AK83" i="77" s="1"/>
  <c r="AH86" i="81"/>
  <c r="AI86" i="81" s="1"/>
  <c r="AK86" i="81" s="1"/>
  <c r="AH84" i="80"/>
  <c r="AI84" i="80" s="1"/>
  <c r="AK84" i="80" s="1"/>
  <c r="AH82" i="80"/>
  <c r="AI82" i="80" s="1"/>
  <c r="AK82" i="80" s="1"/>
  <c r="AH86" i="80"/>
  <c r="AI86" i="80" s="1"/>
  <c r="AK86" i="80" s="1"/>
  <c r="AH84" i="78"/>
  <c r="AI84" i="78" s="1"/>
  <c r="AK84" i="78" s="1"/>
  <c r="AH82" i="78"/>
  <c r="AI82" i="78" s="1"/>
  <c r="AK82" i="78" s="1"/>
  <c r="AH86" i="78"/>
  <c r="AI86" i="78" s="1"/>
  <c r="AK86" i="78" s="1"/>
  <c r="AK76" i="87"/>
  <c r="AH78" i="87"/>
  <c r="AI78" i="87" s="1"/>
  <c r="AK78" i="87" s="1"/>
  <c r="AK75" i="86"/>
  <c r="AK77" i="85"/>
  <c r="AK81" i="85"/>
  <c r="AK85" i="85"/>
  <c r="AH80" i="75"/>
  <c r="AI80" i="75" s="1"/>
  <c r="AK80" i="75" s="1"/>
  <c r="AH82" i="74"/>
  <c r="AI82" i="74" s="1"/>
  <c r="AK82" i="74" s="1"/>
  <c r="AH83" i="74"/>
  <c r="AI83" i="74" s="1"/>
  <c r="AK83" i="74" s="1"/>
  <c r="AH80" i="71"/>
  <c r="AI80" i="71" s="1"/>
  <c r="AK80" i="71" s="1"/>
  <c r="AH84" i="71"/>
  <c r="AI84" i="71" s="1"/>
  <c r="AK84" i="71" s="1"/>
  <c r="AH75" i="63"/>
  <c r="AI75" i="63" s="1"/>
  <c r="AK75" i="63" s="1"/>
  <c r="AH82" i="63"/>
  <c r="AI82" i="63" s="1"/>
  <c r="AK82" i="63" s="1"/>
  <c r="AH85" i="61"/>
  <c r="AI85" i="61" s="1"/>
  <c r="AK85" i="61" s="1"/>
  <c r="AK78" i="61"/>
  <c r="AH81" i="60"/>
  <c r="AI81" i="60" s="1"/>
  <c r="AK81" i="60" s="1"/>
  <c r="AH83" i="59"/>
  <c r="AI83" i="59" s="1"/>
  <c r="AK83" i="59" s="1"/>
  <c r="AK78" i="69"/>
  <c r="AK77" i="68"/>
  <c r="AK75" i="66"/>
  <c r="AH84" i="57"/>
  <c r="AI84" i="57" s="1"/>
  <c r="AK84" i="57" s="1"/>
  <c r="AH83" i="48"/>
  <c r="AI83" i="48" s="1"/>
  <c r="AK83" i="48" s="1"/>
  <c r="AH85" i="48"/>
  <c r="AI85" i="48" s="1"/>
  <c r="AK85" i="48" s="1"/>
  <c r="AK77" i="37"/>
  <c r="AK76" i="36"/>
  <c r="AK80" i="36"/>
  <c r="AH77" i="35"/>
  <c r="AI77" i="35" s="1"/>
  <c r="AK77" i="35" s="1"/>
  <c r="AH80" i="35"/>
  <c r="AI80" i="35" s="1"/>
  <c r="AK80" i="35" s="1"/>
  <c r="AH84" i="35"/>
  <c r="AI84" i="35" s="1"/>
  <c r="AK84" i="35" s="1"/>
  <c r="AH85" i="34"/>
  <c r="AI85" i="34" s="1"/>
  <c r="AK85" i="34" s="1"/>
  <c r="AK76" i="30"/>
  <c r="AK75" i="28"/>
  <c r="AK75" i="27"/>
  <c r="AK77" i="27"/>
  <c r="AH80" i="27"/>
  <c r="AI80" i="27" s="1"/>
  <c r="AK80" i="27" s="1"/>
  <c r="AH77" i="25"/>
  <c r="AI77" i="25" s="1"/>
  <c r="AK77" i="25" s="1"/>
  <c r="AH80" i="25"/>
  <c r="AI80" i="25" s="1"/>
  <c r="AK80" i="25" s="1"/>
  <c r="AH84" i="25"/>
  <c r="AI84" i="25" s="1"/>
  <c r="AK84" i="25" s="1"/>
  <c r="AK79" i="24"/>
  <c r="AK81" i="24"/>
  <c r="AK76" i="23"/>
  <c r="AK78" i="23"/>
  <c r="AK75" i="22"/>
  <c r="AK77" i="22"/>
  <c r="AK80" i="22"/>
  <c r="AK82" i="22"/>
  <c r="AK76" i="20"/>
  <c r="AK78" i="20"/>
  <c r="AK78" i="15"/>
  <c r="AH85" i="14"/>
  <c r="AI85" i="14" s="1"/>
  <c r="AK85" i="14" s="1"/>
  <c r="AH82" i="13"/>
  <c r="AI82" i="13" s="1"/>
  <c r="AK82" i="13" s="1"/>
  <c r="AK76" i="12"/>
  <c r="AH79" i="12"/>
  <c r="AI79" i="12" s="1"/>
  <c r="AK79" i="12" s="1"/>
  <c r="AH83" i="12"/>
  <c r="AI83" i="12" s="1"/>
  <c r="AK83" i="12" s="1"/>
  <c r="AH82" i="11"/>
  <c r="AI82" i="11" s="1"/>
  <c r="AK82" i="11" s="1"/>
  <c r="AH86" i="10"/>
  <c r="AI86" i="10" s="1"/>
  <c r="AK86" i="10" s="1"/>
  <c r="AH79" i="8"/>
  <c r="AI79" i="8" s="1"/>
  <c r="AK79" i="8" s="1"/>
  <c r="AK78" i="6"/>
  <c r="AH86" i="6"/>
  <c r="AI86" i="6" s="1"/>
  <c r="AK86" i="6" s="1"/>
  <c r="AI76" i="97"/>
  <c r="AK76" i="97" s="1"/>
  <c r="AK75" i="112"/>
  <c r="AK76" i="156"/>
  <c r="AK81" i="156"/>
  <c r="AK84" i="156"/>
  <c r="AK86" i="156"/>
  <c r="AK80" i="156"/>
  <c r="AK82" i="156"/>
  <c r="AK85" i="156"/>
  <c r="AK76" i="113"/>
  <c r="AK78" i="113"/>
  <c r="AK80" i="113"/>
  <c r="AK82" i="113"/>
  <c r="AK84" i="113"/>
  <c r="AK75" i="113"/>
  <c r="AK79" i="113"/>
  <c r="AK83" i="113"/>
  <c r="AK85" i="113"/>
  <c r="AK82" i="110"/>
  <c r="AK81" i="110"/>
  <c r="AK84" i="110"/>
  <c r="AK77" i="110"/>
  <c r="AK83" i="110"/>
  <c r="AK86" i="110"/>
  <c r="AK76" i="110"/>
  <c r="AK79" i="110"/>
  <c r="AK77" i="185"/>
  <c r="AK82" i="173"/>
  <c r="AK84" i="173"/>
  <c r="AK86" i="173"/>
  <c r="AK76" i="172"/>
  <c r="AK81" i="174"/>
  <c r="AK83" i="174"/>
  <c r="AK78" i="173"/>
  <c r="AK80" i="173"/>
  <c r="AK85" i="173"/>
  <c r="AK77" i="171"/>
  <c r="AK79" i="171"/>
  <c r="AK86" i="171"/>
  <c r="AK76" i="170"/>
  <c r="AK81" i="170"/>
  <c r="AK83" i="170"/>
  <c r="AK78" i="169"/>
  <c r="AK80" i="169"/>
  <c r="AK85" i="169"/>
  <c r="AK78" i="174"/>
  <c r="AK80" i="174"/>
  <c r="AK85" i="174"/>
  <c r="AK75" i="173"/>
  <c r="AK77" i="172"/>
  <c r="AK79" i="172"/>
  <c r="AK86" i="172"/>
  <c r="AK76" i="171"/>
  <c r="AK81" i="171"/>
  <c r="AK83" i="171"/>
  <c r="AK78" i="170"/>
  <c r="AK80" i="170"/>
  <c r="AK85" i="170"/>
  <c r="AK75" i="169"/>
  <c r="AK82" i="169"/>
  <c r="AK84" i="169"/>
  <c r="AK81" i="172"/>
  <c r="AK83" i="172"/>
  <c r="AK78" i="171"/>
  <c r="AK80" i="171"/>
  <c r="AK85" i="171"/>
  <c r="AK75" i="170"/>
  <c r="AK77" i="169"/>
  <c r="AK79" i="169"/>
  <c r="AK86" i="169"/>
  <c r="AK77" i="174"/>
  <c r="AK79" i="174"/>
  <c r="AK86" i="174"/>
  <c r="AK76" i="173"/>
  <c r="AK81" i="173"/>
  <c r="AK83" i="173"/>
  <c r="AK78" i="172"/>
  <c r="AK80" i="172"/>
  <c r="AK85" i="172"/>
  <c r="AK75" i="171"/>
  <c r="AK86" i="170"/>
  <c r="AK81" i="169"/>
  <c r="AK83" i="169"/>
  <c r="AK75" i="33"/>
  <c r="AK78" i="33"/>
  <c r="AK79" i="23"/>
  <c r="AH81" i="1"/>
  <c r="AI81" i="1" s="1"/>
  <c r="AK81" i="1" s="1"/>
  <c r="AH85" i="201"/>
  <c r="AI85" i="201" s="1"/>
  <c r="AK85" i="201" s="1"/>
  <c r="AH81" i="200"/>
  <c r="AI81" i="200" s="1"/>
  <c r="AK81" i="200" s="1"/>
  <c r="AH85" i="200"/>
  <c r="AI85" i="200" s="1"/>
  <c r="AK85" i="200" s="1"/>
  <c r="AH81" i="199"/>
  <c r="AI81" i="199" s="1"/>
  <c r="AK81" i="199" s="1"/>
  <c r="AH81" i="194"/>
  <c r="AI81" i="194" s="1"/>
  <c r="AK81" i="194" s="1"/>
  <c r="AH81" i="192"/>
  <c r="AI81" i="192" s="1"/>
  <c r="AK81" i="192" s="1"/>
  <c r="AH81" i="189"/>
  <c r="AI81" i="189" s="1"/>
  <c r="AK81" i="189" s="1"/>
  <c r="AH85" i="186"/>
  <c r="AI85" i="186" s="1"/>
  <c r="AK85" i="186" s="1"/>
  <c r="AH85" i="184"/>
  <c r="AI85" i="184" s="1"/>
  <c r="AK85" i="184" s="1"/>
  <c r="AH81" i="178"/>
  <c r="AI81" i="178" s="1"/>
  <c r="AK81" i="178" s="1"/>
  <c r="AH81" i="203"/>
  <c r="AI81" i="203" s="1"/>
  <c r="AK81" i="203" s="1"/>
  <c r="AH81" i="168"/>
  <c r="AI81" i="168" s="1"/>
  <c r="AK81" i="168" s="1"/>
  <c r="AH84" i="152"/>
  <c r="AI84" i="152" s="1"/>
  <c r="AK84" i="152" s="1"/>
  <c r="AH84" i="142"/>
  <c r="AI84" i="142" s="1"/>
  <c r="AK84" i="142" s="1"/>
  <c r="AH78" i="196"/>
  <c r="AI78" i="196" s="1"/>
  <c r="AK78" i="196" s="1"/>
  <c r="AH78" i="191"/>
  <c r="AI78" i="191" s="1"/>
  <c r="AK78" i="191" s="1"/>
  <c r="AH78" i="188"/>
  <c r="AI78" i="188" s="1"/>
  <c r="AK78" i="188" s="1"/>
  <c r="AH78" i="187"/>
  <c r="AI78" i="187" s="1"/>
  <c r="AK78" i="187" s="1"/>
  <c r="AH78" i="186"/>
  <c r="AI78" i="186" s="1"/>
  <c r="AK78" i="186" s="1"/>
  <c r="AH78" i="185"/>
  <c r="AI78" i="185" s="1"/>
  <c r="AK78" i="185" s="1"/>
  <c r="AH78" i="184"/>
  <c r="AI78" i="184" s="1"/>
  <c r="AK78" i="184" s="1"/>
  <c r="AH78" i="183"/>
  <c r="AI78" i="183" s="1"/>
  <c r="AK78" i="183" s="1"/>
  <c r="AH78" i="182"/>
  <c r="AI78" i="182" s="1"/>
  <c r="AK78" i="182" s="1"/>
  <c r="AH78" i="180"/>
  <c r="AI78" i="180" s="1"/>
  <c r="AK78" i="180" s="1"/>
  <c r="AH78" i="179"/>
  <c r="AI78" i="179" s="1"/>
  <c r="AK78" i="179" s="1"/>
  <c r="AH78" i="175"/>
  <c r="AI78" i="175" s="1"/>
  <c r="AK78" i="175" s="1"/>
  <c r="AH78" i="178"/>
  <c r="AI78" i="178" s="1"/>
  <c r="AK78" i="178" s="1"/>
  <c r="AH78" i="177"/>
  <c r="AI78" i="177" s="1"/>
  <c r="AK78" i="177" s="1"/>
  <c r="AH78" i="203"/>
  <c r="AI78" i="203" s="1"/>
  <c r="AK78" i="203" s="1"/>
  <c r="AH78" i="168"/>
  <c r="AI78" i="168" s="1"/>
  <c r="AK78" i="168" s="1"/>
  <c r="AH78" i="167"/>
  <c r="AI78" i="167" s="1"/>
  <c r="AK78" i="167" s="1"/>
  <c r="AH78" i="166"/>
  <c r="AI78" i="166" s="1"/>
  <c r="AK78" i="166" s="1"/>
  <c r="AH79" i="164"/>
  <c r="AI79" i="164" s="1"/>
  <c r="AK79" i="164" s="1"/>
  <c r="AH80" i="164"/>
  <c r="AI80" i="164" s="1"/>
  <c r="AK80" i="164" s="1"/>
  <c r="AH86" i="164"/>
  <c r="AI86" i="164" s="1"/>
  <c r="AK86" i="164" s="1"/>
  <c r="AH84" i="163"/>
  <c r="AI84" i="163" s="1"/>
  <c r="AK84" i="163" s="1"/>
  <c r="AH84" i="158"/>
  <c r="AI84" i="158" s="1"/>
  <c r="AK84" i="158" s="1"/>
  <c r="AH79" i="152"/>
  <c r="AI79" i="152" s="1"/>
  <c r="AK79" i="152" s="1"/>
  <c r="AH80" i="152"/>
  <c r="AI80" i="152" s="1"/>
  <c r="AK80" i="152" s="1"/>
  <c r="AH83" i="151"/>
  <c r="AI83" i="151" s="1"/>
  <c r="AK83" i="151" s="1"/>
  <c r="AH84" i="151"/>
  <c r="AI84" i="151" s="1"/>
  <c r="AK84" i="151" s="1"/>
  <c r="AH83" i="149"/>
  <c r="AI83" i="149" s="1"/>
  <c r="AK83" i="149" s="1"/>
  <c r="AH84" i="149"/>
  <c r="AI84" i="149" s="1"/>
  <c r="AK84" i="149" s="1"/>
  <c r="AH79" i="145"/>
  <c r="AI79" i="145" s="1"/>
  <c r="AK79" i="145" s="1"/>
  <c r="AH80" i="145"/>
  <c r="AI80" i="145" s="1"/>
  <c r="AK80" i="145" s="1"/>
  <c r="AH83" i="148"/>
  <c r="AI83" i="148" s="1"/>
  <c r="AK83" i="148" s="1"/>
  <c r="AH84" i="148"/>
  <c r="AI84" i="148" s="1"/>
  <c r="AK84" i="148" s="1"/>
  <c r="AH79" i="142"/>
  <c r="AI79" i="142" s="1"/>
  <c r="AK79" i="142" s="1"/>
  <c r="AH80" i="142"/>
  <c r="AI80" i="142" s="1"/>
  <c r="AK80" i="142" s="1"/>
  <c r="AH83" i="141"/>
  <c r="AI83" i="141" s="1"/>
  <c r="AK83" i="141" s="1"/>
  <c r="AH84" i="141"/>
  <c r="AI84" i="141" s="1"/>
  <c r="AK84" i="141" s="1"/>
  <c r="AH76" i="127"/>
  <c r="AI76" i="127" s="1"/>
  <c r="AK76" i="127" s="1"/>
  <c r="AH79" i="127"/>
  <c r="AI79" i="127" s="1"/>
  <c r="AK79" i="127" s="1"/>
  <c r="AH82" i="127"/>
  <c r="AI82" i="127" s="1"/>
  <c r="AK82" i="127" s="1"/>
  <c r="AH76" i="120"/>
  <c r="AI76" i="120" s="1"/>
  <c r="AK76" i="120" s="1"/>
  <c r="AH79" i="120"/>
  <c r="AI79" i="120" s="1"/>
  <c r="AK79" i="120" s="1"/>
  <c r="AH78" i="108"/>
  <c r="AI78" i="108" s="1"/>
  <c r="AK78" i="108" s="1"/>
  <c r="AH81" i="108"/>
  <c r="AI81" i="108" s="1"/>
  <c r="AK81" i="108" s="1"/>
  <c r="AH85" i="108"/>
  <c r="AI85" i="108" s="1"/>
  <c r="AK85" i="108" s="1"/>
  <c r="AH85" i="202"/>
  <c r="AI85" i="202" s="1"/>
  <c r="AK85" i="202" s="1"/>
  <c r="AH81" i="201"/>
  <c r="AI81" i="201" s="1"/>
  <c r="AK81" i="201" s="1"/>
  <c r="AH85" i="199"/>
  <c r="AI85" i="199" s="1"/>
  <c r="AK85" i="199" s="1"/>
  <c r="AH85" i="197"/>
  <c r="AI85" i="197" s="1"/>
  <c r="AK85" i="197" s="1"/>
  <c r="AH85" i="193"/>
  <c r="AI85" i="193" s="1"/>
  <c r="AK85" i="193" s="1"/>
  <c r="AH85" i="191"/>
  <c r="AI85" i="191" s="1"/>
  <c r="AK85" i="191" s="1"/>
  <c r="AH85" i="188"/>
  <c r="AI85" i="188" s="1"/>
  <c r="AK85" i="188" s="1"/>
  <c r="AH85" i="187"/>
  <c r="AI85" i="187" s="1"/>
  <c r="AK85" i="187" s="1"/>
  <c r="AH85" i="185"/>
  <c r="AI85" i="185" s="1"/>
  <c r="AK85" i="185" s="1"/>
  <c r="AH85" i="182"/>
  <c r="AI85" i="182" s="1"/>
  <c r="AK85" i="182" s="1"/>
  <c r="AH81" i="180"/>
  <c r="AI81" i="180" s="1"/>
  <c r="AK81" i="180" s="1"/>
  <c r="AH81" i="179"/>
  <c r="AI81" i="179" s="1"/>
  <c r="AK81" i="179" s="1"/>
  <c r="AH81" i="175"/>
  <c r="AI81" i="175" s="1"/>
  <c r="AK81" i="175" s="1"/>
  <c r="AH81" i="177"/>
  <c r="AI81" i="177" s="1"/>
  <c r="AK81" i="177" s="1"/>
  <c r="AH81" i="167"/>
  <c r="AI81" i="167" s="1"/>
  <c r="AK81" i="167" s="1"/>
  <c r="AH85" i="166"/>
  <c r="AI85" i="166" s="1"/>
  <c r="AK85" i="166" s="1"/>
  <c r="AH84" i="164"/>
  <c r="AI84" i="164" s="1"/>
  <c r="AK84" i="164" s="1"/>
  <c r="AH83" i="152"/>
  <c r="AI83" i="152" s="1"/>
  <c r="AK83" i="152" s="1"/>
  <c r="AH81" i="149"/>
  <c r="AI81" i="149" s="1"/>
  <c r="AK81" i="149" s="1"/>
  <c r="AH84" i="145"/>
  <c r="AI84" i="145" s="1"/>
  <c r="AK84" i="145" s="1"/>
  <c r="AH83" i="142"/>
  <c r="AI83" i="142" s="1"/>
  <c r="AK83" i="142" s="1"/>
  <c r="AH86" i="132"/>
  <c r="AI86" i="132" s="1"/>
  <c r="AK86" i="132" s="1"/>
  <c r="AH82" i="129"/>
  <c r="AI82" i="129" s="1"/>
  <c r="AK82" i="129" s="1"/>
  <c r="AH78" i="198"/>
  <c r="AI78" i="198" s="1"/>
  <c r="AK78" i="198" s="1"/>
  <c r="AH78" i="197"/>
  <c r="AI78" i="197" s="1"/>
  <c r="AK78" i="197" s="1"/>
  <c r="AH78" i="189"/>
  <c r="AI78" i="189" s="1"/>
  <c r="AK78" i="189" s="1"/>
  <c r="AH75" i="1"/>
  <c r="AI75" i="1" s="1"/>
  <c r="AK75" i="1" s="1"/>
  <c r="AH75" i="195"/>
  <c r="AI75" i="195" s="1"/>
  <c r="AK75" i="195" s="1"/>
  <c r="AH75" i="193"/>
  <c r="AI75" i="193" s="1"/>
  <c r="AK75" i="193" s="1"/>
  <c r="AH75" i="192"/>
  <c r="AI75" i="192" s="1"/>
  <c r="AK75" i="192" s="1"/>
  <c r="AH75" i="191"/>
  <c r="AI75" i="191" s="1"/>
  <c r="AK75" i="191" s="1"/>
  <c r="AH75" i="186"/>
  <c r="AI75" i="186" s="1"/>
  <c r="AK75" i="186" s="1"/>
  <c r="AH75" i="182"/>
  <c r="AI75" i="182" s="1"/>
  <c r="AK75" i="182" s="1"/>
  <c r="AH75" i="180"/>
  <c r="AI75" i="180" s="1"/>
  <c r="AK75" i="180" s="1"/>
  <c r="AH75" i="179"/>
  <c r="AI75" i="179" s="1"/>
  <c r="AK75" i="179" s="1"/>
  <c r="AH75" i="175"/>
  <c r="AI75" i="175" s="1"/>
  <c r="AK75" i="175" s="1"/>
  <c r="AH83" i="164"/>
  <c r="AI83" i="164" s="1"/>
  <c r="AK83" i="164" s="1"/>
  <c r="AH82" i="164"/>
  <c r="AI82" i="164" s="1"/>
  <c r="AK82" i="164" s="1"/>
  <c r="AH85" i="164"/>
  <c r="AI85" i="164" s="1"/>
  <c r="AK85" i="164" s="1"/>
  <c r="AH79" i="163"/>
  <c r="AI79" i="163" s="1"/>
  <c r="AK79" i="163" s="1"/>
  <c r="AH80" i="163"/>
  <c r="AI80" i="163" s="1"/>
  <c r="AK80" i="163" s="1"/>
  <c r="AH86" i="163"/>
  <c r="AI86" i="163" s="1"/>
  <c r="AK86" i="163" s="1"/>
  <c r="AH84" i="162"/>
  <c r="AI84" i="162" s="1"/>
  <c r="AK84" i="162" s="1"/>
  <c r="AH84" i="160"/>
  <c r="AI84" i="160" s="1"/>
  <c r="AK84" i="160" s="1"/>
  <c r="AH83" i="158"/>
  <c r="AI83" i="158" s="1"/>
  <c r="AK83" i="158" s="1"/>
  <c r="AH80" i="158"/>
  <c r="AI80" i="158" s="1"/>
  <c r="AK80" i="158" s="1"/>
  <c r="AH86" i="158"/>
  <c r="AI86" i="158" s="1"/>
  <c r="AK86" i="158" s="1"/>
  <c r="AH84" i="157"/>
  <c r="AI84" i="157" s="1"/>
  <c r="AK84" i="157" s="1"/>
  <c r="AH86" i="155"/>
  <c r="AI86" i="155" s="1"/>
  <c r="AK86" i="155" s="1"/>
  <c r="AH83" i="154"/>
  <c r="AI83" i="154" s="1"/>
  <c r="AK83" i="154" s="1"/>
  <c r="AH84" i="154"/>
  <c r="AI84" i="154" s="1"/>
  <c r="AK84" i="154" s="1"/>
  <c r="AH85" i="152"/>
  <c r="AI85" i="152" s="1"/>
  <c r="AK85" i="152" s="1"/>
  <c r="AH79" i="151"/>
  <c r="AI79" i="151" s="1"/>
  <c r="AK79" i="151" s="1"/>
  <c r="AH80" i="151"/>
  <c r="AI80" i="151" s="1"/>
  <c r="AK80" i="151" s="1"/>
  <c r="AH81" i="150"/>
  <c r="AI81" i="150" s="1"/>
  <c r="AK81" i="150" s="1"/>
  <c r="AH80" i="149"/>
  <c r="AI80" i="149" s="1"/>
  <c r="AK80" i="149" s="1"/>
  <c r="AH83" i="147"/>
  <c r="AI83" i="147" s="1"/>
  <c r="AK83" i="147" s="1"/>
  <c r="AH84" i="147"/>
  <c r="AI84" i="147" s="1"/>
  <c r="AK84" i="147" s="1"/>
  <c r="AH85" i="145"/>
  <c r="AI85" i="145" s="1"/>
  <c r="AK85" i="145" s="1"/>
  <c r="AH79" i="148"/>
  <c r="AI79" i="148" s="1"/>
  <c r="AK79" i="148" s="1"/>
  <c r="AH80" i="148"/>
  <c r="AI80" i="148" s="1"/>
  <c r="AK80" i="148" s="1"/>
  <c r="AH83" i="144"/>
  <c r="AI83" i="144" s="1"/>
  <c r="AK83" i="144" s="1"/>
  <c r="AH84" i="144"/>
  <c r="AI84" i="144" s="1"/>
  <c r="AK84" i="144" s="1"/>
  <c r="AH85" i="142"/>
  <c r="AI85" i="142" s="1"/>
  <c r="AK85" i="142" s="1"/>
  <c r="AH79" i="141"/>
  <c r="AI79" i="141" s="1"/>
  <c r="AK79" i="141" s="1"/>
  <c r="AH80" i="141"/>
  <c r="AI80" i="141" s="1"/>
  <c r="AK80" i="141" s="1"/>
  <c r="AH83" i="139"/>
  <c r="AI83" i="139" s="1"/>
  <c r="AK83" i="139" s="1"/>
  <c r="AH84" i="139"/>
  <c r="AI84" i="139" s="1"/>
  <c r="AK84" i="139" s="1"/>
  <c r="AH76" i="137"/>
  <c r="AI76" i="137" s="1"/>
  <c r="AK76" i="137" s="1"/>
  <c r="AH79" i="137"/>
  <c r="AI79" i="137" s="1"/>
  <c r="AK79" i="137" s="1"/>
  <c r="AH83" i="137"/>
  <c r="AI83" i="137" s="1"/>
  <c r="AK83" i="137" s="1"/>
  <c r="AH86" i="140"/>
  <c r="AI86" i="140" s="1"/>
  <c r="AK86" i="140" s="1"/>
  <c r="AH76" i="125"/>
  <c r="AI76" i="125" s="1"/>
  <c r="AK76" i="125" s="1"/>
  <c r="AH79" i="125"/>
  <c r="AI79" i="125" s="1"/>
  <c r="AK79" i="125" s="1"/>
  <c r="AH83" i="125"/>
  <c r="AI83" i="125" s="1"/>
  <c r="AK83" i="125" s="1"/>
  <c r="AH76" i="117"/>
  <c r="AI76" i="117" s="1"/>
  <c r="AK76" i="117" s="1"/>
  <c r="AH79" i="117"/>
  <c r="AI79" i="117" s="1"/>
  <c r="AK79" i="117" s="1"/>
  <c r="AH78" i="82"/>
  <c r="AI78" i="82" s="1"/>
  <c r="AK78" i="82" s="1"/>
  <c r="AH81" i="82"/>
  <c r="AI81" i="82" s="1"/>
  <c r="AK81" i="82" s="1"/>
  <c r="AH85" i="82"/>
  <c r="AI85" i="82" s="1"/>
  <c r="AK85" i="82" s="1"/>
  <c r="AH78" i="76"/>
  <c r="AI78" i="76" s="1"/>
  <c r="AK78" i="76" s="1"/>
  <c r="AH81" i="76"/>
  <c r="AI81" i="76" s="1"/>
  <c r="AK81" i="76" s="1"/>
  <c r="AH84" i="76"/>
  <c r="AI84" i="76" s="1"/>
  <c r="AK84" i="76" s="1"/>
  <c r="AH85" i="1"/>
  <c r="AI85" i="1" s="1"/>
  <c r="AK85" i="1" s="1"/>
  <c r="AH81" i="202"/>
  <c r="AI81" i="202" s="1"/>
  <c r="AK81" i="202" s="1"/>
  <c r="AH81" i="198"/>
  <c r="AI81" i="198" s="1"/>
  <c r="AK81" i="198" s="1"/>
  <c r="AH81" i="195"/>
  <c r="AI81" i="195" s="1"/>
  <c r="AK81" i="195" s="1"/>
  <c r="AH85" i="195"/>
  <c r="AI85" i="195" s="1"/>
  <c r="AK85" i="195" s="1"/>
  <c r="AH85" i="194"/>
  <c r="AI85" i="194" s="1"/>
  <c r="AK85" i="194" s="1"/>
  <c r="AH81" i="193"/>
  <c r="AI81" i="193" s="1"/>
  <c r="AK81" i="193" s="1"/>
  <c r="AH85" i="192"/>
  <c r="AI85" i="192" s="1"/>
  <c r="AK85" i="192" s="1"/>
  <c r="AH81" i="183"/>
  <c r="AI81" i="183" s="1"/>
  <c r="AK81" i="183" s="1"/>
  <c r="AH83" i="145"/>
  <c r="AI83" i="145" s="1"/>
  <c r="AK83" i="145" s="1"/>
  <c r="AH76" i="129"/>
  <c r="AI76" i="129" s="1"/>
  <c r="AK76" i="129" s="1"/>
  <c r="AH79" i="129"/>
  <c r="AI79" i="129" s="1"/>
  <c r="AK79" i="129" s="1"/>
  <c r="AH76" i="122"/>
  <c r="AI76" i="122" s="1"/>
  <c r="AK76" i="122" s="1"/>
  <c r="AH79" i="122"/>
  <c r="AI79" i="122" s="1"/>
  <c r="AK79" i="122" s="1"/>
  <c r="AH83" i="122"/>
  <c r="AI83" i="122" s="1"/>
  <c r="AK83" i="122" s="1"/>
  <c r="AH76" i="1"/>
  <c r="AI76" i="1" s="1"/>
  <c r="AK76" i="1" s="1"/>
  <c r="AH80" i="1"/>
  <c r="AI80" i="1" s="1"/>
  <c r="AK80" i="1" s="1"/>
  <c r="AH80" i="195"/>
  <c r="AI80" i="195" s="1"/>
  <c r="AK80" i="195" s="1"/>
  <c r="AH80" i="192"/>
  <c r="AI80" i="192" s="1"/>
  <c r="AK80" i="192" s="1"/>
  <c r="AH80" i="191"/>
  <c r="AI80" i="191" s="1"/>
  <c r="AK80" i="191" s="1"/>
  <c r="AH80" i="182"/>
  <c r="AI80" i="182" s="1"/>
  <c r="AK80" i="182" s="1"/>
  <c r="AH80" i="180"/>
  <c r="AI80" i="180" s="1"/>
  <c r="AK80" i="180" s="1"/>
  <c r="AH76" i="179"/>
  <c r="AI76" i="179" s="1"/>
  <c r="AK76" i="179" s="1"/>
  <c r="AH80" i="179"/>
  <c r="AI80" i="179" s="1"/>
  <c r="AK80" i="179" s="1"/>
  <c r="AH76" i="175"/>
  <c r="AI76" i="175" s="1"/>
  <c r="AK76" i="175" s="1"/>
  <c r="AH80" i="175"/>
  <c r="AI80" i="175" s="1"/>
  <c r="AK80" i="175" s="1"/>
  <c r="AH86" i="166"/>
  <c r="AI86" i="166" s="1"/>
  <c r="AK86" i="166" s="1"/>
  <c r="AH84" i="165"/>
  <c r="AI84" i="165" s="1"/>
  <c r="AK84" i="165" s="1"/>
  <c r="AH78" i="164"/>
  <c r="AI78" i="164" s="1"/>
  <c r="AK78" i="164" s="1"/>
  <c r="AH81" i="164"/>
  <c r="AI81" i="164" s="1"/>
  <c r="AK81" i="164" s="1"/>
  <c r="AH83" i="163"/>
  <c r="AI83" i="163" s="1"/>
  <c r="AK83" i="163" s="1"/>
  <c r="AH82" i="163"/>
  <c r="AI82" i="163" s="1"/>
  <c r="AK82" i="163" s="1"/>
  <c r="AH85" i="163"/>
  <c r="AI85" i="163" s="1"/>
  <c r="AK85" i="163" s="1"/>
  <c r="AH80" i="162"/>
  <c r="AI80" i="162" s="1"/>
  <c r="AK80" i="162" s="1"/>
  <c r="AH86" i="162"/>
  <c r="AI86" i="162" s="1"/>
  <c r="AK86" i="162" s="1"/>
  <c r="AH83" i="160"/>
  <c r="AI83" i="160" s="1"/>
  <c r="AK83" i="160" s="1"/>
  <c r="AH86" i="160"/>
  <c r="AI86" i="160" s="1"/>
  <c r="AK86" i="160" s="1"/>
  <c r="AH84" i="159"/>
  <c r="AI84" i="159" s="1"/>
  <c r="AK84" i="159" s="1"/>
  <c r="AH82" i="158"/>
  <c r="AI82" i="158" s="1"/>
  <c r="AK82" i="158" s="1"/>
  <c r="AH85" i="158"/>
  <c r="AI85" i="158" s="1"/>
  <c r="AK85" i="158" s="1"/>
  <c r="AH79" i="157"/>
  <c r="AI79" i="157" s="1"/>
  <c r="AK79" i="157" s="1"/>
  <c r="AH80" i="157"/>
  <c r="AI80" i="157" s="1"/>
  <c r="AK80" i="157" s="1"/>
  <c r="AH86" i="157"/>
  <c r="AI86" i="157" s="1"/>
  <c r="AK86" i="157" s="1"/>
  <c r="AK78" i="155"/>
  <c r="AH79" i="154"/>
  <c r="AI79" i="154" s="1"/>
  <c r="AK79" i="154" s="1"/>
  <c r="AH80" i="154"/>
  <c r="AI80" i="154" s="1"/>
  <c r="AK80" i="154" s="1"/>
  <c r="AH83" i="153"/>
  <c r="AI83" i="153" s="1"/>
  <c r="AK83" i="153" s="1"/>
  <c r="AH84" i="153"/>
  <c r="AI84" i="153" s="1"/>
  <c r="AK84" i="153" s="1"/>
  <c r="AH81" i="152"/>
  <c r="AI81" i="152" s="1"/>
  <c r="AK81" i="152" s="1"/>
  <c r="AH85" i="151"/>
  <c r="AI85" i="151" s="1"/>
  <c r="AK85" i="151" s="1"/>
  <c r="AH83" i="150"/>
  <c r="AI83" i="150" s="1"/>
  <c r="AK83" i="150" s="1"/>
  <c r="AH84" i="150"/>
  <c r="AI84" i="150" s="1"/>
  <c r="AK84" i="150" s="1"/>
  <c r="AH85" i="149"/>
  <c r="AI85" i="149" s="1"/>
  <c r="AK85" i="149" s="1"/>
  <c r="AH79" i="147"/>
  <c r="AI79" i="147" s="1"/>
  <c r="AK79" i="147" s="1"/>
  <c r="AH80" i="147"/>
  <c r="AI80" i="147" s="1"/>
  <c r="AK80" i="147" s="1"/>
  <c r="AH83" i="146"/>
  <c r="AI83" i="146" s="1"/>
  <c r="AK83" i="146" s="1"/>
  <c r="AH84" i="146"/>
  <c r="AI84" i="146" s="1"/>
  <c r="AK84" i="146" s="1"/>
  <c r="AH81" i="145"/>
  <c r="AI81" i="145" s="1"/>
  <c r="AK81" i="145" s="1"/>
  <c r="AH85" i="148"/>
  <c r="AI85" i="148" s="1"/>
  <c r="AK85" i="148" s="1"/>
  <c r="AH79" i="144"/>
  <c r="AI79" i="144" s="1"/>
  <c r="AK79" i="144" s="1"/>
  <c r="AH80" i="144"/>
  <c r="AI80" i="144" s="1"/>
  <c r="AK80" i="144" s="1"/>
  <c r="AH83" i="143"/>
  <c r="AI83" i="143" s="1"/>
  <c r="AK83" i="143" s="1"/>
  <c r="AH84" i="143"/>
  <c r="AI84" i="143" s="1"/>
  <c r="AK84" i="143" s="1"/>
  <c r="AH81" i="142"/>
  <c r="AI81" i="142" s="1"/>
  <c r="AK81" i="142" s="1"/>
  <c r="AH85" i="141"/>
  <c r="AI85" i="141" s="1"/>
  <c r="AK85" i="141" s="1"/>
  <c r="AH79" i="139"/>
  <c r="AI79" i="139" s="1"/>
  <c r="AK79" i="139" s="1"/>
  <c r="AH80" i="139"/>
  <c r="AI80" i="139" s="1"/>
  <c r="AK80" i="139" s="1"/>
  <c r="AH85" i="138"/>
  <c r="AI85" i="138" s="1"/>
  <c r="AK85" i="138" s="1"/>
  <c r="AH80" i="137"/>
  <c r="AI80" i="137" s="1"/>
  <c r="AK80" i="137" s="1"/>
  <c r="AH86" i="137"/>
  <c r="AI86" i="137" s="1"/>
  <c r="AK86" i="137" s="1"/>
  <c r="AH83" i="129"/>
  <c r="AI83" i="129" s="1"/>
  <c r="AK83" i="129" s="1"/>
  <c r="AH80" i="125"/>
  <c r="AI80" i="125" s="1"/>
  <c r="AK80" i="125" s="1"/>
  <c r="AH86" i="125"/>
  <c r="AI86" i="125" s="1"/>
  <c r="AK86" i="125" s="1"/>
  <c r="AH84" i="122"/>
  <c r="AI84" i="122" s="1"/>
  <c r="AK84" i="122" s="1"/>
  <c r="AH76" i="114"/>
  <c r="AI76" i="114" s="1"/>
  <c r="AK76" i="114" s="1"/>
  <c r="AH79" i="114"/>
  <c r="AI79" i="114" s="1"/>
  <c r="AK79" i="114" s="1"/>
  <c r="AH78" i="95"/>
  <c r="AI78" i="95" s="1"/>
  <c r="AK78" i="95" s="1"/>
  <c r="AH81" i="95"/>
  <c r="AI81" i="95" s="1"/>
  <c r="AK81" i="95" s="1"/>
  <c r="AH85" i="95"/>
  <c r="AI85" i="95" s="1"/>
  <c r="AK85" i="95" s="1"/>
  <c r="AH84" i="95"/>
  <c r="AI84" i="95" s="1"/>
  <c r="AK84" i="95" s="1"/>
  <c r="AH78" i="90"/>
  <c r="AI78" i="90" s="1"/>
  <c r="AK78" i="90" s="1"/>
  <c r="AH81" i="90"/>
  <c r="AI81" i="90" s="1"/>
  <c r="AK81" i="90" s="1"/>
  <c r="AH85" i="90"/>
  <c r="AI85" i="90" s="1"/>
  <c r="AK85" i="90" s="1"/>
  <c r="AH81" i="138"/>
  <c r="AI81" i="138" s="1"/>
  <c r="AK81" i="138" s="1"/>
  <c r="AH84" i="138"/>
  <c r="AI84" i="138" s="1"/>
  <c r="AK84" i="138" s="1"/>
  <c r="AH81" i="137"/>
  <c r="AI81" i="137" s="1"/>
  <c r="AK81" i="137" s="1"/>
  <c r="AH82" i="137"/>
  <c r="AI82" i="137" s="1"/>
  <c r="AK82" i="137" s="1"/>
  <c r="AH80" i="134"/>
  <c r="AI80" i="134" s="1"/>
  <c r="AK80" i="134" s="1"/>
  <c r="AH86" i="134"/>
  <c r="AI86" i="134" s="1"/>
  <c r="AK86" i="134" s="1"/>
  <c r="AH82" i="132"/>
  <c r="AI82" i="132" s="1"/>
  <c r="AK82" i="132" s="1"/>
  <c r="AH83" i="132"/>
  <c r="AI83" i="132" s="1"/>
  <c r="AK83" i="132" s="1"/>
  <c r="AH80" i="131"/>
  <c r="AI80" i="131" s="1"/>
  <c r="AK80" i="131" s="1"/>
  <c r="AH86" i="131"/>
  <c r="AI86" i="131" s="1"/>
  <c r="AK86" i="131" s="1"/>
  <c r="AH81" i="130"/>
  <c r="AI81" i="130" s="1"/>
  <c r="AK81" i="130" s="1"/>
  <c r="AH84" i="130"/>
  <c r="AI84" i="130" s="1"/>
  <c r="AK84" i="130" s="1"/>
  <c r="AH78" i="127"/>
  <c r="AI78" i="127" s="1"/>
  <c r="AK78" i="127" s="1"/>
  <c r="AH85" i="127"/>
  <c r="AI85" i="127" s="1"/>
  <c r="AK85" i="127" s="1"/>
  <c r="AH82" i="140"/>
  <c r="AI82" i="140" s="1"/>
  <c r="AK82" i="140" s="1"/>
  <c r="AH83" i="140"/>
  <c r="AI83" i="140" s="1"/>
  <c r="AK83" i="140" s="1"/>
  <c r="AK77" i="136"/>
  <c r="AH80" i="136"/>
  <c r="AI80" i="136" s="1"/>
  <c r="AK80" i="136" s="1"/>
  <c r="AH86" i="136"/>
  <c r="AI86" i="136" s="1"/>
  <c r="AK86" i="136" s="1"/>
  <c r="AH81" i="135"/>
  <c r="AI81" i="135" s="1"/>
  <c r="AK81" i="135" s="1"/>
  <c r="AH84" i="135"/>
  <c r="AI84" i="135" s="1"/>
  <c r="AK84" i="135" s="1"/>
  <c r="AH78" i="129"/>
  <c r="AI78" i="129" s="1"/>
  <c r="AK78" i="129" s="1"/>
  <c r="AH85" i="129"/>
  <c r="AI85" i="129" s="1"/>
  <c r="AK85" i="129" s="1"/>
  <c r="AK77" i="128"/>
  <c r="AH80" i="128"/>
  <c r="AI80" i="128" s="1"/>
  <c r="AK80" i="128" s="1"/>
  <c r="AH86" i="128"/>
  <c r="AI86" i="128" s="1"/>
  <c r="AK86" i="128" s="1"/>
  <c r="AH81" i="126"/>
  <c r="AI81" i="126" s="1"/>
  <c r="AK81" i="126" s="1"/>
  <c r="AH84" i="126"/>
  <c r="AI84" i="126" s="1"/>
  <c r="AK84" i="126" s="1"/>
  <c r="AH85" i="125"/>
  <c r="AI85" i="125" s="1"/>
  <c r="AK85" i="125" s="1"/>
  <c r="AH82" i="125"/>
  <c r="AI82" i="125" s="1"/>
  <c r="AK82" i="125" s="1"/>
  <c r="AH80" i="124"/>
  <c r="AI80" i="124" s="1"/>
  <c r="AK80" i="124" s="1"/>
  <c r="AH86" i="124"/>
  <c r="AI86" i="124" s="1"/>
  <c r="AK86" i="124" s="1"/>
  <c r="AH84" i="123"/>
  <c r="AI84" i="123" s="1"/>
  <c r="AK84" i="123" s="1"/>
  <c r="AH86" i="122"/>
  <c r="AI86" i="122" s="1"/>
  <c r="AK86" i="122" s="1"/>
  <c r="AK77" i="122"/>
  <c r="AH80" i="122"/>
  <c r="AI80" i="122" s="1"/>
  <c r="AK80" i="122" s="1"/>
  <c r="AH84" i="121"/>
  <c r="AI84" i="121" s="1"/>
  <c r="AK84" i="121" s="1"/>
  <c r="AH86" i="120"/>
  <c r="AI86" i="120" s="1"/>
  <c r="AK86" i="120" s="1"/>
  <c r="AH85" i="120"/>
  <c r="AI85" i="120" s="1"/>
  <c r="AK85" i="120" s="1"/>
  <c r="AH83" i="119"/>
  <c r="AI83" i="119" s="1"/>
  <c r="AK83" i="119" s="1"/>
  <c r="AK77" i="118"/>
  <c r="AH81" i="118"/>
  <c r="AI81" i="118" s="1"/>
  <c r="AK81" i="118" s="1"/>
  <c r="AH84" i="118"/>
  <c r="AI84" i="118" s="1"/>
  <c r="AK84" i="118" s="1"/>
  <c r="AH86" i="117"/>
  <c r="AI86" i="117" s="1"/>
  <c r="AK86" i="117" s="1"/>
  <c r="AH85" i="117"/>
  <c r="AI85" i="117" s="1"/>
  <c r="AK85" i="117" s="1"/>
  <c r="AH83" i="116"/>
  <c r="AI83" i="116" s="1"/>
  <c r="AK83" i="116" s="1"/>
  <c r="AK77" i="115"/>
  <c r="AH81" i="115"/>
  <c r="AI81" i="115" s="1"/>
  <c r="AK81" i="115" s="1"/>
  <c r="AH84" i="115"/>
  <c r="AI84" i="115" s="1"/>
  <c r="AK84" i="115" s="1"/>
  <c r="AH86" i="114"/>
  <c r="AI86" i="114" s="1"/>
  <c r="AK86" i="114" s="1"/>
  <c r="AH85" i="114"/>
  <c r="AI85" i="114" s="1"/>
  <c r="AK85" i="114" s="1"/>
  <c r="AH83" i="112"/>
  <c r="AI83" i="112" s="1"/>
  <c r="AK83" i="112" s="1"/>
  <c r="AK77" i="113"/>
  <c r="AK81" i="113"/>
  <c r="AI78" i="97"/>
  <c r="AK78" i="97" s="1"/>
  <c r="AI81" i="97"/>
  <c r="AK81" i="97" s="1"/>
  <c r="AI84" i="97"/>
  <c r="AK84" i="97" s="1"/>
  <c r="AH78" i="91"/>
  <c r="AI78" i="91" s="1"/>
  <c r="AK78" i="91" s="1"/>
  <c r="AH81" i="91"/>
  <c r="AI81" i="91" s="1"/>
  <c r="AK81" i="91" s="1"/>
  <c r="AH78" i="83"/>
  <c r="AI78" i="83" s="1"/>
  <c r="AK78" i="83" s="1"/>
  <c r="AH81" i="83"/>
  <c r="AI81" i="83" s="1"/>
  <c r="AK81" i="83" s="1"/>
  <c r="AH78" i="79"/>
  <c r="AI78" i="79" s="1"/>
  <c r="AK78" i="79" s="1"/>
  <c r="AH81" i="79"/>
  <c r="AI81" i="79" s="1"/>
  <c r="AK81" i="79" s="1"/>
  <c r="AH78" i="154"/>
  <c r="AI78" i="154" s="1"/>
  <c r="AK78" i="154" s="1"/>
  <c r="AH82" i="154"/>
  <c r="AI82" i="154" s="1"/>
  <c r="AK82" i="154" s="1"/>
  <c r="AH86" i="154"/>
  <c r="AI86" i="154" s="1"/>
  <c r="AK86" i="154" s="1"/>
  <c r="AH78" i="153"/>
  <c r="AI78" i="153" s="1"/>
  <c r="AK78" i="153" s="1"/>
  <c r="AH82" i="153"/>
  <c r="AI82" i="153" s="1"/>
  <c r="AK82" i="153" s="1"/>
  <c r="AH86" i="153"/>
  <c r="AI86" i="153" s="1"/>
  <c r="AK86" i="153" s="1"/>
  <c r="AH78" i="152"/>
  <c r="AI78" i="152" s="1"/>
  <c r="AK78" i="152" s="1"/>
  <c r="AH82" i="152"/>
  <c r="AI82" i="152" s="1"/>
  <c r="AK82" i="152" s="1"/>
  <c r="AH86" i="152"/>
  <c r="AI86" i="152" s="1"/>
  <c r="AK86" i="152" s="1"/>
  <c r="AH78" i="151"/>
  <c r="AI78" i="151" s="1"/>
  <c r="AK78" i="151" s="1"/>
  <c r="AH82" i="151"/>
  <c r="AI82" i="151" s="1"/>
  <c r="AK82" i="151" s="1"/>
  <c r="AH86" i="151"/>
  <c r="AI86" i="151" s="1"/>
  <c r="AK86" i="151" s="1"/>
  <c r="AH82" i="150"/>
  <c r="AI82" i="150" s="1"/>
  <c r="AK82" i="150" s="1"/>
  <c r="AH86" i="150"/>
  <c r="AI86" i="150" s="1"/>
  <c r="AK86" i="150" s="1"/>
  <c r="AH82" i="149"/>
  <c r="AI82" i="149" s="1"/>
  <c r="AK82" i="149" s="1"/>
  <c r="AH86" i="149"/>
  <c r="AI86" i="149" s="1"/>
  <c r="AK86" i="149" s="1"/>
  <c r="AH78" i="147"/>
  <c r="AI78" i="147" s="1"/>
  <c r="AK78" i="147" s="1"/>
  <c r="AH82" i="147"/>
  <c r="AI82" i="147" s="1"/>
  <c r="AK82" i="147" s="1"/>
  <c r="AH86" i="147"/>
  <c r="AI86" i="147" s="1"/>
  <c r="AK86" i="147" s="1"/>
  <c r="AH78" i="146"/>
  <c r="AI78" i="146" s="1"/>
  <c r="AK78" i="146" s="1"/>
  <c r="AH82" i="146"/>
  <c r="AI82" i="146" s="1"/>
  <c r="AK82" i="146" s="1"/>
  <c r="AH86" i="146"/>
  <c r="AI86" i="146" s="1"/>
  <c r="AK86" i="146" s="1"/>
  <c r="AH78" i="145"/>
  <c r="AI78" i="145" s="1"/>
  <c r="AK78" i="145" s="1"/>
  <c r="AH82" i="145"/>
  <c r="AI82" i="145" s="1"/>
  <c r="AK82" i="145" s="1"/>
  <c r="AH86" i="145"/>
  <c r="AI86" i="145" s="1"/>
  <c r="AK86" i="145" s="1"/>
  <c r="AH78" i="148"/>
  <c r="AI78" i="148" s="1"/>
  <c r="AK78" i="148" s="1"/>
  <c r="AH82" i="148"/>
  <c r="AI82" i="148" s="1"/>
  <c r="AK82" i="148" s="1"/>
  <c r="AH86" i="148"/>
  <c r="AI86" i="148" s="1"/>
  <c r="AK86" i="148" s="1"/>
  <c r="AH78" i="144"/>
  <c r="AI78" i="144" s="1"/>
  <c r="AK78" i="144" s="1"/>
  <c r="AH82" i="144"/>
  <c r="AI82" i="144" s="1"/>
  <c r="AK82" i="144" s="1"/>
  <c r="AH86" i="144"/>
  <c r="AI86" i="144" s="1"/>
  <c r="AK86" i="144" s="1"/>
  <c r="AH78" i="143"/>
  <c r="AI78" i="143" s="1"/>
  <c r="AK78" i="143" s="1"/>
  <c r="AH82" i="143"/>
  <c r="AI82" i="143" s="1"/>
  <c r="AK82" i="143" s="1"/>
  <c r="AH86" i="143"/>
  <c r="AI86" i="143" s="1"/>
  <c r="AK86" i="143" s="1"/>
  <c r="AH78" i="142"/>
  <c r="AI78" i="142" s="1"/>
  <c r="AK78" i="142" s="1"/>
  <c r="AH82" i="142"/>
  <c r="AI82" i="142" s="1"/>
  <c r="AK82" i="142" s="1"/>
  <c r="AH86" i="142"/>
  <c r="AI86" i="142" s="1"/>
  <c r="AK86" i="142" s="1"/>
  <c r="AH78" i="141"/>
  <c r="AI78" i="141" s="1"/>
  <c r="AK78" i="141" s="1"/>
  <c r="AH82" i="141"/>
  <c r="AI82" i="141" s="1"/>
  <c r="AK82" i="141" s="1"/>
  <c r="AH86" i="141"/>
  <c r="AI86" i="141" s="1"/>
  <c r="AK86" i="141" s="1"/>
  <c r="AH78" i="139"/>
  <c r="AI78" i="139" s="1"/>
  <c r="AK78" i="139" s="1"/>
  <c r="AH82" i="139"/>
  <c r="AI82" i="139" s="1"/>
  <c r="AK82" i="139" s="1"/>
  <c r="AH86" i="139"/>
  <c r="AI86" i="139" s="1"/>
  <c r="AK86" i="139" s="1"/>
  <c r="AH78" i="138"/>
  <c r="AI78" i="138" s="1"/>
  <c r="AK78" i="138" s="1"/>
  <c r="AH80" i="138"/>
  <c r="AI80" i="138" s="1"/>
  <c r="AK80" i="138" s="1"/>
  <c r="AH86" i="138"/>
  <c r="AI86" i="138" s="1"/>
  <c r="AK86" i="138" s="1"/>
  <c r="AH78" i="137"/>
  <c r="AI78" i="137" s="1"/>
  <c r="AK78" i="137" s="1"/>
  <c r="AH85" i="137"/>
  <c r="AI85" i="137" s="1"/>
  <c r="AK85" i="137" s="1"/>
  <c r="AH82" i="134"/>
  <c r="AI82" i="134" s="1"/>
  <c r="AK82" i="134" s="1"/>
  <c r="AH83" i="134"/>
  <c r="AI83" i="134" s="1"/>
  <c r="AK83" i="134" s="1"/>
  <c r="AH85" i="132"/>
  <c r="AI85" i="132" s="1"/>
  <c r="AK85" i="132" s="1"/>
  <c r="AH82" i="131"/>
  <c r="AI82" i="131" s="1"/>
  <c r="AK82" i="131" s="1"/>
  <c r="AH83" i="131"/>
  <c r="AI83" i="131" s="1"/>
  <c r="AK83" i="131" s="1"/>
  <c r="AH86" i="130"/>
  <c r="AI86" i="130" s="1"/>
  <c r="AK86" i="130" s="1"/>
  <c r="AH81" i="127"/>
  <c r="AI81" i="127" s="1"/>
  <c r="AK81" i="127" s="1"/>
  <c r="AH84" i="127"/>
  <c r="AI84" i="127" s="1"/>
  <c r="AK84" i="127" s="1"/>
  <c r="AH85" i="140"/>
  <c r="AI85" i="140" s="1"/>
  <c r="AK85" i="140" s="1"/>
  <c r="AH82" i="136"/>
  <c r="AI82" i="136" s="1"/>
  <c r="AK82" i="136" s="1"/>
  <c r="AH83" i="136"/>
  <c r="AI83" i="136" s="1"/>
  <c r="AK83" i="136" s="1"/>
  <c r="AH86" i="135"/>
  <c r="AI86" i="135" s="1"/>
  <c r="AK86" i="135" s="1"/>
  <c r="AH81" i="129"/>
  <c r="AI81" i="129" s="1"/>
  <c r="AK81" i="129" s="1"/>
  <c r="AH84" i="129"/>
  <c r="AI84" i="129" s="1"/>
  <c r="AK84" i="129" s="1"/>
  <c r="AH85" i="128"/>
  <c r="AI85" i="128" s="1"/>
  <c r="AK85" i="128" s="1"/>
  <c r="AH86" i="126"/>
  <c r="AI86" i="126" s="1"/>
  <c r="AK86" i="126" s="1"/>
  <c r="AH78" i="125"/>
  <c r="AI78" i="125" s="1"/>
  <c r="AK78" i="125" s="1"/>
  <c r="AH82" i="124"/>
  <c r="AI82" i="124" s="1"/>
  <c r="AK82" i="124" s="1"/>
  <c r="AH83" i="124"/>
  <c r="AI83" i="124" s="1"/>
  <c r="AK83" i="124" s="1"/>
  <c r="AH86" i="123"/>
  <c r="AI86" i="123" s="1"/>
  <c r="AK86" i="123" s="1"/>
  <c r="AH81" i="120"/>
  <c r="AI81" i="120" s="1"/>
  <c r="AK81" i="120" s="1"/>
  <c r="AH84" i="120"/>
  <c r="AI84" i="120" s="1"/>
  <c r="AK84" i="120" s="1"/>
  <c r="AH86" i="119"/>
  <c r="AI86" i="119" s="1"/>
  <c r="AK86" i="119" s="1"/>
  <c r="AH85" i="119"/>
  <c r="AI85" i="119" s="1"/>
  <c r="AK85" i="119" s="1"/>
  <c r="AH80" i="118"/>
  <c r="AI80" i="118" s="1"/>
  <c r="AK80" i="118" s="1"/>
  <c r="AH81" i="117"/>
  <c r="AI81" i="117" s="1"/>
  <c r="AK81" i="117" s="1"/>
  <c r="AH84" i="117"/>
  <c r="AI84" i="117" s="1"/>
  <c r="AK84" i="117" s="1"/>
  <c r="AH86" i="116"/>
  <c r="AI86" i="116" s="1"/>
  <c r="AK86" i="116" s="1"/>
  <c r="AH85" i="116"/>
  <c r="AI85" i="116" s="1"/>
  <c r="AK85" i="116" s="1"/>
  <c r="AH80" i="115"/>
  <c r="AI80" i="115" s="1"/>
  <c r="AK80" i="115" s="1"/>
  <c r="AH81" i="114"/>
  <c r="AI81" i="114" s="1"/>
  <c r="AK81" i="114" s="1"/>
  <c r="AH84" i="114"/>
  <c r="AI84" i="114" s="1"/>
  <c r="AK84" i="114" s="1"/>
  <c r="AH86" i="112"/>
  <c r="AI86" i="112" s="1"/>
  <c r="AK86" i="112" s="1"/>
  <c r="AH85" i="112"/>
  <c r="AI85" i="112" s="1"/>
  <c r="AK85" i="112" s="1"/>
  <c r="AH78" i="101"/>
  <c r="AI78" i="101" s="1"/>
  <c r="AK78" i="101" s="1"/>
  <c r="AH81" i="101"/>
  <c r="AI81" i="101" s="1"/>
  <c r="AK81" i="101" s="1"/>
  <c r="AH84" i="101"/>
  <c r="AI84" i="101" s="1"/>
  <c r="AK84" i="101" s="1"/>
  <c r="AH78" i="93"/>
  <c r="AI78" i="93" s="1"/>
  <c r="AK78" i="93" s="1"/>
  <c r="AH81" i="93"/>
  <c r="AI81" i="93" s="1"/>
  <c r="AK81" i="93" s="1"/>
  <c r="AH78" i="88"/>
  <c r="AI78" i="88" s="1"/>
  <c r="AK78" i="88" s="1"/>
  <c r="AH81" i="88"/>
  <c r="AI81" i="88" s="1"/>
  <c r="AK81" i="88" s="1"/>
  <c r="AH78" i="84"/>
  <c r="AI78" i="84" s="1"/>
  <c r="AK78" i="84" s="1"/>
  <c r="AH81" i="84"/>
  <c r="AI81" i="84" s="1"/>
  <c r="AK81" i="84" s="1"/>
  <c r="AH75" i="165"/>
  <c r="AI75" i="165" s="1"/>
  <c r="AK75" i="165" s="1"/>
  <c r="AH79" i="165"/>
  <c r="AI79" i="165" s="1"/>
  <c r="AK79" i="165" s="1"/>
  <c r="AH75" i="164"/>
  <c r="AI75" i="164" s="1"/>
  <c r="AK75" i="164" s="1"/>
  <c r="AH75" i="163"/>
  <c r="AI75" i="163" s="1"/>
  <c r="AK75" i="163" s="1"/>
  <c r="AH75" i="162"/>
  <c r="AI75" i="162" s="1"/>
  <c r="AK75" i="162" s="1"/>
  <c r="AH79" i="162"/>
  <c r="AI79" i="162" s="1"/>
  <c r="AK79" i="162" s="1"/>
  <c r="AH75" i="160"/>
  <c r="AI75" i="160" s="1"/>
  <c r="AK75" i="160" s="1"/>
  <c r="AH75" i="159"/>
  <c r="AI75" i="159" s="1"/>
  <c r="AK75" i="159" s="1"/>
  <c r="AH79" i="158"/>
  <c r="AI79" i="158" s="1"/>
  <c r="AK79" i="158" s="1"/>
  <c r="AH75" i="157"/>
  <c r="AI75" i="157" s="1"/>
  <c r="AK75" i="157" s="1"/>
  <c r="AH75" i="138"/>
  <c r="AI75" i="138" s="1"/>
  <c r="AK75" i="138" s="1"/>
  <c r="AH79" i="138"/>
  <c r="AI79" i="138" s="1"/>
  <c r="AK79" i="138" s="1"/>
  <c r="AH82" i="138"/>
  <c r="AI82" i="138" s="1"/>
  <c r="AK82" i="138" s="1"/>
  <c r="AH84" i="137"/>
  <c r="AI84" i="137" s="1"/>
  <c r="AK84" i="137" s="1"/>
  <c r="AH77" i="134"/>
  <c r="AI77" i="134" s="1"/>
  <c r="AK77" i="134" s="1"/>
  <c r="AH78" i="134"/>
  <c r="AI78" i="134" s="1"/>
  <c r="AK78" i="134" s="1"/>
  <c r="AH79" i="134"/>
  <c r="AI79" i="134" s="1"/>
  <c r="AK79" i="134" s="1"/>
  <c r="AH85" i="134"/>
  <c r="AI85" i="134" s="1"/>
  <c r="AK85" i="134" s="1"/>
  <c r="AK77" i="133"/>
  <c r="AH80" i="133"/>
  <c r="AI80" i="133" s="1"/>
  <c r="AK80" i="133" s="1"/>
  <c r="AH86" i="133"/>
  <c r="AI86" i="133" s="1"/>
  <c r="AK86" i="133" s="1"/>
  <c r="AH84" i="132"/>
  <c r="AI84" i="132" s="1"/>
  <c r="AK84" i="132" s="1"/>
  <c r="AH81" i="131"/>
  <c r="AI81" i="131" s="1"/>
  <c r="AK81" i="131" s="1"/>
  <c r="AH78" i="131"/>
  <c r="AI78" i="131" s="1"/>
  <c r="AK78" i="131" s="1"/>
  <c r="AH79" i="131"/>
  <c r="AI79" i="131" s="1"/>
  <c r="AK79" i="131" s="1"/>
  <c r="AH85" i="131"/>
  <c r="AI85" i="131" s="1"/>
  <c r="AK85" i="131" s="1"/>
  <c r="AH82" i="130"/>
  <c r="AI82" i="130" s="1"/>
  <c r="AK82" i="130" s="1"/>
  <c r="AH83" i="130"/>
  <c r="AI83" i="130" s="1"/>
  <c r="AK83" i="130" s="1"/>
  <c r="AH77" i="127"/>
  <c r="AI77" i="127" s="1"/>
  <c r="AK77" i="127" s="1"/>
  <c r="AH80" i="127"/>
  <c r="AI80" i="127" s="1"/>
  <c r="AK80" i="127" s="1"/>
  <c r="AH86" i="127"/>
  <c r="AI86" i="127" s="1"/>
  <c r="AK86" i="127" s="1"/>
  <c r="AH81" i="140"/>
  <c r="AI81" i="140" s="1"/>
  <c r="AK81" i="140" s="1"/>
  <c r="AH84" i="140"/>
  <c r="AI84" i="140" s="1"/>
  <c r="AK84" i="140" s="1"/>
  <c r="AH85" i="136"/>
  <c r="AI85" i="136" s="1"/>
  <c r="AK85" i="136" s="1"/>
  <c r="AH82" i="135"/>
  <c r="AI82" i="135" s="1"/>
  <c r="AK82" i="135" s="1"/>
  <c r="AH83" i="135"/>
  <c r="AI83" i="135" s="1"/>
  <c r="AK83" i="135" s="1"/>
  <c r="AH77" i="129"/>
  <c r="AI77" i="129" s="1"/>
  <c r="AK77" i="129" s="1"/>
  <c r="AH80" i="129"/>
  <c r="AI80" i="129" s="1"/>
  <c r="AK80" i="129" s="1"/>
  <c r="AH86" i="129"/>
  <c r="AI86" i="129" s="1"/>
  <c r="AK86" i="129" s="1"/>
  <c r="AH82" i="126"/>
  <c r="AI82" i="126" s="1"/>
  <c r="AK82" i="126" s="1"/>
  <c r="AH83" i="126"/>
  <c r="AI83" i="126" s="1"/>
  <c r="AK83" i="126" s="1"/>
  <c r="AH84" i="125"/>
  <c r="AI84" i="125" s="1"/>
  <c r="AK84" i="125" s="1"/>
  <c r="AH85" i="124"/>
  <c r="AI85" i="124" s="1"/>
  <c r="AK85" i="124" s="1"/>
  <c r="AH78" i="124"/>
  <c r="AI78" i="124" s="1"/>
  <c r="AK78" i="124" s="1"/>
  <c r="AH79" i="124"/>
  <c r="AI79" i="124" s="1"/>
  <c r="AK79" i="124" s="1"/>
  <c r="AH82" i="123"/>
  <c r="AI82" i="123" s="1"/>
  <c r="AK82" i="123" s="1"/>
  <c r="AH83" i="123"/>
  <c r="AI83" i="123" s="1"/>
  <c r="AK83" i="123" s="1"/>
  <c r="AH83" i="121"/>
  <c r="AI83" i="121" s="1"/>
  <c r="AK83" i="121" s="1"/>
  <c r="AH77" i="120"/>
  <c r="AI77" i="120" s="1"/>
  <c r="AK77" i="120" s="1"/>
  <c r="AH80" i="120"/>
  <c r="AI80" i="120" s="1"/>
  <c r="AK80" i="120" s="1"/>
  <c r="AH81" i="119"/>
  <c r="AI81" i="119" s="1"/>
  <c r="AK81" i="119" s="1"/>
  <c r="AH84" i="119"/>
  <c r="AI84" i="119" s="1"/>
  <c r="AK84" i="119" s="1"/>
  <c r="AH86" i="118"/>
  <c r="AI86" i="118" s="1"/>
  <c r="AK86" i="118" s="1"/>
  <c r="AH83" i="118"/>
  <c r="AI83" i="118" s="1"/>
  <c r="AK83" i="118" s="1"/>
  <c r="AH77" i="117"/>
  <c r="AI77" i="117" s="1"/>
  <c r="AK77" i="117" s="1"/>
  <c r="AH80" i="117"/>
  <c r="AI80" i="117" s="1"/>
  <c r="AK80" i="117" s="1"/>
  <c r="AH81" i="116"/>
  <c r="AI81" i="116" s="1"/>
  <c r="AK81" i="116" s="1"/>
  <c r="AH84" i="116"/>
  <c r="AI84" i="116" s="1"/>
  <c r="AK84" i="116" s="1"/>
  <c r="AH86" i="115"/>
  <c r="AI86" i="115" s="1"/>
  <c r="AK86" i="115" s="1"/>
  <c r="AH83" i="115"/>
  <c r="AI83" i="115" s="1"/>
  <c r="AK83" i="115" s="1"/>
  <c r="AH77" i="114"/>
  <c r="AI77" i="114" s="1"/>
  <c r="AK77" i="114" s="1"/>
  <c r="AH80" i="114"/>
  <c r="AI80" i="114" s="1"/>
  <c r="AK80" i="114" s="1"/>
  <c r="AH81" i="112"/>
  <c r="AI81" i="112" s="1"/>
  <c r="AK81" i="112" s="1"/>
  <c r="AH84" i="112"/>
  <c r="AI84" i="112" s="1"/>
  <c r="AK84" i="112" s="1"/>
  <c r="AH78" i="89"/>
  <c r="AI78" i="89" s="1"/>
  <c r="AK78" i="89" s="1"/>
  <c r="AH81" i="89"/>
  <c r="AI81" i="89" s="1"/>
  <c r="AK81" i="89" s="1"/>
  <c r="AH83" i="109"/>
  <c r="AI83" i="109" s="1"/>
  <c r="AK83" i="109" s="1"/>
  <c r="AH86" i="109"/>
  <c r="AI86" i="109" s="1"/>
  <c r="AK86" i="109" s="1"/>
  <c r="AH84" i="107"/>
  <c r="AI84" i="107" s="1"/>
  <c r="AK84" i="107" s="1"/>
  <c r="AH85" i="107"/>
  <c r="AI85" i="107" s="1"/>
  <c r="AK85" i="107" s="1"/>
  <c r="AH83" i="105"/>
  <c r="AI83" i="105" s="1"/>
  <c r="AK83" i="105" s="1"/>
  <c r="AH86" i="105"/>
  <c r="AI86" i="105" s="1"/>
  <c r="AK86" i="105" s="1"/>
  <c r="AH85" i="103"/>
  <c r="AI85" i="103" s="1"/>
  <c r="AK85" i="103" s="1"/>
  <c r="AH83" i="98"/>
  <c r="AI83" i="98" s="1"/>
  <c r="AK83" i="98" s="1"/>
  <c r="AH86" i="98"/>
  <c r="AI86" i="98" s="1"/>
  <c r="AK86" i="98" s="1"/>
  <c r="AI80" i="97"/>
  <c r="AK80" i="97" s="1"/>
  <c r="AH84" i="104"/>
  <c r="AI84" i="104" s="1"/>
  <c r="AK84" i="104" s="1"/>
  <c r="AH85" i="104"/>
  <c r="AI85" i="104" s="1"/>
  <c r="AK85" i="104" s="1"/>
  <c r="AH80" i="101"/>
  <c r="AI80" i="101" s="1"/>
  <c r="AK80" i="101" s="1"/>
  <c r="AH86" i="96"/>
  <c r="AI86" i="96" s="1"/>
  <c r="AK86" i="96" s="1"/>
  <c r="AH80" i="95"/>
  <c r="AI80" i="95" s="1"/>
  <c r="AK80" i="95" s="1"/>
  <c r="AH80" i="91"/>
  <c r="AI80" i="91" s="1"/>
  <c r="AK80" i="91" s="1"/>
  <c r="AH83" i="90"/>
  <c r="AI83" i="90" s="1"/>
  <c r="AK83" i="90" s="1"/>
  <c r="AH84" i="90"/>
  <c r="AI84" i="90" s="1"/>
  <c r="AK84" i="90" s="1"/>
  <c r="AH83" i="89"/>
  <c r="AI83" i="89" s="1"/>
  <c r="AK83" i="89" s="1"/>
  <c r="AH84" i="89"/>
  <c r="AI84" i="89" s="1"/>
  <c r="AK84" i="89" s="1"/>
  <c r="AH83" i="88"/>
  <c r="AI83" i="88" s="1"/>
  <c r="AK83" i="88" s="1"/>
  <c r="AH84" i="88"/>
  <c r="AI84" i="88" s="1"/>
  <c r="AK84" i="88" s="1"/>
  <c r="AH84" i="83"/>
  <c r="AI84" i="83" s="1"/>
  <c r="AK84" i="83" s="1"/>
  <c r="AH83" i="82"/>
  <c r="AI83" i="82" s="1"/>
  <c r="AK83" i="82" s="1"/>
  <c r="AH84" i="82"/>
  <c r="AI84" i="82" s="1"/>
  <c r="AK84" i="82" s="1"/>
  <c r="AH84" i="84"/>
  <c r="AI84" i="84" s="1"/>
  <c r="AK84" i="84" s="1"/>
  <c r="AH84" i="79"/>
  <c r="AI84" i="79" s="1"/>
  <c r="AK84" i="79" s="1"/>
  <c r="AH80" i="76"/>
  <c r="AI80" i="76" s="1"/>
  <c r="AK80" i="76" s="1"/>
  <c r="AH76" i="86"/>
  <c r="AI76" i="86" s="1"/>
  <c r="AK76" i="86" s="1"/>
  <c r="AH79" i="86"/>
  <c r="AI79" i="86" s="1"/>
  <c r="AK79" i="86" s="1"/>
  <c r="AH82" i="86"/>
  <c r="AI82" i="86" s="1"/>
  <c r="AK82" i="86" s="1"/>
  <c r="AH86" i="75"/>
  <c r="AI86" i="75" s="1"/>
  <c r="AK86" i="75" s="1"/>
  <c r="AH81" i="133"/>
  <c r="AI81" i="133" s="1"/>
  <c r="AK81" i="133" s="1"/>
  <c r="AH77" i="132"/>
  <c r="AI77" i="132" s="1"/>
  <c r="AK77" i="132" s="1"/>
  <c r="AH81" i="132"/>
  <c r="AI81" i="132" s="1"/>
  <c r="AK81" i="132" s="1"/>
  <c r="AH77" i="131"/>
  <c r="AI77" i="131" s="1"/>
  <c r="AK77" i="131" s="1"/>
  <c r="AH81" i="136"/>
  <c r="AI81" i="136" s="1"/>
  <c r="AK81" i="136" s="1"/>
  <c r="AH81" i="125"/>
  <c r="AI81" i="125" s="1"/>
  <c r="AK81" i="125" s="1"/>
  <c r="AH77" i="124"/>
  <c r="AI77" i="124" s="1"/>
  <c r="AK77" i="124" s="1"/>
  <c r="AH81" i="124"/>
  <c r="AI81" i="124" s="1"/>
  <c r="AK81" i="124" s="1"/>
  <c r="AH77" i="123"/>
  <c r="AI77" i="123" s="1"/>
  <c r="AK77" i="123" s="1"/>
  <c r="AH81" i="123"/>
  <c r="AI81" i="123" s="1"/>
  <c r="AK81" i="123" s="1"/>
  <c r="AH81" i="122"/>
  <c r="AI81" i="122" s="1"/>
  <c r="AK81" i="122" s="1"/>
  <c r="AH85" i="122"/>
  <c r="AI85" i="122" s="1"/>
  <c r="AK85" i="122" s="1"/>
  <c r="AH77" i="121"/>
  <c r="AI77" i="121" s="1"/>
  <c r="AK77" i="121" s="1"/>
  <c r="AH81" i="121"/>
  <c r="AI81" i="121" s="1"/>
  <c r="AK81" i="121" s="1"/>
  <c r="AK75" i="110"/>
  <c r="AK79" i="109"/>
  <c r="AH82" i="109"/>
  <c r="AI82" i="109" s="1"/>
  <c r="AK82" i="109" s="1"/>
  <c r="AH83" i="108"/>
  <c r="AI83" i="108" s="1"/>
  <c r="AK83" i="108" s="1"/>
  <c r="AH86" i="108"/>
  <c r="AI86" i="108" s="1"/>
  <c r="AK86" i="108" s="1"/>
  <c r="AH80" i="107"/>
  <c r="AI80" i="107" s="1"/>
  <c r="AK80" i="107" s="1"/>
  <c r="AH81" i="107"/>
  <c r="AI81" i="107" s="1"/>
  <c r="AK81" i="107" s="1"/>
  <c r="AK75" i="106"/>
  <c r="AH84" i="106"/>
  <c r="AI84" i="106" s="1"/>
  <c r="AK84" i="106" s="1"/>
  <c r="AH85" i="106"/>
  <c r="AI85" i="106" s="1"/>
  <c r="AK85" i="106" s="1"/>
  <c r="AH79" i="105"/>
  <c r="AI79" i="105" s="1"/>
  <c r="AK79" i="105" s="1"/>
  <c r="AH82" i="105"/>
  <c r="AI82" i="105" s="1"/>
  <c r="AK82" i="105" s="1"/>
  <c r="AH81" i="103"/>
  <c r="AI81" i="103" s="1"/>
  <c r="AK81" i="103" s="1"/>
  <c r="AK75" i="99"/>
  <c r="AH84" i="99"/>
  <c r="AI84" i="99" s="1"/>
  <c r="AK84" i="99" s="1"/>
  <c r="AH85" i="99"/>
  <c r="AI85" i="99" s="1"/>
  <c r="AK85" i="99" s="1"/>
  <c r="AH79" i="98"/>
  <c r="AI79" i="98" s="1"/>
  <c r="AK79" i="98" s="1"/>
  <c r="AH82" i="98"/>
  <c r="AI82" i="98" s="1"/>
  <c r="AK82" i="98" s="1"/>
  <c r="AI83" i="97"/>
  <c r="AK83" i="97" s="1"/>
  <c r="AI86" i="97"/>
  <c r="AK86" i="97" s="1"/>
  <c r="AH80" i="104"/>
  <c r="AI80" i="104" s="1"/>
  <c r="AK80" i="104" s="1"/>
  <c r="AH81" i="104"/>
  <c r="AI81" i="104" s="1"/>
  <c r="AK81" i="104" s="1"/>
  <c r="AH83" i="102"/>
  <c r="AI83" i="102" s="1"/>
  <c r="AK83" i="102" s="1"/>
  <c r="AH84" i="102"/>
  <c r="AI84" i="102" s="1"/>
  <c r="AK84" i="102" s="1"/>
  <c r="AH85" i="102"/>
  <c r="AI85" i="102" s="1"/>
  <c r="AK85" i="102" s="1"/>
  <c r="AH86" i="101"/>
  <c r="AI86" i="101" s="1"/>
  <c r="AK86" i="101" s="1"/>
  <c r="AH84" i="100"/>
  <c r="AI84" i="100" s="1"/>
  <c r="AK84" i="100" s="1"/>
  <c r="AH85" i="100"/>
  <c r="AI85" i="100" s="1"/>
  <c r="AK85" i="100" s="1"/>
  <c r="AH79" i="96"/>
  <c r="AI79" i="96" s="1"/>
  <c r="AK79" i="96" s="1"/>
  <c r="AH82" i="96"/>
  <c r="AI82" i="96" s="1"/>
  <c r="AK82" i="96" s="1"/>
  <c r="AH83" i="95"/>
  <c r="AI83" i="95" s="1"/>
  <c r="AK83" i="95" s="1"/>
  <c r="AH86" i="95"/>
  <c r="AI86" i="95" s="1"/>
  <c r="AK86" i="95" s="1"/>
  <c r="AH85" i="94"/>
  <c r="AI85" i="94" s="1"/>
  <c r="AK85" i="94" s="1"/>
  <c r="AH83" i="93"/>
  <c r="AI83" i="93" s="1"/>
  <c r="AK83" i="93" s="1"/>
  <c r="AH86" i="93"/>
  <c r="AI86" i="93" s="1"/>
  <c r="AK86" i="93" s="1"/>
  <c r="AH85" i="92"/>
  <c r="AI85" i="92" s="1"/>
  <c r="AK85" i="92" s="1"/>
  <c r="AH86" i="91"/>
  <c r="AI86" i="91" s="1"/>
  <c r="AK86" i="91" s="1"/>
  <c r="AH86" i="90"/>
  <c r="AI86" i="90" s="1"/>
  <c r="AK86" i="90" s="1"/>
  <c r="AH86" i="89"/>
  <c r="AI86" i="89" s="1"/>
  <c r="AK86" i="89" s="1"/>
  <c r="AH86" i="88"/>
  <c r="AI86" i="88" s="1"/>
  <c r="AK86" i="88" s="1"/>
  <c r="AH85" i="77"/>
  <c r="AI85" i="77" s="1"/>
  <c r="AK85" i="77" s="1"/>
  <c r="AH86" i="83"/>
  <c r="AI86" i="83" s="1"/>
  <c r="AK86" i="83" s="1"/>
  <c r="AH86" i="82"/>
  <c r="AI86" i="82" s="1"/>
  <c r="AK86" i="82" s="1"/>
  <c r="AH83" i="84"/>
  <c r="AI83" i="84" s="1"/>
  <c r="AK83" i="84" s="1"/>
  <c r="AH86" i="84"/>
  <c r="AI86" i="84" s="1"/>
  <c r="AK86" i="84" s="1"/>
  <c r="AH85" i="80"/>
  <c r="AI85" i="80" s="1"/>
  <c r="AK85" i="80" s="1"/>
  <c r="AH83" i="79"/>
  <c r="AI83" i="79" s="1"/>
  <c r="AK83" i="79" s="1"/>
  <c r="AH86" i="79"/>
  <c r="AI86" i="79" s="1"/>
  <c r="AK86" i="79" s="1"/>
  <c r="AH85" i="78"/>
  <c r="AI85" i="78" s="1"/>
  <c r="AK85" i="78" s="1"/>
  <c r="AH77" i="73"/>
  <c r="AI77" i="73" s="1"/>
  <c r="AK77" i="73" s="1"/>
  <c r="AH76" i="73"/>
  <c r="AI76" i="73" s="1"/>
  <c r="AK76" i="73" s="1"/>
  <c r="AH79" i="73"/>
  <c r="AI79" i="73" s="1"/>
  <c r="AK79" i="73" s="1"/>
  <c r="AH82" i="73"/>
  <c r="AI82" i="73" s="1"/>
  <c r="AK82" i="73" s="1"/>
  <c r="AH86" i="72"/>
  <c r="AI86" i="72" s="1"/>
  <c r="AK86" i="72" s="1"/>
  <c r="AH78" i="122"/>
  <c r="AI78" i="122" s="1"/>
  <c r="AK78" i="122" s="1"/>
  <c r="AH82" i="122"/>
  <c r="AI82" i="122" s="1"/>
  <c r="AK82" i="122" s="1"/>
  <c r="AH78" i="121"/>
  <c r="AI78" i="121" s="1"/>
  <c r="AK78" i="121" s="1"/>
  <c r="AH82" i="121"/>
  <c r="AI82" i="121" s="1"/>
  <c r="AK82" i="121" s="1"/>
  <c r="AH78" i="120"/>
  <c r="AI78" i="120" s="1"/>
  <c r="AK78" i="120" s="1"/>
  <c r="AH82" i="120"/>
  <c r="AI82" i="120" s="1"/>
  <c r="AK82" i="120" s="1"/>
  <c r="AH78" i="119"/>
  <c r="AI78" i="119" s="1"/>
  <c r="AK78" i="119" s="1"/>
  <c r="AH82" i="119"/>
  <c r="AI82" i="119" s="1"/>
  <c r="AK82" i="119" s="1"/>
  <c r="AH82" i="118"/>
  <c r="AI82" i="118" s="1"/>
  <c r="AK82" i="118" s="1"/>
  <c r="AH78" i="117"/>
  <c r="AI78" i="117" s="1"/>
  <c r="AK78" i="117" s="1"/>
  <c r="AH82" i="117"/>
  <c r="AI82" i="117" s="1"/>
  <c r="AK82" i="117" s="1"/>
  <c r="AH78" i="116"/>
  <c r="AI78" i="116" s="1"/>
  <c r="AK78" i="116" s="1"/>
  <c r="AH82" i="116"/>
  <c r="AI82" i="116" s="1"/>
  <c r="AK82" i="116" s="1"/>
  <c r="AH82" i="115"/>
  <c r="AI82" i="115" s="1"/>
  <c r="AK82" i="115" s="1"/>
  <c r="AH78" i="114"/>
  <c r="AI78" i="114" s="1"/>
  <c r="AK78" i="114" s="1"/>
  <c r="AH82" i="114"/>
  <c r="AI82" i="114" s="1"/>
  <c r="AK82" i="114" s="1"/>
  <c r="AH78" i="112"/>
  <c r="AI78" i="112" s="1"/>
  <c r="AK78" i="112" s="1"/>
  <c r="AH82" i="112"/>
  <c r="AI82" i="112" s="1"/>
  <c r="AK82" i="112" s="1"/>
  <c r="AK83" i="111"/>
  <c r="AK75" i="109"/>
  <c r="AH84" i="109"/>
  <c r="AI84" i="109" s="1"/>
  <c r="AK84" i="109" s="1"/>
  <c r="AH85" i="109"/>
  <c r="AI85" i="109" s="1"/>
  <c r="AK85" i="109" s="1"/>
  <c r="AH79" i="108"/>
  <c r="AI79" i="108" s="1"/>
  <c r="AK79" i="108" s="1"/>
  <c r="AH82" i="108"/>
  <c r="AI82" i="108" s="1"/>
  <c r="AK82" i="108" s="1"/>
  <c r="AH83" i="107"/>
  <c r="AI83" i="107" s="1"/>
  <c r="AK83" i="107" s="1"/>
  <c r="AH86" i="107"/>
  <c r="AI86" i="107" s="1"/>
  <c r="AK86" i="107" s="1"/>
  <c r="AK75" i="105"/>
  <c r="AH84" i="105"/>
  <c r="AI84" i="105" s="1"/>
  <c r="AK84" i="105" s="1"/>
  <c r="AH85" i="105"/>
  <c r="AI85" i="105" s="1"/>
  <c r="AK85" i="105" s="1"/>
  <c r="AH83" i="103"/>
  <c r="AI83" i="103" s="1"/>
  <c r="AK83" i="103" s="1"/>
  <c r="AH86" i="103"/>
  <c r="AI86" i="103" s="1"/>
  <c r="AK86" i="103" s="1"/>
  <c r="AK75" i="98"/>
  <c r="AH84" i="98"/>
  <c r="AI84" i="98" s="1"/>
  <c r="AK84" i="98" s="1"/>
  <c r="AH85" i="98"/>
  <c r="AI85" i="98" s="1"/>
  <c r="AK85" i="98" s="1"/>
  <c r="AI79" i="97"/>
  <c r="AK79" i="97" s="1"/>
  <c r="AI82" i="97"/>
  <c r="AK82" i="97" s="1"/>
  <c r="AH83" i="104"/>
  <c r="AI83" i="104" s="1"/>
  <c r="AK83" i="104" s="1"/>
  <c r="AH86" i="104"/>
  <c r="AI86" i="104" s="1"/>
  <c r="AK86" i="104" s="1"/>
  <c r="AH83" i="101"/>
  <c r="AI83" i="101" s="1"/>
  <c r="AK83" i="101" s="1"/>
  <c r="AH82" i="101"/>
  <c r="AI82" i="101" s="1"/>
  <c r="AK82" i="101" s="1"/>
  <c r="AH84" i="96"/>
  <c r="AI84" i="96" s="1"/>
  <c r="AK84" i="96" s="1"/>
  <c r="AH85" i="96"/>
  <c r="AI85" i="96" s="1"/>
  <c r="AK85" i="96" s="1"/>
  <c r="AH79" i="95"/>
  <c r="AI79" i="95" s="1"/>
  <c r="AK79" i="95" s="1"/>
  <c r="AH82" i="95"/>
  <c r="AI82" i="95" s="1"/>
  <c r="AK82" i="95" s="1"/>
  <c r="AH84" i="93"/>
  <c r="AI84" i="93" s="1"/>
  <c r="AK84" i="93" s="1"/>
  <c r="AK79" i="93"/>
  <c r="AH82" i="93"/>
  <c r="AI82" i="93" s="1"/>
  <c r="AK82" i="93" s="1"/>
  <c r="AH84" i="91"/>
  <c r="AI84" i="91" s="1"/>
  <c r="AK84" i="91" s="1"/>
  <c r="AK79" i="91"/>
  <c r="AH82" i="91"/>
  <c r="AI82" i="91" s="1"/>
  <c r="AK82" i="91" s="1"/>
  <c r="AK75" i="90"/>
  <c r="AH82" i="90"/>
  <c r="AI82" i="90" s="1"/>
  <c r="AK82" i="90" s="1"/>
  <c r="AK75" i="89"/>
  <c r="AH82" i="89"/>
  <c r="AI82" i="89" s="1"/>
  <c r="AK82" i="89" s="1"/>
  <c r="AK75" i="88"/>
  <c r="AH82" i="88"/>
  <c r="AI82" i="88" s="1"/>
  <c r="AK82" i="88" s="1"/>
  <c r="AH83" i="83"/>
  <c r="AI83" i="83" s="1"/>
  <c r="AK83" i="83" s="1"/>
  <c r="AH82" i="83"/>
  <c r="AI82" i="83" s="1"/>
  <c r="AK82" i="83" s="1"/>
  <c r="AK75" i="82"/>
  <c r="AH82" i="82"/>
  <c r="AI82" i="82" s="1"/>
  <c r="AK82" i="82" s="1"/>
  <c r="AK83" i="81"/>
  <c r="AH79" i="84"/>
  <c r="AI79" i="84" s="1"/>
  <c r="AK79" i="84" s="1"/>
  <c r="AH82" i="84"/>
  <c r="AI82" i="84" s="1"/>
  <c r="AK82" i="84" s="1"/>
  <c r="AK75" i="79"/>
  <c r="AH79" i="79"/>
  <c r="AI79" i="79" s="1"/>
  <c r="AK79" i="79" s="1"/>
  <c r="AH82" i="79"/>
  <c r="AI82" i="79" s="1"/>
  <c r="AK82" i="79" s="1"/>
  <c r="AH79" i="76"/>
  <c r="AI79" i="76" s="1"/>
  <c r="AK79" i="76" s="1"/>
  <c r="AH82" i="76"/>
  <c r="AI82" i="76" s="1"/>
  <c r="AK82" i="76" s="1"/>
  <c r="AH85" i="76"/>
  <c r="AI85" i="76" s="1"/>
  <c r="AK85" i="76" s="1"/>
  <c r="AH86" i="76"/>
  <c r="AI86" i="76" s="1"/>
  <c r="AK86" i="76" s="1"/>
  <c r="AH84" i="87"/>
  <c r="AI84" i="87" s="1"/>
  <c r="AK84" i="87" s="1"/>
  <c r="AH85" i="86"/>
  <c r="AI85" i="86" s="1"/>
  <c r="AK85" i="86" s="1"/>
  <c r="AH78" i="86"/>
  <c r="AI78" i="86" s="1"/>
  <c r="AK78" i="86" s="1"/>
  <c r="AH77" i="75"/>
  <c r="AI77" i="75" s="1"/>
  <c r="AK77" i="75" s="1"/>
  <c r="AH76" i="75"/>
  <c r="AI76" i="75" s="1"/>
  <c r="AK76" i="75" s="1"/>
  <c r="AH82" i="75"/>
  <c r="AI82" i="75" s="1"/>
  <c r="AK82" i="75" s="1"/>
  <c r="AH83" i="75"/>
  <c r="AI83" i="75" s="1"/>
  <c r="AK83" i="75" s="1"/>
  <c r="AH85" i="73"/>
  <c r="AI85" i="73" s="1"/>
  <c r="AK85" i="73" s="1"/>
  <c r="AH78" i="73"/>
  <c r="AI78" i="73" s="1"/>
  <c r="AK78" i="73" s="1"/>
  <c r="AH77" i="72"/>
  <c r="AI77" i="72" s="1"/>
  <c r="AK77" i="72" s="1"/>
  <c r="AH76" i="72"/>
  <c r="AI76" i="72" s="1"/>
  <c r="AK76" i="72" s="1"/>
  <c r="AH82" i="72"/>
  <c r="AI82" i="72" s="1"/>
  <c r="AK82" i="72" s="1"/>
  <c r="AH83" i="72"/>
  <c r="AI83" i="72" s="1"/>
  <c r="AK83" i="72" s="1"/>
  <c r="AH86" i="71"/>
  <c r="AI86" i="71" s="1"/>
  <c r="AK86" i="71" s="1"/>
  <c r="AH80" i="64"/>
  <c r="AI80" i="64" s="1"/>
  <c r="AK80" i="64" s="1"/>
  <c r="AH86" i="64"/>
  <c r="AI86" i="64" s="1"/>
  <c r="AK86" i="64" s="1"/>
  <c r="AH80" i="62"/>
  <c r="AI80" i="62" s="1"/>
  <c r="AK80" i="62" s="1"/>
  <c r="AH86" i="62"/>
  <c r="AI86" i="62" s="1"/>
  <c r="AK86" i="62" s="1"/>
  <c r="AH80" i="19"/>
  <c r="AI80" i="19" s="1"/>
  <c r="AK80" i="19" s="1"/>
  <c r="AH84" i="19"/>
  <c r="AI84" i="19" s="1"/>
  <c r="AK84" i="19" s="1"/>
  <c r="AH77" i="19"/>
  <c r="AI77" i="19" s="1"/>
  <c r="AK77" i="19" s="1"/>
  <c r="AH75" i="108"/>
  <c r="AI75" i="108" s="1"/>
  <c r="AK75" i="108" s="1"/>
  <c r="AH75" i="103"/>
  <c r="AI75" i="103" s="1"/>
  <c r="AK75" i="103" s="1"/>
  <c r="AH75" i="102"/>
  <c r="AI75" i="102" s="1"/>
  <c r="AK75" i="102" s="1"/>
  <c r="AH79" i="102"/>
  <c r="AI79" i="102" s="1"/>
  <c r="AK79" i="102" s="1"/>
  <c r="AH79" i="101"/>
  <c r="AI79" i="101" s="1"/>
  <c r="AK79" i="101" s="1"/>
  <c r="AH79" i="100"/>
  <c r="AI79" i="100" s="1"/>
  <c r="AK79" i="100" s="1"/>
  <c r="AH75" i="96"/>
  <c r="AI75" i="96" s="1"/>
  <c r="AK75" i="96" s="1"/>
  <c r="AH75" i="93"/>
  <c r="AI75" i="93" s="1"/>
  <c r="AK75" i="93" s="1"/>
  <c r="AH75" i="92"/>
  <c r="AI75" i="92" s="1"/>
  <c r="AK75" i="92" s="1"/>
  <c r="AH83" i="92"/>
  <c r="AI83" i="92" s="1"/>
  <c r="AK83" i="92" s="1"/>
  <c r="AH75" i="91"/>
  <c r="AI75" i="91" s="1"/>
  <c r="AK75" i="91" s="1"/>
  <c r="AH83" i="91"/>
  <c r="AI83" i="91" s="1"/>
  <c r="AK83" i="91" s="1"/>
  <c r="AH79" i="90"/>
  <c r="AI79" i="90" s="1"/>
  <c r="AK79" i="90" s="1"/>
  <c r="AH79" i="89"/>
  <c r="AI79" i="89" s="1"/>
  <c r="AK79" i="89" s="1"/>
  <c r="AH79" i="88"/>
  <c r="AI79" i="88" s="1"/>
  <c r="AK79" i="88" s="1"/>
  <c r="AH75" i="77"/>
  <c r="AI75" i="77" s="1"/>
  <c r="AK75" i="77" s="1"/>
  <c r="AH79" i="77"/>
  <c r="AI79" i="77" s="1"/>
  <c r="AK79" i="77" s="1"/>
  <c r="AH75" i="83"/>
  <c r="AI75" i="83" s="1"/>
  <c r="AK75" i="83" s="1"/>
  <c r="AH79" i="83"/>
  <c r="AI79" i="83" s="1"/>
  <c r="AK79" i="83" s="1"/>
  <c r="AH79" i="82"/>
  <c r="AI79" i="82" s="1"/>
  <c r="AK79" i="82" s="1"/>
  <c r="AH75" i="76"/>
  <c r="AI75" i="76" s="1"/>
  <c r="AK75" i="76" s="1"/>
  <c r="AH83" i="76"/>
  <c r="AI83" i="76" s="1"/>
  <c r="AK83" i="76" s="1"/>
  <c r="AH80" i="87"/>
  <c r="AI80" i="87" s="1"/>
  <c r="AK80" i="87" s="1"/>
  <c r="AH86" i="87"/>
  <c r="AI86" i="87" s="1"/>
  <c r="AK86" i="87" s="1"/>
  <c r="AH81" i="86"/>
  <c r="AI81" i="86" s="1"/>
  <c r="AK81" i="86" s="1"/>
  <c r="AH84" i="86"/>
  <c r="AI84" i="86" s="1"/>
  <c r="AK84" i="86" s="1"/>
  <c r="AH85" i="75"/>
  <c r="AI85" i="75" s="1"/>
  <c r="AK85" i="75" s="1"/>
  <c r="AH78" i="75"/>
  <c r="AI78" i="75" s="1"/>
  <c r="AK78" i="75" s="1"/>
  <c r="AH79" i="75"/>
  <c r="AI79" i="75" s="1"/>
  <c r="AK79" i="75" s="1"/>
  <c r="AK77" i="74"/>
  <c r="AH80" i="74"/>
  <c r="AI80" i="74" s="1"/>
  <c r="AK80" i="74" s="1"/>
  <c r="AH86" i="74"/>
  <c r="AI86" i="74" s="1"/>
  <c r="AK86" i="74" s="1"/>
  <c r="AH84" i="73"/>
  <c r="AI84" i="73" s="1"/>
  <c r="AK84" i="73" s="1"/>
  <c r="AH85" i="72"/>
  <c r="AI85" i="72" s="1"/>
  <c r="AK85" i="72" s="1"/>
  <c r="AH78" i="72"/>
  <c r="AI78" i="72" s="1"/>
  <c r="AK78" i="72" s="1"/>
  <c r="AH79" i="72"/>
  <c r="AI79" i="72" s="1"/>
  <c r="AK79" i="72" s="1"/>
  <c r="AH77" i="71"/>
  <c r="AI77" i="71" s="1"/>
  <c r="AK77" i="71" s="1"/>
  <c r="AH76" i="71"/>
  <c r="AI76" i="71" s="1"/>
  <c r="AK76" i="71" s="1"/>
  <c r="AH82" i="71"/>
  <c r="AI82" i="71" s="1"/>
  <c r="AK82" i="71" s="1"/>
  <c r="AH83" i="71"/>
  <c r="AI83" i="71" s="1"/>
  <c r="AK83" i="71" s="1"/>
  <c r="AH84" i="70"/>
  <c r="AI84" i="70" s="1"/>
  <c r="AK84" i="70" s="1"/>
  <c r="AH85" i="64"/>
  <c r="AI85" i="64" s="1"/>
  <c r="AK85" i="64" s="1"/>
  <c r="AH82" i="64"/>
  <c r="AI82" i="64" s="1"/>
  <c r="AK82" i="64" s="1"/>
  <c r="AH83" i="64"/>
  <c r="AI83" i="64" s="1"/>
  <c r="AK83" i="64" s="1"/>
  <c r="AH84" i="63"/>
  <c r="AI84" i="63" s="1"/>
  <c r="AK84" i="63" s="1"/>
  <c r="AH85" i="62"/>
  <c r="AI85" i="62" s="1"/>
  <c r="AK85" i="62" s="1"/>
  <c r="AH82" i="62"/>
  <c r="AI82" i="62" s="1"/>
  <c r="AK82" i="62" s="1"/>
  <c r="AH83" i="62"/>
  <c r="AI83" i="62" s="1"/>
  <c r="AK83" i="62" s="1"/>
  <c r="AH84" i="61"/>
  <c r="AI84" i="61" s="1"/>
  <c r="AK84" i="61" s="1"/>
  <c r="AH77" i="58"/>
  <c r="AI77" i="58" s="1"/>
  <c r="AK77" i="58" s="1"/>
  <c r="AH80" i="58"/>
  <c r="AI80" i="58" s="1"/>
  <c r="AK80" i="58" s="1"/>
  <c r="AH84" i="58"/>
  <c r="AI84" i="58" s="1"/>
  <c r="AK84" i="58" s="1"/>
  <c r="AH77" i="66"/>
  <c r="AI77" i="66" s="1"/>
  <c r="AK77" i="66" s="1"/>
  <c r="AH80" i="66"/>
  <c r="AI80" i="66" s="1"/>
  <c r="AK80" i="66" s="1"/>
  <c r="AH84" i="66"/>
  <c r="AI84" i="66" s="1"/>
  <c r="AK84" i="66" s="1"/>
  <c r="AH77" i="38"/>
  <c r="AI77" i="38" s="1"/>
  <c r="AK77" i="38" s="1"/>
  <c r="AH80" i="38"/>
  <c r="AI80" i="38" s="1"/>
  <c r="AK80" i="38" s="1"/>
  <c r="AH84" i="38"/>
  <c r="AI84" i="38" s="1"/>
  <c r="AK84" i="38" s="1"/>
  <c r="AH80" i="108"/>
  <c r="AI80" i="108" s="1"/>
  <c r="AK80" i="108" s="1"/>
  <c r="AH80" i="103"/>
  <c r="AI80" i="103" s="1"/>
  <c r="AK80" i="103" s="1"/>
  <c r="AH80" i="93"/>
  <c r="AI80" i="93" s="1"/>
  <c r="AK80" i="93" s="1"/>
  <c r="AH80" i="92"/>
  <c r="AI80" i="92" s="1"/>
  <c r="AK80" i="92" s="1"/>
  <c r="AH80" i="90"/>
  <c r="AI80" i="90" s="1"/>
  <c r="AK80" i="90" s="1"/>
  <c r="AH80" i="89"/>
  <c r="AI80" i="89" s="1"/>
  <c r="AK80" i="89" s="1"/>
  <c r="AH80" i="88"/>
  <c r="AI80" i="88" s="1"/>
  <c r="AK80" i="88" s="1"/>
  <c r="AH80" i="77"/>
  <c r="AI80" i="77" s="1"/>
  <c r="AK80" i="77" s="1"/>
  <c r="AH80" i="83"/>
  <c r="AI80" i="83" s="1"/>
  <c r="AK80" i="83" s="1"/>
  <c r="AH80" i="82"/>
  <c r="AI80" i="82" s="1"/>
  <c r="AK80" i="82" s="1"/>
  <c r="AH80" i="84"/>
  <c r="AI80" i="84" s="1"/>
  <c r="AK80" i="84" s="1"/>
  <c r="AH80" i="80"/>
  <c r="AI80" i="80" s="1"/>
  <c r="AK80" i="80" s="1"/>
  <c r="AH80" i="79"/>
  <c r="AI80" i="79" s="1"/>
  <c r="AK80" i="79" s="1"/>
  <c r="AH80" i="78"/>
  <c r="AI80" i="78" s="1"/>
  <c r="AK80" i="78" s="1"/>
  <c r="AH82" i="87"/>
  <c r="AI82" i="87" s="1"/>
  <c r="AK82" i="87" s="1"/>
  <c r="AH83" i="87"/>
  <c r="AI83" i="87" s="1"/>
  <c r="AK83" i="87" s="1"/>
  <c r="AH80" i="86"/>
  <c r="AI80" i="86" s="1"/>
  <c r="AK80" i="86" s="1"/>
  <c r="AH86" i="86"/>
  <c r="AI86" i="86" s="1"/>
  <c r="AK86" i="86" s="1"/>
  <c r="AH84" i="75"/>
  <c r="AI84" i="75" s="1"/>
  <c r="AK84" i="75" s="1"/>
  <c r="AH80" i="73"/>
  <c r="AI80" i="73" s="1"/>
  <c r="AK80" i="73" s="1"/>
  <c r="AH86" i="73"/>
  <c r="AI86" i="73" s="1"/>
  <c r="AK86" i="73" s="1"/>
  <c r="AH84" i="72"/>
  <c r="AI84" i="72" s="1"/>
  <c r="AK84" i="72" s="1"/>
  <c r="AH85" i="71"/>
  <c r="AI85" i="71" s="1"/>
  <c r="AK85" i="71" s="1"/>
  <c r="AK77" i="70"/>
  <c r="AH80" i="70"/>
  <c r="AI80" i="70" s="1"/>
  <c r="AK80" i="70" s="1"/>
  <c r="AH86" i="70"/>
  <c r="AI86" i="70" s="1"/>
  <c r="AK86" i="70" s="1"/>
  <c r="AK77" i="63"/>
  <c r="AH80" i="63"/>
  <c r="AI80" i="63" s="1"/>
  <c r="AK80" i="63" s="1"/>
  <c r="AH86" i="63"/>
  <c r="AI86" i="63" s="1"/>
  <c r="AK86" i="63" s="1"/>
  <c r="AK77" i="61"/>
  <c r="AH80" i="61"/>
  <c r="AI80" i="61" s="1"/>
  <c r="AK80" i="61" s="1"/>
  <c r="AH77" i="57"/>
  <c r="AI77" i="57" s="1"/>
  <c r="AK77" i="57" s="1"/>
  <c r="AH80" i="57"/>
  <c r="AI80" i="57" s="1"/>
  <c r="AK80" i="57" s="1"/>
  <c r="AH86" i="30"/>
  <c r="AI86" i="30" s="1"/>
  <c r="AK86" i="30" s="1"/>
  <c r="AH83" i="23"/>
  <c r="AI83" i="23" s="1"/>
  <c r="AK83" i="23" s="1"/>
  <c r="AH86" i="61"/>
  <c r="AI86" i="61" s="1"/>
  <c r="AK86" i="61" s="1"/>
  <c r="AH83" i="60"/>
  <c r="AI83" i="60" s="1"/>
  <c r="AK83" i="60" s="1"/>
  <c r="AH84" i="60"/>
  <c r="AI84" i="60" s="1"/>
  <c r="AK84" i="60" s="1"/>
  <c r="AK78" i="59"/>
  <c r="AH82" i="59"/>
  <c r="AI82" i="59" s="1"/>
  <c r="AK82" i="59" s="1"/>
  <c r="AH85" i="59"/>
  <c r="AI85" i="59" s="1"/>
  <c r="AK85" i="59" s="1"/>
  <c r="AH86" i="58"/>
  <c r="AI86" i="58" s="1"/>
  <c r="AK86" i="58" s="1"/>
  <c r="AH83" i="69"/>
  <c r="AI83" i="69" s="1"/>
  <c r="AK83" i="69" s="1"/>
  <c r="AH84" i="69"/>
  <c r="AI84" i="69" s="1"/>
  <c r="AK84" i="69" s="1"/>
  <c r="AK78" i="68"/>
  <c r="AH81" i="68"/>
  <c r="AI81" i="68" s="1"/>
  <c r="AK81" i="68" s="1"/>
  <c r="AH82" i="67"/>
  <c r="AI82" i="67" s="1"/>
  <c r="AK82" i="67" s="1"/>
  <c r="AH85" i="67"/>
  <c r="AI85" i="67" s="1"/>
  <c r="AK85" i="67" s="1"/>
  <c r="AH83" i="66"/>
  <c r="AI83" i="66" s="1"/>
  <c r="AK83" i="66" s="1"/>
  <c r="AH85" i="65"/>
  <c r="AI85" i="65" s="1"/>
  <c r="AK85" i="65" s="1"/>
  <c r="AH86" i="57"/>
  <c r="AI86" i="57" s="1"/>
  <c r="AK86" i="57" s="1"/>
  <c r="AH78" i="48"/>
  <c r="AI78" i="48" s="1"/>
  <c r="AK78" i="48" s="1"/>
  <c r="AH81" i="48"/>
  <c r="AI81" i="48" s="1"/>
  <c r="AK81" i="48" s="1"/>
  <c r="AH83" i="38"/>
  <c r="AI83" i="38" s="1"/>
  <c r="AK83" i="38" s="1"/>
  <c r="AH80" i="37"/>
  <c r="AI80" i="37" s="1"/>
  <c r="AK80" i="37" s="1"/>
  <c r="AH86" i="37"/>
  <c r="AI86" i="37" s="1"/>
  <c r="AK86" i="37" s="1"/>
  <c r="AK78" i="36"/>
  <c r="AH86" i="36"/>
  <c r="AI86" i="36" s="1"/>
  <c r="AK86" i="36" s="1"/>
  <c r="AH76" i="26"/>
  <c r="AI76" i="26" s="1"/>
  <c r="AK76" i="26" s="1"/>
  <c r="AH79" i="26"/>
  <c r="AI79" i="26" s="1"/>
  <c r="AK79" i="26" s="1"/>
  <c r="AH82" i="26"/>
  <c r="AI82" i="26" s="1"/>
  <c r="AK82" i="26" s="1"/>
  <c r="AH82" i="23"/>
  <c r="AI82" i="23" s="1"/>
  <c r="AK82" i="23" s="1"/>
  <c r="AH77" i="87"/>
  <c r="AI77" i="87" s="1"/>
  <c r="AK77" i="87" s="1"/>
  <c r="AH81" i="87"/>
  <c r="AI81" i="87" s="1"/>
  <c r="AK81" i="87" s="1"/>
  <c r="AH77" i="86"/>
  <c r="AI77" i="86" s="1"/>
  <c r="AK77" i="86" s="1"/>
  <c r="AH81" i="75"/>
  <c r="AI81" i="75" s="1"/>
  <c r="AK81" i="75" s="1"/>
  <c r="AH81" i="74"/>
  <c r="AI81" i="74" s="1"/>
  <c r="AK81" i="74" s="1"/>
  <c r="AH81" i="73"/>
  <c r="AI81" i="73" s="1"/>
  <c r="AK81" i="73" s="1"/>
  <c r="AH81" i="72"/>
  <c r="AI81" i="72" s="1"/>
  <c r="AK81" i="72" s="1"/>
  <c r="AH81" i="71"/>
  <c r="AI81" i="71" s="1"/>
  <c r="AK81" i="71" s="1"/>
  <c r="AH81" i="70"/>
  <c r="AI81" i="70" s="1"/>
  <c r="AK81" i="70" s="1"/>
  <c r="AH81" i="64"/>
  <c r="AI81" i="64" s="1"/>
  <c r="AK81" i="64" s="1"/>
  <c r="AH81" i="63"/>
  <c r="AI81" i="63" s="1"/>
  <c r="AK81" i="63" s="1"/>
  <c r="AH81" i="62"/>
  <c r="AI81" i="62" s="1"/>
  <c r="AK81" i="62" s="1"/>
  <c r="AH81" i="61"/>
  <c r="AI81" i="61" s="1"/>
  <c r="AK81" i="61" s="1"/>
  <c r="AH86" i="60"/>
  <c r="AI86" i="60" s="1"/>
  <c r="AK86" i="60" s="1"/>
  <c r="AH81" i="59"/>
  <c r="AI81" i="59" s="1"/>
  <c r="AK81" i="59" s="1"/>
  <c r="AH82" i="58"/>
  <c r="AI82" i="58" s="1"/>
  <c r="AK82" i="58" s="1"/>
  <c r="AH85" i="58"/>
  <c r="AI85" i="58" s="1"/>
  <c r="AK85" i="58" s="1"/>
  <c r="AH86" i="69"/>
  <c r="AI86" i="69" s="1"/>
  <c r="AK86" i="69" s="1"/>
  <c r="AH83" i="68"/>
  <c r="AI83" i="68" s="1"/>
  <c r="AK83" i="68" s="1"/>
  <c r="AH84" i="68"/>
  <c r="AI84" i="68" s="1"/>
  <c r="AK84" i="68" s="1"/>
  <c r="AH81" i="67"/>
  <c r="AI81" i="67" s="1"/>
  <c r="AK81" i="67" s="1"/>
  <c r="AH86" i="66"/>
  <c r="AI86" i="66" s="1"/>
  <c r="AK86" i="66" s="1"/>
  <c r="AK78" i="65"/>
  <c r="AH81" i="65"/>
  <c r="AI81" i="65" s="1"/>
  <c r="AK81" i="65" s="1"/>
  <c r="AH83" i="57"/>
  <c r="AI83" i="57" s="1"/>
  <c r="AK83" i="57" s="1"/>
  <c r="AH82" i="57"/>
  <c r="AI82" i="57" s="1"/>
  <c r="AK82" i="57" s="1"/>
  <c r="AH85" i="57"/>
  <c r="AI85" i="57" s="1"/>
  <c r="AK85" i="57" s="1"/>
  <c r="AH84" i="48"/>
  <c r="AI84" i="48" s="1"/>
  <c r="AK84" i="48" s="1"/>
  <c r="AH86" i="38"/>
  <c r="AI86" i="38" s="1"/>
  <c r="AK86" i="38" s="1"/>
  <c r="AK78" i="37"/>
  <c r="AH82" i="37"/>
  <c r="AI82" i="37" s="1"/>
  <c r="AK82" i="37" s="1"/>
  <c r="AH85" i="37"/>
  <c r="AI85" i="37" s="1"/>
  <c r="AK85" i="37" s="1"/>
  <c r="AH76" i="33"/>
  <c r="AI76" i="33" s="1"/>
  <c r="AK76" i="33" s="1"/>
  <c r="AH79" i="33"/>
  <c r="AI79" i="33" s="1"/>
  <c r="AK79" i="33" s="1"/>
  <c r="AH82" i="33"/>
  <c r="AI82" i="33" s="1"/>
  <c r="AK82" i="33" s="1"/>
  <c r="AH82" i="60"/>
  <c r="AI82" i="60" s="1"/>
  <c r="AK82" i="60" s="1"/>
  <c r="AH85" i="60"/>
  <c r="AI85" i="60" s="1"/>
  <c r="AK85" i="60" s="1"/>
  <c r="AH84" i="59"/>
  <c r="AI84" i="59" s="1"/>
  <c r="AK84" i="59" s="1"/>
  <c r="AK78" i="58"/>
  <c r="AH81" i="58"/>
  <c r="AI81" i="58" s="1"/>
  <c r="AK81" i="58" s="1"/>
  <c r="AH82" i="69"/>
  <c r="AI82" i="69" s="1"/>
  <c r="AK82" i="69" s="1"/>
  <c r="AH85" i="69"/>
  <c r="AI85" i="69" s="1"/>
  <c r="AK85" i="69" s="1"/>
  <c r="AH80" i="68"/>
  <c r="AI80" i="68" s="1"/>
  <c r="AK80" i="68" s="1"/>
  <c r="AH86" i="68"/>
  <c r="AI86" i="68" s="1"/>
  <c r="AK86" i="68" s="1"/>
  <c r="AH83" i="67"/>
  <c r="AI83" i="67" s="1"/>
  <c r="AK83" i="67" s="1"/>
  <c r="AH84" i="67"/>
  <c r="AI84" i="67" s="1"/>
  <c r="AK84" i="67" s="1"/>
  <c r="AH82" i="66"/>
  <c r="AI82" i="66" s="1"/>
  <c r="AK82" i="66" s="1"/>
  <c r="AH85" i="66"/>
  <c r="AI85" i="66" s="1"/>
  <c r="AK85" i="66" s="1"/>
  <c r="AH83" i="65"/>
  <c r="AI83" i="65" s="1"/>
  <c r="AK83" i="65" s="1"/>
  <c r="AH84" i="65"/>
  <c r="AI84" i="65" s="1"/>
  <c r="AK84" i="65" s="1"/>
  <c r="AH81" i="57"/>
  <c r="AI81" i="57" s="1"/>
  <c r="AK81" i="57" s="1"/>
  <c r="AH86" i="48"/>
  <c r="AI86" i="48" s="1"/>
  <c r="AK86" i="48" s="1"/>
  <c r="AK78" i="38"/>
  <c r="AH82" i="38"/>
  <c r="AI82" i="38" s="1"/>
  <c r="AK82" i="38" s="1"/>
  <c r="AH85" i="38"/>
  <c r="AI85" i="38" s="1"/>
  <c r="AK85" i="38" s="1"/>
  <c r="AH81" i="37"/>
  <c r="AI81" i="37" s="1"/>
  <c r="AK81" i="37" s="1"/>
  <c r="AH86" i="27"/>
  <c r="AI86" i="27" s="1"/>
  <c r="AK86" i="27" s="1"/>
  <c r="AH86" i="22"/>
  <c r="AI86" i="22" s="1"/>
  <c r="AK86" i="22" s="1"/>
  <c r="AH86" i="35"/>
  <c r="AI86" i="35" s="1"/>
  <c r="AK86" i="35" s="1"/>
  <c r="AH81" i="34"/>
  <c r="AI81" i="34" s="1"/>
  <c r="AK81" i="34" s="1"/>
  <c r="AH84" i="34"/>
  <c r="AI84" i="34" s="1"/>
  <c r="AK84" i="34" s="1"/>
  <c r="AH85" i="33"/>
  <c r="AI85" i="33" s="1"/>
  <c r="AK85" i="33" s="1"/>
  <c r="AH82" i="30"/>
  <c r="AI82" i="30" s="1"/>
  <c r="AK82" i="30" s="1"/>
  <c r="AH83" i="30"/>
  <c r="AI83" i="30" s="1"/>
  <c r="AK83" i="30" s="1"/>
  <c r="AH86" i="29"/>
  <c r="AI86" i="29" s="1"/>
  <c r="AK86" i="29" s="1"/>
  <c r="AH81" i="28"/>
  <c r="AI81" i="28" s="1"/>
  <c r="AK81" i="28" s="1"/>
  <c r="AH84" i="28"/>
  <c r="AI84" i="28" s="1"/>
  <c r="AK84" i="28" s="1"/>
  <c r="AH78" i="26"/>
  <c r="AI78" i="26" s="1"/>
  <c r="AK78" i="26" s="1"/>
  <c r="AH85" i="26"/>
  <c r="AI85" i="26" s="1"/>
  <c r="AK85" i="26" s="1"/>
  <c r="AH82" i="27"/>
  <c r="AI82" i="27" s="1"/>
  <c r="AK82" i="27" s="1"/>
  <c r="AH83" i="27"/>
  <c r="AI83" i="27" s="1"/>
  <c r="AK83" i="27" s="1"/>
  <c r="AH86" i="25"/>
  <c r="AI86" i="25" s="1"/>
  <c r="AK86" i="25" s="1"/>
  <c r="AH84" i="24"/>
  <c r="AI84" i="24" s="1"/>
  <c r="AK84" i="24" s="1"/>
  <c r="AH85" i="23"/>
  <c r="AI85" i="23" s="1"/>
  <c r="AK85" i="23" s="1"/>
  <c r="AH83" i="22"/>
  <c r="AI83" i="22" s="1"/>
  <c r="AK83" i="22" s="1"/>
  <c r="AH86" i="21"/>
  <c r="AI86" i="21" s="1"/>
  <c r="AK86" i="21" s="1"/>
  <c r="AH81" i="20"/>
  <c r="AI81" i="20" s="1"/>
  <c r="AK81" i="20" s="1"/>
  <c r="AH84" i="20"/>
  <c r="AI84" i="20" s="1"/>
  <c r="AK84" i="20" s="1"/>
  <c r="AH83" i="19"/>
  <c r="AI83" i="19" s="1"/>
  <c r="AK83" i="19" s="1"/>
  <c r="AH86" i="19"/>
  <c r="AI86" i="19" s="1"/>
  <c r="AK86" i="19" s="1"/>
  <c r="AH80" i="16"/>
  <c r="AI80" i="16" s="1"/>
  <c r="AK80" i="16" s="1"/>
  <c r="AH84" i="16"/>
  <c r="AI84" i="16" s="1"/>
  <c r="AK84" i="16" s="1"/>
  <c r="AH77" i="16"/>
  <c r="AI77" i="16" s="1"/>
  <c r="AK77" i="16" s="1"/>
  <c r="AH80" i="14"/>
  <c r="AI80" i="14" s="1"/>
  <c r="AK80" i="14" s="1"/>
  <c r="AH84" i="14"/>
  <c r="AI84" i="14" s="1"/>
  <c r="AK84" i="14" s="1"/>
  <c r="AH77" i="14"/>
  <c r="AI77" i="14" s="1"/>
  <c r="AK77" i="14" s="1"/>
  <c r="AH85" i="11"/>
  <c r="AI85" i="11" s="1"/>
  <c r="AK85" i="11" s="1"/>
  <c r="AH82" i="65"/>
  <c r="AI82" i="65" s="1"/>
  <c r="AK82" i="65" s="1"/>
  <c r="AH86" i="65"/>
  <c r="AI86" i="65" s="1"/>
  <c r="AK86" i="65" s="1"/>
  <c r="AH78" i="57"/>
  <c r="AI78" i="57" s="1"/>
  <c r="AK78" i="57" s="1"/>
  <c r="AH82" i="36"/>
  <c r="AI82" i="36" s="1"/>
  <c r="AK82" i="36" s="1"/>
  <c r="AH85" i="36"/>
  <c r="AI85" i="36" s="1"/>
  <c r="AK85" i="36" s="1"/>
  <c r="AH82" i="35"/>
  <c r="AI82" i="35" s="1"/>
  <c r="AK82" i="35" s="1"/>
  <c r="AH83" i="35"/>
  <c r="AI83" i="35" s="1"/>
  <c r="AK83" i="35" s="1"/>
  <c r="AK77" i="34"/>
  <c r="AH80" i="34"/>
  <c r="AI80" i="34" s="1"/>
  <c r="AK80" i="34" s="1"/>
  <c r="AH86" i="34"/>
  <c r="AI86" i="34" s="1"/>
  <c r="AK86" i="34" s="1"/>
  <c r="AH81" i="33"/>
  <c r="AI81" i="33" s="1"/>
  <c r="AK81" i="33" s="1"/>
  <c r="AH84" i="33"/>
  <c r="AI84" i="33" s="1"/>
  <c r="AK84" i="33" s="1"/>
  <c r="AH85" i="30"/>
  <c r="AI85" i="30" s="1"/>
  <c r="AK85" i="30" s="1"/>
  <c r="AH82" i="29"/>
  <c r="AI82" i="29" s="1"/>
  <c r="AK82" i="29" s="1"/>
  <c r="AH83" i="29"/>
  <c r="AI83" i="29" s="1"/>
  <c r="AK83" i="29" s="1"/>
  <c r="AH77" i="28"/>
  <c r="AI77" i="28" s="1"/>
  <c r="AK77" i="28" s="1"/>
  <c r="AH80" i="28"/>
  <c r="AI80" i="28" s="1"/>
  <c r="AK80" i="28" s="1"/>
  <c r="AH86" i="28"/>
  <c r="AI86" i="28" s="1"/>
  <c r="AK86" i="28" s="1"/>
  <c r="AH81" i="26"/>
  <c r="AI81" i="26" s="1"/>
  <c r="AK81" i="26" s="1"/>
  <c r="AH84" i="26"/>
  <c r="AI84" i="26" s="1"/>
  <c r="AK84" i="26" s="1"/>
  <c r="AH85" i="27"/>
  <c r="AI85" i="27" s="1"/>
  <c r="AK85" i="27" s="1"/>
  <c r="AH82" i="25"/>
  <c r="AI82" i="25" s="1"/>
  <c r="AK82" i="25" s="1"/>
  <c r="AH83" i="25"/>
  <c r="AI83" i="25" s="1"/>
  <c r="AK83" i="25" s="1"/>
  <c r="AK77" i="24"/>
  <c r="AH86" i="24"/>
  <c r="AI86" i="24" s="1"/>
  <c r="AK86" i="24" s="1"/>
  <c r="AH81" i="23"/>
  <c r="AI81" i="23" s="1"/>
  <c r="AK81" i="23" s="1"/>
  <c r="AH84" i="23"/>
  <c r="AI84" i="23" s="1"/>
  <c r="AK84" i="23" s="1"/>
  <c r="AH85" i="22"/>
  <c r="AI85" i="22" s="1"/>
  <c r="AK85" i="22" s="1"/>
  <c r="AH82" i="21"/>
  <c r="AI82" i="21" s="1"/>
  <c r="AK82" i="21" s="1"/>
  <c r="AH83" i="21"/>
  <c r="AI83" i="21" s="1"/>
  <c r="AK83" i="21" s="1"/>
  <c r="AK77" i="20"/>
  <c r="AH80" i="20"/>
  <c r="AI80" i="20" s="1"/>
  <c r="AK80" i="20" s="1"/>
  <c r="AH78" i="19"/>
  <c r="AI78" i="19" s="1"/>
  <c r="AK78" i="19" s="1"/>
  <c r="AH81" i="19"/>
  <c r="AI81" i="19" s="1"/>
  <c r="AK81" i="19" s="1"/>
  <c r="AH86" i="16"/>
  <c r="AI86" i="16" s="1"/>
  <c r="AK86" i="16" s="1"/>
  <c r="AH86" i="14"/>
  <c r="AI86" i="14" s="1"/>
  <c r="AK86" i="14" s="1"/>
  <c r="AH84" i="13"/>
  <c r="AI84" i="13" s="1"/>
  <c r="AK84" i="13" s="1"/>
  <c r="AH75" i="59"/>
  <c r="AI75" i="59" s="1"/>
  <c r="AK75" i="59" s="1"/>
  <c r="AH75" i="57"/>
  <c r="AI75" i="57" s="1"/>
  <c r="AK75" i="57" s="1"/>
  <c r="AH79" i="57"/>
  <c r="AI79" i="57" s="1"/>
  <c r="AK79" i="57" s="1"/>
  <c r="AH79" i="48"/>
  <c r="AI79" i="48" s="1"/>
  <c r="AK79" i="48" s="1"/>
  <c r="AK81" i="36"/>
  <c r="AH84" i="36"/>
  <c r="AI84" i="36" s="1"/>
  <c r="AK84" i="36" s="1"/>
  <c r="AH85" i="35"/>
  <c r="AI85" i="35" s="1"/>
  <c r="AK85" i="35" s="1"/>
  <c r="AH82" i="34"/>
  <c r="AI82" i="34" s="1"/>
  <c r="AK82" i="34" s="1"/>
  <c r="AH83" i="34"/>
  <c r="AI83" i="34" s="1"/>
  <c r="AK83" i="34" s="1"/>
  <c r="AK77" i="33"/>
  <c r="AH80" i="33"/>
  <c r="AI80" i="33" s="1"/>
  <c r="AK80" i="33" s="1"/>
  <c r="AH86" i="33"/>
  <c r="AI86" i="33" s="1"/>
  <c r="AK86" i="33" s="1"/>
  <c r="AH81" i="30"/>
  <c r="AI81" i="30" s="1"/>
  <c r="AK81" i="30" s="1"/>
  <c r="AH84" i="30"/>
  <c r="AI84" i="30" s="1"/>
  <c r="AK84" i="30" s="1"/>
  <c r="AH85" i="29"/>
  <c r="AI85" i="29" s="1"/>
  <c r="AK85" i="29" s="1"/>
  <c r="AH82" i="28"/>
  <c r="AI82" i="28" s="1"/>
  <c r="AK82" i="28" s="1"/>
  <c r="AH83" i="28"/>
  <c r="AI83" i="28" s="1"/>
  <c r="AK83" i="28" s="1"/>
  <c r="AH77" i="26"/>
  <c r="AI77" i="26" s="1"/>
  <c r="AK77" i="26" s="1"/>
  <c r="AH80" i="26"/>
  <c r="AI80" i="26" s="1"/>
  <c r="AK80" i="26" s="1"/>
  <c r="AH86" i="26"/>
  <c r="AI86" i="26" s="1"/>
  <c r="AK86" i="26" s="1"/>
  <c r="AH81" i="27"/>
  <c r="AI81" i="27" s="1"/>
  <c r="AK81" i="27" s="1"/>
  <c r="AH84" i="27"/>
  <c r="AI84" i="27" s="1"/>
  <c r="AK84" i="27" s="1"/>
  <c r="AH85" i="25"/>
  <c r="AI85" i="25" s="1"/>
  <c r="AK85" i="25" s="1"/>
  <c r="AH83" i="24"/>
  <c r="AI83" i="24" s="1"/>
  <c r="AK83" i="24" s="1"/>
  <c r="AK77" i="23"/>
  <c r="AH80" i="23"/>
  <c r="AI80" i="23" s="1"/>
  <c r="AK80" i="23" s="1"/>
  <c r="AH86" i="23"/>
  <c r="AI86" i="23" s="1"/>
  <c r="AK86" i="23" s="1"/>
  <c r="AK81" i="22"/>
  <c r="AH84" i="22"/>
  <c r="AI84" i="22" s="1"/>
  <c r="AK84" i="22" s="1"/>
  <c r="AH85" i="21"/>
  <c r="AI85" i="21" s="1"/>
  <c r="AK85" i="21" s="1"/>
  <c r="AH82" i="20"/>
  <c r="AI82" i="20" s="1"/>
  <c r="AK82" i="20" s="1"/>
  <c r="AH83" i="20"/>
  <c r="AI83" i="20" s="1"/>
  <c r="AK83" i="20" s="1"/>
  <c r="AH85" i="19"/>
  <c r="AI85" i="19" s="1"/>
  <c r="AK85" i="19" s="1"/>
  <c r="AH84" i="17"/>
  <c r="AI84" i="17" s="1"/>
  <c r="AK84" i="17" s="1"/>
  <c r="AH82" i="17"/>
  <c r="AI82" i="17" s="1"/>
  <c r="AK82" i="17" s="1"/>
  <c r="AH85" i="17"/>
  <c r="AI85" i="17" s="1"/>
  <c r="AK85" i="17" s="1"/>
  <c r="AH78" i="16"/>
  <c r="AI78" i="16" s="1"/>
  <c r="AK78" i="16" s="1"/>
  <c r="AH81" i="16"/>
  <c r="AI81" i="16" s="1"/>
  <c r="AK81" i="16" s="1"/>
  <c r="AH84" i="15"/>
  <c r="AI84" i="15" s="1"/>
  <c r="AK84" i="15" s="1"/>
  <c r="AH82" i="15"/>
  <c r="AI82" i="15" s="1"/>
  <c r="AK82" i="15" s="1"/>
  <c r="AH85" i="15"/>
  <c r="AI85" i="15" s="1"/>
  <c r="AK85" i="15" s="1"/>
  <c r="AH78" i="14"/>
  <c r="AI78" i="14" s="1"/>
  <c r="AK78" i="14" s="1"/>
  <c r="AH81" i="14"/>
  <c r="AI81" i="14" s="1"/>
  <c r="AK81" i="14" s="1"/>
  <c r="AH85" i="13"/>
  <c r="AI85" i="13" s="1"/>
  <c r="AK85" i="13" s="1"/>
  <c r="AH86" i="20"/>
  <c r="AI86" i="20" s="1"/>
  <c r="AK86" i="20" s="1"/>
  <c r="AH82" i="18"/>
  <c r="AI82" i="18" s="1"/>
  <c r="AK82" i="18" s="1"/>
  <c r="AH83" i="16"/>
  <c r="AI83" i="16" s="1"/>
  <c r="AK83" i="16" s="1"/>
  <c r="AH83" i="14"/>
  <c r="AI83" i="14" s="1"/>
  <c r="AK83" i="14" s="1"/>
  <c r="AH84" i="4"/>
  <c r="AI84" i="4" s="1"/>
  <c r="AK84" i="4" s="1"/>
  <c r="AH78" i="4"/>
  <c r="AI78" i="4" s="1"/>
  <c r="AK78" i="4" s="1"/>
  <c r="AH82" i="19"/>
  <c r="AI82" i="19" s="1"/>
  <c r="AK82" i="19" s="1"/>
  <c r="AH83" i="17"/>
  <c r="AI83" i="17" s="1"/>
  <c r="AK83" i="17" s="1"/>
  <c r="AH78" i="17"/>
  <c r="AI78" i="17" s="1"/>
  <c r="AK78" i="17" s="1"/>
  <c r="AH86" i="17"/>
  <c r="AI86" i="17" s="1"/>
  <c r="AK86" i="17" s="1"/>
  <c r="AH82" i="16"/>
  <c r="AI82" i="16" s="1"/>
  <c r="AK82" i="16" s="1"/>
  <c r="AH86" i="15"/>
  <c r="AI86" i="15" s="1"/>
  <c r="AK86" i="15" s="1"/>
  <c r="AH82" i="14"/>
  <c r="AI82" i="14" s="1"/>
  <c r="AK82" i="14" s="1"/>
  <c r="AH78" i="13"/>
  <c r="AI78" i="13" s="1"/>
  <c r="AK78" i="13" s="1"/>
  <c r="AH86" i="12"/>
  <c r="AI86" i="12" s="1"/>
  <c r="AK86" i="12" s="1"/>
  <c r="AH81" i="8"/>
  <c r="AI81" i="8" s="1"/>
  <c r="AK81" i="8" s="1"/>
  <c r="AH83" i="18"/>
  <c r="AI83" i="18" s="1"/>
  <c r="AK83" i="18" s="1"/>
  <c r="AH78" i="18"/>
  <c r="AI78" i="18" s="1"/>
  <c r="AK78" i="18" s="1"/>
  <c r="AH86" i="18"/>
  <c r="AI86" i="18" s="1"/>
  <c r="AK86" i="18" s="1"/>
  <c r="AH77" i="17"/>
  <c r="AI77" i="17" s="1"/>
  <c r="AK77" i="17" s="1"/>
  <c r="AH79" i="16"/>
  <c r="AI79" i="16" s="1"/>
  <c r="AK79" i="16" s="1"/>
  <c r="AH77" i="15"/>
  <c r="AI77" i="15" s="1"/>
  <c r="AK77" i="15" s="1"/>
  <c r="AH83" i="15"/>
  <c r="AI83" i="15" s="1"/>
  <c r="AK83" i="15" s="1"/>
  <c r="AH79" i="14"/>
  <c r="AI79" i="14" s="1"/>
  <c r="AK79" i="14" s="1"/>
  <c r="AH77" i="13"/>
  <c r="AI77" i="13" s="1"/>
  <c r="AK77" i="13" s="1"/>
  <c r="AH84" i="7"/>
  <c r="AI84" i="7" s="1"/>
  <c r="AK84" i="7" s="1"/>
  <c r="AH82" i="7"/>
  <c r="AI82" i="7" s="1"/>
  <c r="AK82" i="7" s="1"/>
  <c r="AH75" i="5"/>
  <c r="AI75" i="5" s="1"/>
  <c r="AK75" i="5" s="1"/>
  <c r="AH84" i="5"/>
  <c r="AI84" i="5" s="1"/>
  <c r="AK84" i="5" s="1"/>
  <c r="AH80" i="5"/>
  <c r="AI80" i="5" s="1"/>
  <c r="AK80" i="5" s="1"/>
  <c r="AH86" i="5"/>
  <c r="AI86" i="5" s="1"/>
  <c r="AK86" i="5" s="1"/>
  <c r="AH86" i="8"/>
  <c r="AI86" i="8" s="1"/>
  <c r="AK86" i="8" s="1"/>
  <c r="AH86" i="7"/>
  <c r="AI86" i="7" s="1"/>
  <c r="AK86" i="7" s="1"/>
  <c r="AH85" i="5"/>
  <c r="AI85" i="5" s="1"/>
  <c r="AK85" i="5" s="1"/>
  <c r="AH85" i="3"/>
  <c r="AI85" i="3" s="1"/>
  <c r="AK85" i="3" s="1"/>
  <c r="AH83" i="13"/>
  <c r="AI83" i="13" s="1"/>
  <c r="AK83" i="13" s="1"/>
  <c r="AH80" i="13"/>
  <c r="AI80" i="13" s="1"/>
  <c r="AK80" i="13" s="1"/>
  <c r="AH81" i="13"/>
  <c r="AI81" i="13" s="1"/>
  <c r="AK81" i="13" s="1"/>
  <c r="AH84" i="12"/>
  <c r="AI84" i="12" s="1"/>
  <c r="AK84" i="12" s="1"/>
  <c r="AH85" i="12"/>
  <c r="AI85" i="12" s="1"/>
  <c r="AK85" i="12" s="1"/>
  <c r="AH75" i="9"/>
  <c r="AI75" i="9" s="1"/>
  <c r="AK75" i="9" s="1"/>
  <c r="AH84" i="9"/>
  <c r="AI84" i="9" s="1"/>
  <c r="AK84" i="9" s="1"/>
  <c r="AH80" i="9"/>
  <c r="AI80" i="9" s="1"/>
  <c r="AK80" i="9" s="1"/>
  <c r="AH81" i="9"/>
  <c r="AI81" i="9" s="1"/>
  <c r="AK81" i="9" s="1"/>
  <c r="AH80" i="8"/>
  <c r="AI80" i="8" s="1"/>
  <c r="AK80" i="8" s="1"/>
  <c r="AH78" i="8"/>
  <c r="AI78" i="8" s="1"/>
  <c r="AK78" i="8" s="1"/>
  <c r="AH83" i="7"/>
  <c r="AI83" i="7" s="1"/>
  <c r="AK83" i="7" s="1"/>
  <c r="AH85" i="7"/>
  <c r="AI85" i="7" s="1"/>
  <c r="AK85" i="7" s="1"/>
  <c r="AH82" i="5"/>
  <c r="AI82" i="5" s="1"/>
  <c r="AK82" i="5" s="1"/>
  <c r="AH82" i="4"/>
  <c r="AI82" i="4" s="1"/>
  <c r="AK82" i="4" s="1"/>
  <c r="AH85" i="4"/>
  <c r="AI85" i="4" s="1"/>
  <c r="AK85" i="4" s="1"/>
  <c r="AH79" i="19"/>
  <c r="AI79" i="19" s="1"/>
  <c r="AK79" i="19" s="1"/>
  <c r="AH79" i="18"/>
  <c r="AI79" i="18" s="1"/>
  <c r="AK79" i="18" s="1"/>
  <c r="AH79" i="17"/>
  <c r="AI79" i="17" s="1"/>
  <c r="AK79" i="17" s="1"/>
  <c r="AH75" i="13"/>
  <c r="AI75" i="13" s="1"/>
  <c r="AK75" i="13" s="1"/>
  <c r="AH79" i="13"/>
  <c r="AI79" i="13" s="1"/>
  <c r="AK79" i="13" s="1"/>
  <c r="AH86" i="13"/>
  <c r="AI86" i="13" s="1"/>
  <c r="AK86" i="13" s="1"/>
  <c r="AH80" i="12"/>
  <c r="AI80" i="12" s="1"/>
  <c r="AK80" i="12" s="1"/>
  <c r="AH81" i="12"/>
  <c r="AI81" i="12" s="1"/>
  <c r="AK81" i="12" s="1"/>
  <c r="AK75" i="11"/>
  <c r="AH86" i="11"/>
  <c r="AI86" i="11" s="1"/>
  <c r="AK86" i="11" s="1"/>
  <c r="AH85" i="9"/>
  <c r="AI85" i="9" s="1"/>
  <c r="AK85" i="9" s="1"/>
  <c r="AH86" i="9"/>
  <c r="AI86" i="9" s="1"/>
  <c r="AK86" i="9" s="1"/>
  <c r="AH82" i="8"/>
  <c r="AI82" i="8" s="1"/>
  <c r="AK82" i="8" s="1"/>
  <c r="AH85" i="8"/>
  <c r="AI85" i="8" s="1"/>
  <c r="AK85" i="8" s="1"/>
  <c r="AK76" i="2"/>
  <c r="AK78" i="2"/>
  <c r="AH84" i="11"/>
  <c r="AI84" i="11" s="1"/>
  <c r="AK84" i="11" s="1"/>
  <c r="AH79" i="9"/>
  <c r="AI79" i="9" s="1"/>
  <c r="AK79" i="9" s="1"/>
  <c r="AH83" i="8"/>
  <c r="AI83" i="8" s="1"/>
  <c r="AK83" i="8" s="1"/>
  <c r="AH79" i="5"/>
  <c r="AI79" i="5" s="1"/>
  <c r="AK79" i="5" s="1"/>
  <c r="AH83" i="4"/>
  <c r="AI83" i="4" s="1"/>
  <c r="AK83" i="4" s="1"/>
  <c r="AH84" i="3"/>
  <c r="AI84" i="3" s="1"/>
  <c r="AK84" i="3" s="1"/>
  <c r="AH79" i="10"/>
  <c r="AI79" i="10" s="1"/>
  <c r="AK79" i="10" s="1"/>
  <c r="AH83" i="9"/>
  <c r="AI83" i="9" s="1"/>
  <c r="AK83" i="9" s="1"/>
  <c r="AH84" i="8"/>
  <c r="AI84" i="8" s="1"/>
  <c r="AK84" i="8" s="1"/>
  <c r="AH83" i="5"/>
  <c r="AI83" i="5" s="1"/>
  <c r="AK83" i="5" s="1"/>
  <c r="AH80" i="10"/>
  <c r="AI80" i="10" s="1"/>
  <c r="AK80" i="10" s="1"/>
  <c r="AH83" i="10"/>
  <c r="AI83" i="10" s="1"/>
  <c r="AK83" i="10" s="1"/>
  <c r="AH79" i="7"/>
  <c r="AI79" i="7" s="1"/>
  <c r="AK79" i="7" s="1"/>
  <c r="AH80" i="6"/>
  <c r="AI80" i="6" s="1"/>
  <c r="AK80" i="6" s="1"/>
  <c r="AH83" i="6"/>
  <c r="AI83" i="6" s="1"/>
  <c r="AK83" i="6" s="1"/>
  <c r="AH83" i="2"/>
  <c r="AI83" i="2" s="1"/>
  <c r="AK83" i="2" s="1"/>
  <c r="J282" i="31" l="1"/>
  <c r="J283" i="31"/>
  <c r="J281" i="31"/>
  <c r="J280" i="31"/>
  <c r="J279" i="31"/>
  <c r="J274" i="31"/>
  <c r="J273" i="31"/>
  <c r="J272" i="31"/>
  <c r="J271" i="31"/>
  <c r="J269" i="31"/>
  <c r="J268" i="31"/>
  <c r="J267" i="31"/>
  <c r="J266" i="31"/>
  <c r="J265" i="31"/>
  <c r="J260" i="31"/>
  <c r="J259" i="31"/>
  <c r="J258" i="31"/>
  <c r="J257" i="31"/>
  <c r="J256" i="31"/>
  <c r="J254" i="31"/>
  <c r="J248" i="31"/>
  <c r="J247" i="31"/>
  <c r="J246" i="31"/>
  <c r="J245" i="31"/>
  <c r="J244" i="31"/>
  <c r="J243" i="31"/>
  <c r="J242" i="31"/>
  <c r="J241" i="31"/>
  <c r="J240" i="31"/>
  <c r="J235" i="31"/>
  <c r="J233" i="31"/>
  <c r="J232" i="31"/>
  <c r="J231" i="31"/>
  <c r="J230" i="31"/>
  <c r="J229" i="31"/>
  <c r="J228" i="31"/>
  <c r="J227" i="31"/>
  <c r="J222" i="31"/>
  <c r="J221" i="31"/>
  <c r="J220" i="31"/>
  <c r="J219" i="31"/>
  <c r="J214" i="31"/>
  <c r="J213" i="31"/>
  <c r="J212" i="31"/>
  <c r="J211" i="31"/>
  <c r="J210" i="31"/>
  <c r="J209" i="31"/>
  <c r="J208" i="31"/>
  <c r="J203" i="31"/>
  <c r="J202" i="31"/>
  <c r="J201" i="31"/>
  <c r="J200" i="31"/>
  <c r="J199" i="31"/>
  <c r="J198" i="31"/>
  <c r="J193" i="31"/>
  <c r="J192" i="31"/>
  <c r="J191" i="31"/>
  <c r="J190" i="31"/>
  <c r="J189" i="31"/>
  <c r="J184" i="31"/>
  <c r="J183" i="31"/>
  <c r="J178" i="31"/>
  <c r="J177" i="31"/>
  <c r="J176" i="31"/>
  <c r="J175" i="31"/>
  <c r="J174" i="31"/>
  <c r="J169" i="31"/>
  <c r="J168" i="31"/>
  <c r="J166" i="31"/>
  <c r="J165" i="31"/>
  <c r="J164" i="31"/>
  <c r="J163" i="31"/>
  <c r="J162" i="31"/>
  <c r="J161" i="31"/>
  <c r="J160" i="31"/>
  <c r="J159" i="31"/>
  <c r="J158" i="31"/>
  <c r="J157" i="31"/>
  <c r="J156" i="31"/>
  <c r="J155" i="31"/>
  <c r="J154" i="31"/>
  <c r="J153" i="31"/>
  <c r="J152" i="31"/>
  <c r="J151" i="31"/>
  <c r="J150" i="31"/>
  <c r="J149" i="31"/>
  <c r="J148" i="31"/>
  <c r="J146" i="31"/>
  <c r="J145" i="31"/>
  <c r="J144" i="31"/>
  <c r="J143" i="31"/>
  <c r="J142" i="31"/>
  <c r="J141" i="31"/>
  <c r="J140" i="31"/>
  <c r="J138" i="31"/>
  <c r="J137" i="31"/>
  <c r="J136" i="31"/>
  <c r="J135" i="31"/>
  <c r="J134" i="31"/>
  <c r="J132" i="31"/>
  <c r="J131" i="31"/>
  <c r="J130" i="31"/>
  <c r="J129" i="31"/>
  <c r="J128" i="31"/>
  <c r="J126" i="31"/>
  <c r="J125" i="31"/>
  <c r="J124" i="31"/>
  <c r="J123" i="31"/>
  <c r="J122" i="31"/>
  <c r="J121" i="31"/>
  <c r="J120" i="31"/>
  <c r="J119" i="31"/>
  <c r="J118" i="31"/>
  <c r="J117" i="31"/>
  <c r="J116" i="31"/>
  <c r="J115" i="31"/>
  <c r="J114" i="31"/>
  <c r="J113" i="31"/>
  <c r="J108" i="31"/>
  <c r="J107" i="31"/>
  <c r="J106" i="31"/>
  <c r="J105" i="31"/>
  <c r="J104" i="31"/>
  <c r="J102" i="31"/>
  <c r="J101" i="31"/>
  <c r="J100" i="31"/>
  <c r="J99" i="31"/>
  <c r="J96" i="31"/>
  <c r="J95" i="31"/>
  <c r="J94" i="31"/>
  <c r="J93" i="31"/>
  <c r="J92" i="31"/>
  <c r="J91" i="31"/>
  <c r="J90" i="31"/>
  <c r="J89" i="31"/>
  <c r="J88" i="31"/>
  <c r="J87" i="31"/>
  <c r="J86" i="31"/>
  <c r="J85" i="31"/>
  <c r="J84" i="31"/>
  <c r="J83" i="31"/>
  <c r="J82" i="31"/>
  <c r="J81" i="31"/>
  <c r="J80" i="31"/>
  <c r="J79" i="31"/>
  <c r="J73" i="31"/>
  <c r="J72" i="31"/>
  <c r="J71" i="31"/>
  <c r="J70" i="31"/>
  <c r="J69" i="31"/>
  <c r="J68" i="31"/>
  <c r="J67" i="31"/>
  <c r="J66" i="31"/>
  <c r="J65" i="31"/>
  <c r="J64" i="31"/>
  <c r="J63" i="31"/>
  <c r="J62" i="31"/>
  <c r="J61" i="31"/>
  <c r="J60" i="31"/>
  <c r="J59" i="31"/>
  <c r="J58" i="31"/>
  <c r="J57" i="31"/>
  <c r="J56" i="31"/>
  <c r="J51" i="31"/>
  <c r="J50" i="31"/>
  <c r="J49" i="31"/>
  <c r="J48" i="31"/>
  <c r="J47" i="31"/>
  <c r="J42" i="31"/>
  <c r="J41" i="31"/>
  <c r="J40" i="31"/>
  <c r="J39" i="31"/>
  <c r="J38" i="31"/>
  <c r="J37" i="31"/>
  <c r="J36" i="31"/>
  <c r="J35" i="31"/>
  <c r="J34" i="31"/>
  <c r="J33" i="31"/>
  <c r="J32" i="31"/>
  <c r="J31" i="31"/>
  <c r="J8" i="31"/>
  <c r="J9" i="31"/>
  <c r="J10" i="31"/>
  <c r="J11" i="31"/>
  <c r="J12" i="31"/>
  <c r="J13" i="31"/>
  <c r="J14" i="31"/>
  <c r="J15" i="31"/>
  <c r="J16" i="31"/>
  <c r="J17" i="31"/>
  <c r="J18" i="31"/>
  <c r="J19" i="31"/>
  <c r="J20" i="31"/>
  <c r="J21" i="31"/>
  <c r="J22" i="31"/>
  <c r="J23" i="31"/>
  <c r="J24" i="31"/>
  <c r="J25" i="31"/>
  <c r="J26" i="31"/>
  <c r="J7" i="31"/>
  <c r="F282" i="31"/>
  <c r="G282" i="31"/>
  <c r="H282" i="31"/>
  <c r="I282" i="31"/>
  <c r="E282" i="31"/>
  <c r="I283" i="31"/>
  <c r="H283" i="31"/>
  <c r="G283" i="31"/>
  <c r="F283" i="31"/>
  <c r="E283" i="31"/>
  <c r="I281" i="31"/>
  <c r="H281" i="31"/>
  <c r="G281" i="31"/>
  <c r="F281" i="31"/>
  <c r="E281" i="31"/>
  <c r="I280" i="31"/>
  <c r="H280" i="31"/>
  <c r="G280" i="31"/>
  <c r="F280" i="31"/>
  <c r="E280" i="31"/>
  <c r="I279" i="31"/>
  <c r="H279" i="31"/>
  <c r="G279" i="31"/>
  <c r="F279" i="31"/>
  <c r="E279" i="31"/>
  <c r="I274" i="31"/>
  <c r="H274" i="31"/>
  <c r="G274" i="31"/>
  <c r="F274" i="31"/>
  <c r="E274" i="31"/>
  <c r="I273" i="31"/>
  <c r="H273" i="31"/>
  <c r="G273" i="31"/>
  <c r="F273" i="31"/>
  <c r="E273" i="31"/>
  <c r="I272" i="31"/>
  <c r="H272" i="31"/>
  <c r="G272" i="31"/>
  <c r="F272" i="31"/>
  <c r="E272" i="31"/>
  <c r="I271" i="31"/>
  <c r="H271" i="31"/>
  <c r="G271" i="31"/>
  <c r="F271" i="31"/>
  <c r="E271" i="31"/>
  <c r="I269" i="31"/>
  <c r="H269" i="31"/>
  <c r="G269" i="31"/>
  <c r="F269" i="31"/>
  <c r="E269" i="31"/>
  <c r="I268" i="31"/>
  <c r="H268" i="31"/>
  <c r="G268" i="31"/>
  <c r="F268" i="31"/>
  <c r="E268" i="31"/>
  <c r="I267" i="31"/>
  <c r="H267" i="31"/>
  <c r="G267" i="31"/>
  <c r="F267" i="31"/>
  <c r="E267" i="31"/>
  <c r="I266" i="31"/>
  <c r="H266" i="31"/>
  <c r="G266" i="31"/>
  <c r="F266" i="31"/>
  <c r="E266" i="31"/>
  <c r="I265" i="31"/>
  <c r="H265" i="31"/>
  <c r="G265" i="31"/>
  <c r="F265" i="31"/>
  <c r="E265" i="31"/>
  <c r="I260" i="31"/>
  <c r="H260" i="31"/>
  <c r="G260" i="31"/>
  <c r="F260" i="31"/>
  <c r="E260" i="31"/>
  <c r="I259" i="31"/>
  <c r="H259" i="31"/>
  <c r="G259" i="31"/>
  <c r="F259" i="31"/>
  <c r="E259" i="31"/>
  <c r="I258" i="31"/>
  <c r="H258" i="31"/>
  <c r="G258" i="31"/>
  <c r="F258" i="31"/>
  <c r="E258" i="31"/>
  <c r="I257" i="31"/>
  <c r="H257" i="31"/>
  <c r="G257" i="31"/>
  <c r="F257" i="31"/>
  <c r="E257" i="31"/>
  <c r="I256" i="31"/>
  <c r="H256" i="31"/>
  <c r="G256" i="31"/>
  <c r="F256" i="31"/>
  <c r="E256" i="31"/>
  <c r="I255" i="31"/>
  <c r="H255" i="31"/>
  <c r="G255" i="31"/>
  <c r="F255" i="31"/>
  <c r="E255" i="31"/>
  <c r="I254" i="31"/>
  <c r="H254" i="31"/>
  <c r="G254" i="31"/>
  <c r="F254" i="31"/>
  <c r="E254" i="31"/>
  <c r="I248" i="31"/>
  <c r="H248" i="31"/>
  <c r="F248" i="31"/>
  <c r="E248" i="31"/>
  <c r="I247" i="31"/>
  <c r="H247" i="31"/>
  <c r="G247" i="31"/>
  <c r="F247" i="31"/>
  <c r="E247" i="31"/>
  <c r="I246" i="31"/>
  <c r="H246" i="31"/>
  <c r="G246" i="31"/>
  <c r="F246" i="31"/>
  <c r="E246" i="31"/>
  <c r="I245" i="31"/>
  <c r="H245" i="31"/>
  <c r="G245" i="31"/>
  <c r="F245" i="31"/>
  <c r="E245" i="31"/>
  <c r="I244" i="31"/>
  <c r="H244" i="31"/>
  <c r="G244" i="31"/>
  <c r="F244" i="31"/>
  <c r="E244" i="31"/>
  <c r="I243" i="31"/>
  <c r="H243" i="31"/>
  <c r="G243" i="31"/>
  <c r="F243" i="31"/>
  <c r="E243" i="31"/>
  <c r="I242" i="31"/>
  <c r="H242" i="31"/>
  <c r="G242" i="31"/>
  <c r="F242" i="31"/>
  <c r="E242" i="31"/>
  <c r="I241" i="31"/>
  <c r="H241" i="31"/>
  <c r="G241" i="31"/>
  <c r="F241" i="31"/>
  <c r="E241" i="31"/>
  <c r="I240" i="31"/>
  <c r="H240" i="31"/>
  <c r="G240" i="31"/>
  <c r="F240" i="31"/>
  <c r="E240" i="31"/>
  <c r="I235" i="31"/>
  <c r="H235" i="31"/>
  <c r="G235" i="31"/>
  <c r="F235" i="31"/>
  <c r="E235" i="31"/>
  <c r="I233" i="31"/>
  <c r="H233" i="31"/>
  <c r="G233" i="31"/>
  <c r="F233" i="31"/>
  <c r="E233" i="31"/>
  <c r="I232" i="31"/>
  <c r="H232" i="31"/>
  <c r="G232" i="31"/>
  <c r="F232" i="31"/>
  <c r="E232" i="31"/>
  <c r="I231" i="31"/>
  <c r="H231" i="31"/>
  <c r="G231" i="31"/>
  <c r="F231" i="31"/>
  <c r="E231" i="31"/>
  <c r="I230" i="31"/>
  <c r="H230" i="31"/>
  <c r="G230" i="31"/>
  <c r="F230" i="31"/>
  <c r="E230" i="31"/>
  <c r="I229" i="31"/>
  <c r="H229" i="31"/>
  <c r="G229" i="31"/>
  <c r="F229" i="31"/>
  <c r="E229" i="31"/>
  <c r="I228" i="31"/>
  <c r="H228" i="31"/>
  <c r="G228" i="31"/>
  <c r="F228" i="31"/>
  <c r="E228" i="31"/>
  <c r="I227" i="31"/>
  <c r="H227" i="31"/>
  <c r="G227" i="31"/>
  <c r="F227" i="31"/>
  <c r="E227" i="31"/>
  <c r="I222" i="31"/>
  <c r="H222" i="31"/>
  <c r="G222" i="31"/>
  <c r="F222" i="31"/>
  <c r="E222" i="31"/>
  <c r="I221" i="31"/>
  <c r="H221" i="31"/>
  <c r="G221" i="31"/>
  <c r="F221" i="31"/>
  <c r="E221" i="31"/>
  <c r="I220" i="31"/>
  <c r="H220" i="31"/>
  <c r="G220" i="31"/>
  <c r="F220" i="31"/>
  <c r="E220" i="31"/>
  <c r="I219" i="31"/>
  <c r="H219" i="31"/>
  <c r="G219" i="31"/>
  <c r="F219" i="31"/>
  <c r="E219" i="31"/>
  <c r="I214" i="31"/>
  <c r="H214" i="31"/>
  <c r="G214" i="31"/>
  <c r="F214" i="31"/>
  <c r="E214" i="31"/>
  <c r="I213" i="31"/>
  <c r="H213" i="31"/>
  <c r="G213" i="31"/>
  <c r="F213" i="31"/>
  <c r="E213" i="31"/>
  <c r="I212" i="31"/>
  <c r="H212" i="31"/>
  <c r="G212" i="31"/>
  <c r="F212" i="31"/>
  <c r="E212" i="31"/>
  <c r="I211" i="31"/>
  <c r="H211" i="31"/>
  <c r="G211" i="31"/>
  <c r="F211" i="31"/>
  <c r="E211" i="31"/>
  <c r="I210" i="31"/>
  <c r="H210" i="31"/>
  <c r="G210" i="31"/>
  <c r="F210" i="31"/>
  <c r="E210" i="31"/>
  <c r="I209" i="31"/>
  <c r="H209" i="31"/>
  <c r="G209" i="31"/>
  <c r="F209" i="31"/>
  <c r="E209" i="31"/>
  <c r="I208" i="31"/>
  <c r="H208" i="31"/>
  <c r="G208" i="31"/>
  <c r="F208" i="31"/>
  <c r="E208" i="31"/>
  <c r="I203" i="31"/>
  <c r="H203" i="31"/>
  <c r="G203" i="31"/>
  <c r="F203" i="31"/>
  <c r="E203" i="31"/>
  <c r="I202" i="31"/>
  <c r="H202" i="31"/>
  <c r="G202" i="31"/>
  <c r="F202" i="31"/>
  <c r="E202" i="31"/>
  <c r="I201" i="31"/>
  <c r="H201" i="31"/>
  <c r="G201" i="31"/>
  <c r="F201" i="31"/>
  <c r="E201" i="31"/>
  <c r="I200" i="31"/>
  <c r="H200" i="31"/>
  <c r="G200" i="31"/>
  <c r="F200" i="31"/>
  <c r="E200" i="31"/>
  <c r="I199" i="31"/>
  <c r="H199" i="31"/>
  <c r="G199" i="31"/>
  <c r="F199" i="31"/>
  <c r="E199" i="31"/>
  <c r="I198" i="31"/>
  <c r="H198" i="31"/>
  <c r="G198" i="31"/>
  <c r="F198" i="31"/>
  <c r="E198" i="31"/>
  <c r="I193" i="31"/>
  <c r="H193" i="31"/>
  <c r="G193" i="31"/>
  <c r="F193" i="31"/>
  <c r="E193" i="31"/>
  <c r="I192" i="31"/>
  <c r="H192" i="31"/>
  <c r="G192" i="31"/>
  <c r="F192" i="31"/>
  <c r="E192" i="31"/>
  <c r="I191" i="31"/>
  <c r="H191" i="31"/>
  <c r="G191" i="31"/>
  <c r="F191" i="31"/>
  <c r="E191" i="31"/>
  <c r="I190" i="31"/>
  <c r="H190" i="31"/>
  <c r="G190" i="31"/>
  <c r="F190" i="31"/>
  <c r="E190" i="31"/>
  <c r="I189" i="31"/>
  <c r="H189" i="31"/>
  <c r="G189" i="31"/>
  <c r="F189" i="31"/>
  <c r="E189" i="31"/>
  <c r="I184" i="31"/>
  <c r="H184" i="31"/>
  <c r="G184" i="31"/>
  <c r="F184" i="31"/>
  <c r="E184" i="31"/>
  <c r="I183" i="31"/>
  <c r="H183" i="31"/>
  <c r="G183" i="31"/>
  <c r="F183" i="31"/>
  <c r="E183" i="31"/>
  <c r="I178" i="31"/>
  <c r="H178" i="31"/>
  <c r="G178" i="31"/>
  <c r="F178" i="31"/>
  <c r="E178" i="31"/>
  <c r="I177" i="31"/>
  <c r="H177" i="31"/>
  <c r="G177" i="31"/>
  <c r="F177" i="31"/>
  <c r="E177" i="31"/>
  <c r="I176" i="31"/>
  <c r="H176" i="31"/>
  <c r="G176" i="31"/>
  <c r="F176" i="31"/>
  <c r="E176" i="31"/>
  <c r="I175" i="31"/>
  <c r="H175" i="31"/>
  <c r="G175" i="31"/>
  <c r="F175" i="31"/>
  <c r="E175" i="31"/>
  <c r="I174" i="31"/>
  <c r="H174" i="31"/>
  <c r="G174" i="31"/>
  <c r="F174" i="31"/>
  <c r="E174" i="31"/>
  <c r="I169" i="31"/>
  <c r="H169" i="31"/>
  <c r="G169" i="31"/>
  <c r="F169" i="31"/>
  <c r="E169" i="31"/>
  <c r="I168" i="31"/>
  <c r="H168" i="31"/>
  <c r="G168" i="31"/>
  <c r="F168" i="31"/>
  <c r="E168" i="31"/>
  <c r="I166" i="31"/>
  <c r="H166" i="31"/>
  <c r="G166" i="31"/>
  <c r="F166" i="31"/>
  <c r="E166" i="31"/>
  <c r="I165" i="31"/>
  <c r="H165" i="31"/>
  <c r="G165" i="31"/>
  <c r="F165" i="31"/>
  <c r="E165" i="31"/>
  <c r="I164" i="31"/>
  <c r="H164" i="31"/>
  <c r="G164" i="31"/>
  <c r="F164" i="31"/>
  <c r="E164" i="31"/>
  <c r="I163" i="31"/>
  <c r="H163" i="31"/>
  <c r="G163" i="31"/>
  <c r="F163" i="31"/>
  <c r="E163" i="31"/>
  <c r="I162" i="31"/>
  <c r="H162" i="31"/>
  <c r="G162" i="31"/>
  <c r="F162" i="31"/>
  <c r="E162" i="31"/>
  <c r="I161" i="31"/>
  <c r="H161" i="31"/>
  <c r="G161" i="31"/>
  <c r="F161" i="31"/>
  <c r="E161" i="31"/>
  <c r="I160" i="31"/>
  <c r="H160" i="31"/>
  <c r="G160" i="31"/>
  <c r="F160" i="31"/>
  <c r="E160" i="31"/>
  <c r="I159" i="31"/>
  <c r="H159" i="31"/>
  <c r="G159" i="31"/>
  <c r="F159" i="31"/>
  <c r="E159" i="31"/>
  <c r="I158" i="31"/>
  <c r="H158" i="31"/>
  <c r="G158" i="31"/>
  <c r="F158" i="31"/>
  <c r="E158" i="31"/>
  <c r="I157" i="31"/>
  <c r="H157" i="31"/>
  <c r="G157" i="31"/>
  <c r="F157" i="31"/>
  <c r="E157" i="31"/>
  <c r="I156" i="31"/>
  <c r="H156" i="31"/>
  <c r="G156" i="31"/>
  <c r="F156" i="31"/>
  <c r="E156" i="31"/>
  <c r="I155" i="31"/>
  <c r="H155" i="31"/>
  <c r="G155" i="31"/>
  <c r="F155" i="31"/>
  <c r="E155" i="31"/>
  <c r="I154" i="31"/>
  <c r="H154" i="31"/>
  <c r="G154" i="31"/>
  <c r="F154" i="31"/>
  <c r="E154" i="31"/>
  <c r="I153" i="31"/>
  <c r="H153" i="31"/>
  <c r="G153" i="31"/>
  <c r="F153" i="31"/>
  <c r="E153" i="31"/>
  <c r="I152" i="31"/>
  <c r="H152" i="31"/>
  <c r="G152" i="31"/>
  <c r="F152" i="31"/>
  <c r="E152" i="31"/>
  <c r="I151" i="31"/>
  <c r="H151" i="31"/>
  <c r="G151" i="31"/>
  <c r="F151" i="31"/>
  <c r="E151" i="31"/>
  <c r="I150" i="31"/>
  <c r="H150" i="31"/>
  <c r="G150" i="31"/>
  <c r="F150" i="31"/>
  <c r="E150" i="31"/>
  <c r="I149" i="31"/>
  <c r="H149" i="31"/>
  <c r="G149" i="31"/>
  <c r="F149" i="31"/>
  <c r="E149" i="31"/>
  <c r="I148" i="31"/>
  <c r="H148" i="31"/>
  <c r="G148" i="31"/>
  <c r="F148" i="31"/>
  <c r="E148" i="31"/>
  <c r="I146" i="31"/>
  <c r="H146" i="31"/>
  <c r="E146" i="31"/>
  <c r="I145" i="31"/>
  <c r="H145" i="31"/>
  <c r="G145" i="31"/>
  <c r="F145" i="31"/>
  <c r="E145" i="31"/>
  <c r="I144" i="31"/>
  <c r="H144" i="31"/>
  <c r="G144" i="31"/>
  <c r="F144" i="31"/>
  <c r="E144" i="31"/>
  <c r="I143" i="31"/>
  <c r="H143" i="31"/>
  <c r="G143" i="31"/>
  <c r="F143" i="31"/>
  <c r="E143" i="31"/>
  <c r="I142" i="31"/>
  <c r="H142" i="31"/>
  <c r="G142" i="31"/>
  <c r="F142" i="31"/>
  <c r="E142" i="31"/>
  <c r="I141" i="31"/>
  <c r="H141" i="31"/>
  <c r="G141" i="31"/>
  <c r="F141" i="31"/>
  <c r="E141" i="31"/>
  <c r="I140" i="31"/>
  <c r="H140" i="31"/>
  <c r="G140" i="31"/>
  <c r="F140" i="31"/>
  <c r="E140" i="31"/>
  <c r="I138" i="31"/>
  <c r="H138" i="31"/>
  <c r="G138" i="31"/>
  <c r="F138" i="31"/>
  <c r="E138" i="31"/>
  <c r="I137" i="31"/>
  <c r="H137" i="31"/>
  <c r="G137" i="31"/>
  <c r="F137" i="31"/>
  <c r="E137" i="31"/>
  <c r="I136" i="31"/>
  <c r="H136" i="31"/>
  <c r="G136" i="31"/>
  <c r="F136" i="31"/>
  <c r="E136" i="31"/>
  <c r="I135" i="31"/>
  <c r="H135" i="31"/>
  <c r="G135" i="31"/>
  <c r="F135" i="31"/>
  <c r="E135" i="31"/>
  <c r="I134" i="31"/>
  <c r="H134" i="31"/>
  <c r="G134" i="31"/>
  <c r="F134" i="31"/>
  <c r="E134" i="31"/>
  <c r="I132" i="31"/>
  <c r="H132" i="31"/>
  <c r="G132" i="31"/>
  <c r="E132" i="31"/>
  <c r="I131" i="31"/>
  <c r="H131" i="31"/>
  <c r="G131" i="31"/>
  <c r="F131" i="31"/>
  <c r="E131" i="31"/>
  <c r="I130" i="31"/>
  <c r="H130" i="31"/>
  <c r="G130" i="31"/>
  <c r="E130" i="31"/>
  <c r="I129" i="31"/>
  <c r="H129" i="31"/>
  <c r="G129" i="31"/>
  <c r="F129" i="31"/>
  <c r="E129" i="31"/>
  <c r="I128" i="31"/>
  <c r="H128" i="31"/>
  <c r="G128" i="31"/>
  <c r="F128" i="31"/>
  <c r="E128" i="31"/>
  <c r="I126" i="31"/>
  <c r="H126" i="31"/>
  <c r="G126" i="31"/>
  <c r="F126" i="31"/>
  <c r="E126" i="31"/>
  <c r="I125" i="31"/>
  <c r="H125" i="31"/>
  <c r="G125" i="31"/>
  <c r="F125" i="31"/>
  <c r="E125" i="31"/>
  <c r="I124" i="31"/>
  <c r="H124" i="31"/>
  <c r="G124" i="31"/>
  <c r="F124" i="31"/>
  <c r="E124" i="31"/>
  <c r="I123" i="31"/>
  <c r="H123" i="31"/>
  <c r="G123" i="31"/>
  <c r="F123" i="31"/>
  <c r="E123" i="31"/>
  <c r="I122" i="31"/>
  <c r="H122" i="31"/>
  <c r="G122" i="31"/>
  <c r="F122" i="31"/>
  <c r="E122" i="31"/>
  <c r="I121" i="31"/>
  <c r="H121" i="31"/>
  <c r="G121" i="31"/>
  <c r="F121" i="31"/>
  <c r="E121" i="31"/>
  <c r="I120" i="31"/>
  <c r="H120" i="31"/>
  <c r="G120" i="31"/>
  <c r="F120" i="31"/>
  <c r="E120" i="31"/>
  <c r="I119" i="31"/>
  <c r="H119" i="31"/>
  <c r="G119" i="31"/>
  <c r="F119" i="31"/>
  <c r="E119" i="31"/>
  <c r="I118" i="31"/>
  <c r="H118" i="31"/>
  <c r="G118" i="31"/>
  <c r="F118" i="31"/>
  <c r="E118" i="31"/>
  <c r="I117" i="31"/>
  <c r="H117" i="31"/>
  <c r="G117" i="31"/>
  <c r="F117" i="31"/>
  <c r="E117" i="31"/>
  <c r="I116" i="31"/>
  <c r="H116" i="31"/>
  <c r="G116" i="31"/>
  <c r="F116" i="31"/>
  <c r="E116" i="31"/>
  <c r="I115" i="31"/>
  <c r="H115" i="31"/>
  <c r="G115" i="31"/>
  <c r="F115" i="31"/>
  <c r="E115" i="31"/>
  <c r="I114" i="31"/>
  <c r="H114" i="31"/>
  <c r="G114" i="31"/>
  <c r="F114" i="31"/>
  <c r="E114" i="31"/>
  <c r="I113" i="31"/>
  <c r="H113" i="31"/>
  <c r="G113" i="31"/>
  <c r="F113" i="31"/>
  <c r="E113" i="31"/>
  <c r="I108" i="31"/>
  <c r="H108" i="31"/>
  <c r="G108" i="31"/>
  <c r="F108" i="31"/>
  <c r="E108" i="31"/>
  <c r="I107" i="31"/>
  <c r="H107" i="31"/>
  <c r="G107" i="31"/>
  <c r="F107" i="31"/>
  <c r="E107" i="31"/>
  <c r="I106" i="31"/>
  <c r="H106" i="31"/>
  <c r="G106" i="31"/>
  <c r="F106" i="31"/>
  <c r="E106" i="31"/>
  <c r="I105" i="31"/>
  <c r="H105" i="31"/>
  <c r="G105" i="31"/>
  <c r="F105" i="31"/>
  <c r="E105" i="31"/>
  <c r="I104" i="31"/>
  <c r="H104" i="31"/>
  <c r="G104" i="31"/>
  <c r="F104" i="31"/>
  <c r="E104" i="31"/>
  <c r="I102" i="31"/>
  <c r="H102" i="31"/>
  <c r="G102" i="31"/>
  <c r="F102" i="31"/>
  <c r="E102" i="31"/>
  <c r="I101" i="31"/>
  <c r="H101" i="31"/>
  <c r="G101" i="31"/>
  <c r="F101" i="31"/>
  <c r="E101" i="31"/>
  <c r="I100" i="31"/>
  <c r="H100" i="31"/>
  <c r="G100" i="31"/>
  <c r="F100" i="31"/>
  <c r="E100" i="31"/>
  <c r="I99" i="31"/>
  <c r="H99" i="31"/>
  <c r="G99" i="31"/>
  <c r="F99" i="31"/>
  <c r="E99" i="31"/>
  <c r="I96" i="31"/>
  <c r="H96" i="31"/>
  <c r="G96" i="31"/>
  <c r="E96" i="31"/>
  <c r="I95" i="31"/>
  <c r="H95" i="31"/>
  <c r="I94" i="31"/>
  <c r="H94" i="31"/>
  <c r="I93" i="31"/>
  <c r="H93" i="31"/>
  <c r="I92" i="31"/>
  <c r="H92" i="31"/>
  <c r="I91" i="31"/>
  <c r="H91" i="31"/>
  <c r="I90" i="31"/>
  <c r="H90" i="31"/>
  <c r="I89" i="31"/>
  <c r="H89" i="31"/>
  <c r="I88" i="31"/>
  <c r="H88" i="31"/>
  <c r="I87" i="31"/>
  <c r="H87" i="31"/>
  <c r="I86" i="31"/>
  <c r="H86" i="31"/>
  <c r="G86" i="31"/>
  <c r="E86" i="31"/>
  <c r="I85" i="31"/>
  <c r="H85" i="31"/>
  <c r="G85" i="31"/>
  <c r="E85" i="31"/>
  <c r="I84" i="31"/>
  <c r="H84" i="31"/>
  <c r="G84" i="31"/>
  <c r="E84" i="31"/>
  <c r="I83" i="31"/>
  <c r="H83" i="31"/>
  <c r="G83" i="31"/>
  <c r="E83" i="31"/>
  <c r="I82" i="31"/>
  <c r="H82" i="31"/>
  <c r="G82" i="31"/>
  <c r="E82" i="31"/>
  <c r="I81" i="31"/>
  <c r="H81" i="31"/>
  <c r="G81" i="31"/>
  <c r="E81" i="31"/>
  <c r="I80" i="31"/>
  <c r="H80" i="31"/>
  <c r="E80" i="31"/>
  <c r="I79" i="31"/>
  <c r="H79" i="31"/>
  <c r="G79" i="31"/>
  <c r="F79" i="31"/>
  <c r="E79" i="31"/>
  <c r="I73" i="31"/>
  <c r="H73" i="31"/>
  <c r="G73" i="31"/>
  <c r="F73" i="31"/>
  <c r="E73" i="31"/>
  <c r="I72" i="31"/>
  <c r="H72" i="31"/>
  <c r="F72" i="31"/>
  <c r="E72" i="31"/>
  <c r="I71" i="31"/>
  <c r="H71" i="31"/>
  <c r="F71" i="31"/>
  <c r="E71" i="31"/>
  <c r="I70" i="31"/>
  <c r="H70" i="31"/>
  <c r="G70" i="31"/>
  <c r="F70" i="31"/>
  <c r="E70" i="31"/>
  <c r="I69" i="31"/>
  <c r="H69" i="31"/>
  <c r="G69" i="31"/>
  <c r="F69" i="31"/>
  <c r="E69" i="31"/>
  <c r="I68" i="31"/>
  <c r="H68" i="31"/>
  <c r="F68" i="31"/>
  <c r="E68" i="31"/>
  <c r="I67" i="31"/>
  <c r="H67" i="31"/>
  <c r="G67" i="31"/>
  <c r="F67" i="31"/>
  <c r="E67" i="31"/>
  <c r="I66" i="31"/>
  <c r="H66" i="31"/>
  <c r="F66" i="31"/>
  <c r="E66" i="31"/>
  <c r="I65" i="31"/>
  <c r="H65" i="31"/>
  <c r="F65" i="31"/>
  <c r="E65" i="31"/>
  <c r="I64" i="31"/>
  <c r="H64" i="31"/>
  <c r="G64" i="31"/>
  <c r="F64" i="31"/>
  <c r="E64" i="31"/>
  <c r="I63" i="31"/>
  <c r="H63" i="31"/>
  <c r="G63" i="31"/>
  <c r="F63" i="31"/>
  <c r="E63" i="31"/>
  <c r="I62" i="31"/>
  <c r="H62" i="31"/>
  <c r="G62" i="31"/>
  <c r="F62" i="31"/>
  <c r="E62" i="31"/>
  <c r="I61" i="31"/>
  <c r="H61" i="31"/>
  <c r="F61" i="31"/>
  <c r="E61" i="31"/>
  <c r="I60" i="31"/>
  <c r="H60" i="31"/>
  <c r="F60" i="31"/>
  <c r="E60" i="31"/>
  <c r="I59" i="31"/>
  <c r="H59" i="31"/>
  <c r="G59" i="31"/>
  <c r="F59" i="31"/>
  <c r="E59" i="31"/>
  <c r="I58" i="31"/>
  <c r="H58" i="31"/>
  <c r="G58" i="31"/>
  <c r="F58" i="31"/>
  <c r="E58" i="31"/>
  <c r="I57" i="31"/>
  <c r="H57" i="31"/>
  <c r="F57" i="31"/>
  <c r="E57" i="31"/>
  <c r="I56" i="31"/>
  <c r="H56" i="31"/>
  <c r="G56" i="31"/>
  <c r="F56" i="31"/>
  <c r="E56" i="31"/>
  <c r="I51" i="31"/>
  <c r="H51" i="31"/>
  <c r="G51" i="31"/>
  <c r="F51" i="31"/>
  <c r="E51" i="31"/>
  <c r="I50" i="31"/>
  <c r="H50" i="31"/>
  <c r="G50" i="31"/>
  <c r="F50" i="31"/>
  <c r="E50" i="31"/>
  <c r="I49" i="31"/>
  <c r="H49" i="31"/>
  <c r="G49" i="31"/>
  <c r="F49" i="31"/>
  <c r="E49" i="31"/>
  <c r="I48" i="31"/>
  <c r="H48" i="31"/>
  <c r="G48" i="31"/>
  <c r="E48" i="31"/>
  <c r="I47" i="31"/>
  <c r="H47" i="31"/>
  <c r="G47" i="31"/>
  <c r="F47" i="31"/>
  <c r="E47" i="31"/>
  <c r="I42" i="31"/>
  <c r="H42" i="31"/>
  <c r="G42" i="31"/>
  <c r="F42" i="31"/>
  <c r="E42" i="31"/>
  <c r="I41" i="31"/>
  <c r="H41" i="31"/>
  <c r="G41" i="31"/>
  <c r="F41" i="31"/>
  <c r="E41" i="31"/>
  <c r="I40" i="31"/>
  <c r="H40" i="31"/>
  <c r="G40" i="31"/>
  <c r="F40" i="31"/>
  <c r="E40" i="31"/>
  <c r="I39" i="31"/>
  <c r="H39" i="31"/>
  <c r="F39" i="31"/>
  <c r="E39" i="31"/>
  <c r="I38" i="31"/>
  <c r="H38" i="31"/>
  <c r="G38" i="31"/>
  <c r="F38" i="31"/>
  <c r="E38" i="31"/>
  <c r="I37" i="31"/>
  <c r="H37" i="31"/>
  <c r="G37" i="31"/>
  <c r="F37" i="31"/>
  <c r="E37" i="31"/>
  <c r="I36" i="31"/>
  <c r="H36" i="31"/>
  <c r="F36" i="31"/>
  <c r="E36" i="31"/>
  <c r="I35" i="31"/>
  <c r="H35" i="31"/>
  <c r="G35" i="31"/>
  <c r="F35" i="31"/>
  <c r="E35" i="31"/>
  <c r="I34" i="31"/>
  <c r="H34" i="31"/>
  <c r="G34" i="31"/>
  <c r="F34" i="31"/>
  <c r="E34" i="31"/>
  <c r="I33" i="31"/>
  <c r="H33" i="31"/>
  <c r="G33" i="31"/>
  <c r="F33" i="31"/>
  <c r="E33" i="31"/>
  <c r="I32" i="31"/>
  <c r="H32" i="31"/>
  <c r="G32" i="31"/>
  <c r="F32" i="31"/>
  <c r="E32" i="31"/>
  <c r="I31" i="31"/>
  <c r="H31" i="31"/>
  <c r="G31" i="31"/>
  <c r="F31" i="31"/>
  <c r="E31" i="31"/>
  <c r="E8" i="31"/>
  <c r="F8" i="31"/>
  <c r="H8" i="31"/>
  <c r="I8" i="31"/>
  <c r="E9" i="31"/>
  <c r="F9" i="31"/>
  <c r="H9" i="31"/>
  <c r="I9" i="31"/>
  <c r="E10" i="31"/>
  <c r="H10" i="31"/>
  <c r="I10" i="31"/>
  <c r="E11" i="31"/>
  <c r="H11" i="31"/>
  <c r="I11" i="31"/>
  <c r="E12" i="31"/>
  <c r="H12" i="31"/>
  <c r="I12" i="31"/>
  <c r="E13" i="31"/>
  <c r="H13" i="31"/>
  <c r="I13" i="31"/>
  <c r="E14" i="31"/>
  <c r="H14" i="31"/>
  <c r="I14" i="31"/>
  <c r="E15" i="31"/>
  <c r="H15" i="31"/>
  <c r="I15" i="31"/>
  <c r="E16" i="31"/>
  <c r="H16" i="31"/>
  <c r="I16" i="31"/>
  <c r="E17" i="31"/>
  <c r="H17" i="31"/>
  <c r="I17" i="31"/>
  <c r="E18" i="31"/>
  <c r="H18" i="31"/>
  <c r="I18" i="31"/>
  <c r="E19" i="31"/>
  <c r="H19" i="31"/>
  <c r="I19" i="31"/>
  <c r="E20" i="31"/>
  <c r="H20" i="31"/>
  <c r="I20" i="31"/>
  <c r="E21" i="31"/>
  <c r="H21" i="31"/>
  <c r="I21" i="31"/>
  <c r="E22" i="31"/>
  <c r="H22" i="31"/>
  <c r="I22" i="31"/>
  <c r="E23" i="31"/>
  <c r="H23" i="31"/>
  <c r="I23" i="31"/>
  <c r="E24" i="31"/>
  <c r="H24" i="31"/>
  <c r="I24" i="31"/>
  <c r="E25" i="31"/>
  <c r="H25" i="31"/>
  <c r="I25" i="31"/>
  <c r="E26" i="31"/>
  <c r="H26" i="31"/>
  <c r="I26" i="31"/>
  <c r="F7" i="31"/>
  <c r="G7" i="31"/>
  <c r="H7" i="31"/>
  <c r="I7" i="31"/>
  <c r="E7" i="31"/>
</calcChain>
</file>

<file path=xl/sharedStrings.xml><?xml version="1.0" encoding="utf-8"?>
<sst xmlns="http://schemas.openxmlformats.org/spreadsheetml/2006/main" count="47009" uniqueCount="2219">
  <si>
    <t>Proceso Evaluación y Monitoreo de la Gestión
Formato Hoja de Vida Indicador</t>
  </si>
  <si>
    <t>SI</t>
  </si>
  <si>
    <t>No</t>
  </si>
  <si>
    <t>Vigencia</t>
  </si>
  <si>
    <t>Codigo</t>
  </si>
  <si>
    <t>Nombre</t>
  </si>
  <si>
    <t>Objetivo del Indicador</t>
  </si>
  <si>
    <t>Información básica</t>
  </si>
  <si>
    <t>Línea Base</t>
  </si>
  <si>
    <t>Meta vigencia</t>
  </si>
  <si>
    <t>Dato Nacional</t>
  </si>
  <si>
    <t>Periodicidad</t>
  </si>
  <si>
    <t>Unidad de Medida</t>
  </si>
  <si>
    <t>Dato Regional</t>
  </si>
  <si>
    <t>Tendencia</t>
  </si>
  <si>
    <t>Ámbito Medición</t>
  </si>
  <si>
    <t>Dato Zonal</t>
  </si>
  <si>
    <t>Dimensión Evaluación</t>
  </si>
  <si>
    <t>Alineación gestión institucional</t>
  </si>
  <si>
    <t>Objetivo ICBF</t>
  </si>
  <si>
    <t>1. Ampliar cobertura y mejorar calidad en la atención integral a la Primera Infancia.</t>
  </si>
  <si>
    <t>Macroproceso</t>
  </si>
  <si>
    <t>Código</t>
  </si>
  <si>
    <t>Proceso</t>
  </si>
  <si>
    <t>Objetivo SIGE</t>
  </si>
  <si>
    <t>Alineación estrategia</t>
  </si>
  <si>
    <t>Plan de Acción</t>
  </si>
  <si>
    <t>Línea de Política</t>
  </si>
  <si>
    <t>Componente</t>
  </si>
  <si>
    <t>Proyecto de Inversión</t>
  </si>
  <si>
    <t>Asistencia a la primera infancia a nivel nacional</t>
  </si>
  <si>
    <t>Plan Indicativo</t>
  </si>
  <si>
    <t>Meta Cuatrienio</t>
  </si>
  <si>
    <t>Metodologia de cálculo</t>
  </si>
  <si>
    <t>Formula</t>
  </si>
  <si>
    <t>Numerador</t>
  </si>
  <si>
    <t>Denominador</t>
  </si>
  <si>
    <t>Hoja 1.   F1.PR1.MPEV1.P1   Versión 8.0</t>
  </si>
  <si>
    <t>Valoración</t>
  </si>
  <si>
    <t>Mes de inicio medición</t>
  </si>
  <si>
    <t>Febrero</t>
  </si>
  <si>
    <t>Mes</t>
  </si>
  <si>
    <t>Critico</t>
  </si>
  <si>
    <t>En riesgo</t>
  </si>
  <si>
    <t>Adecuado</t>
  </si>
  <si>
    <t>Optimo</t>
  </si>
  <si>
    <t>Enero</t>
  </si>
  <si>
    <t>Marzo</t>
  </si>
  <si>
    <t>Abril</t>
  </si>
  <si>
    <t>Mayo</t>
  </si>
  <si>
    <t>Junio</t>
  </si>
  <si>
    <t>Min</t>
  </si>
  <si>
    <t>Max</t>
  </si>
  <si>
    <t>Julio</t>
  </si>
  <si>
    <t>Agosto</t>
  </si>
  <si>
    <t>Septiembre</t>
  </si>
  <si>
    <t>Octubre</t>
  </si>
  <si>
    <t>Noviembre</t>
  </si>
  <si>
    <t>Diciembre</t>
  </si>
  <si>
    <t>Observaciones</t>
  </si>
  <si>
    <t>Aspectos técnicos</t>
  </si>
  <si>
    <t>Fuentes</t>
  </si>
  <si>
    <t>Definición de Términos</t>
  </si>
  <si>
    <t>Atención Integral: Para el presente indicador se considera que el niño o niña recibe atención integral si recibe mínimo las siguientes cuatro realizaciones: Afiliación activa en salud en el Sistema General de Seguridad Social en Salud, Esquema de vacunación completo para la edad, Vinculación a un programa de educación inicial con calidad y Existencia y validez del Registro Civil de nacimiento, y que en el corto plazo se amplié la atención para garantizar las siguientes atenciones: Participación de la familia en procesos de formación, Asistencia a consultas de crecimiento y desarrollo requeridas según la edad, Valoración y seguimiento nutricional, Acceso a libros y procesos de promoción de la lectura, Realización de un proceso de verificación de derechos.</t>
  </si>
  <si>
    <t>Información histórica</t>
  </si>
  <si>
    <t>Aplicó 2014</t>
  </si>
  <si>
    <t>Codigo 2014</t>
  </si>
  <si>
    <t>Nombre del indicador</t>
  </si>
  <si>
    <t>Mecanismos de Control</t>
  </si>
  <si>
    <t>1) Una vez publicada esta hoja de vida en Intranet y SIMEI se entenderá como aprobada por todas las partes, de no estar de acuerdo, el responsable del indicador en la Sede de la Dirección General debe enviar mediante correo electrónico las observaciones del mismo para proceder al ajuste. Este correo de debe enviar máximo 5 días después de publicada la hoja de vida al Subdirector de Monitoreo y Evaluación.
2) Para modificar resultados ya reportados del indicador, el responsable de esté, en la Sede de la Dirección General, debe enviar un correo electrónico a la Subdirección de Monitoreo y Evaluación máximo 2 días después de haber reportado por primera vez la información solicitando el cambio. Para que este se haga efectivo en el tablero de control, posterior a este tiempo no se modificaran resultados.
3) El indicador será reportado mensualmente en el tablero de control y cambiara sus resultados de acuerdo a la periodicidad del mismo, mientras tanto mantendrá el último resultado reportado. El cronograma de reportes estará publicado en la intranet
4) Todos los cortes de resultados de los indicadores se realizan al último día de cada mes, de no ser así se debe especificar en las observaciones del indicador. En el caso que se referencie que se maneja información con rezago se reportará la información del corte inmediatamente anterior.</t>
  </si>
  <si>
    <t>Hoja 2.   F1.PR1.MPEV1.P1   Versión 8.0</t>
  </si>
  <si>
    <t>Trimestral</t>
  </si>
  <si>
    <t>Los reportes a las secretarias de educación se realizarán en las reuniones de concertación acordadas de acuerdo a la G8 MO1.MPM1 - Guía para la transición de los niños y niñas desde los Programas de atención a la primera infancia del ICBF al sistema de educación formal</t>
  </si>
  <si>
    <t>Sistema Educativo: Hace referencia a los niveles de educación preescolar y básica obligatorios por Ley.</t>
  </si>
  <si>
    <t>La meta esta sujeta a la programación en SIM</t>
  </si>
  <si>
    <t>Hogares Comunitarios Integrales: Hogares Comunitarios con equipos de talento humano adicionales y que cuentan con los recursos y herramientas necesarias para brindar una atención integral.</t>
  </si>
  <si>
    <t>Agente Educativo: Persona responsable directamente o indirectamente en la atención de los niños y las niñas en las diferentes modalidades de atención a la primera infancia y reconocidos en los manuales ,lineamientos y demás normatividad de cada modalidad.
Formación en atención Integral a la Primera Infancia: Formación titulada (Diplomados, Técnica o profesional) con el objetivo de mejorar las capacidades y habilidades de los agentes educativos para el proceso formativo de los niños y niñas que tienen a su cuidado.
Cualificación: Procesos estructurados alrededor de la atención integral de los niños y niñas, con el fin de brindar herramientas y fortalecer a los agentes educativos para brindar una atención integral.
Entidades de Formación: Son las entidades con el debido reconocimiento legal para ofrecer programas de formación en primera infancia, tales como: SENA, Instituciones de educación Técnica, Universidades, etc.</t>
  </si>
  <si>
    <t>CDIs: Centros de desarrollo infantil, infraestructuras que cumplen con los lineamientos de la Dirección de Primera Infancia del ICBF para la atención integral de niños y niñas menores de 5 años, bajo la estrategia de Cero a Siempre.</t>
  </si>
  <si>
    <t>Fiesta de la Lectura: Estrategia pedagógica transversal orientada a favorecer el desarrollo de los lenguajes expresivos en niños y niñas, a cualificar las prácticas pedagógicas de los agentes educativos a través de 3 componentes: Dotación de bibliotecas infantiles, formación de agentes educativos y seguimiento y acompañamiento al proceso. 
Modalidades del Servicio: La Estrategia se ejecutará en articulación con el Ministerio de Cultura, beneficiando las diferentes modalidades de primera infancia.</t>
  </si>
  <si>
    <t>* Acompañamiento: El acompañamiento es un estrategia  que parte de las necesidades  identificadas  para fortalecer  capacidades de gestión. El acompañamiento es el conjunto de procedimientos que se realizan mediante actividades, específicamente orientadas a alcanzar datos e informaciones relevantes para mejorar las prácticas, buscando lograr el cambio de los patrones de conducta y de actuación de las personas comprometidas en el proceso de atención.
* Implementación: es el conjunto de acciones, actividades y estrategias que promueven el desarrollo integral de niños, niñas y sus familias y  permiten desarrollar los planes, programas y proyectos en el marco de la política de Atención Integral a la Primera Infancia.
* Ruta Integral de Atenciones:  La Ruta Integral de Atenciones (RIA), es un instrumento que sirve de referente para orientar a las autoridades territoriales y a los demás actores responsables de la implementación de la Estrategia de Atención Integral a la Primera Infancia, respecto del conjunto de atenciones en procura de garantizar el pleno desarrollo de cada niña y cada niño.</t>
  </si>
  <si>
    <t>* Visitas realizadas: Verificación del cumplimiento de estandares de calidad en terreno a una entidad administradora de servicio o unidad de servicio, por parte de un profesional de supervisión
* Proceso de supervisión: Conjunto de actividades planificadas para el seguimiento tecnico, administrativo, financiero, contable y juridico de los contratos en las modalidades de atención de Primera Infancia</t>
  </si>
  <si>
    <t>Estático</t>
  </si>
  <si>
    <t>* El indicador para el cuatrienio es decreciente, el numero de niños atendidos en estas modalidades se reduce en la vigencia 2015 a medida que se cualifican los Hogares Comunitarios y se convierten en Atención Integral a la Primera Infancia.
* La meta para la vigencia 2015 corresponde a la programación inicial del cuatrienio de cupos estimados a contratar.
* El denominador variará mes a mes de acuerdo a las modificaciones realizadas a la programación de metas sociales en el SIM, con esté se valorará el indicador mes a mes.</t>
  </si>
  <si>
    <t>* Cualificación: Cualificar integralmente el servicio y en particular mejorar el aporte nutricional y fortalecer el talento humano encargado de la atención de los niños y niñas con profesionales de nutrición, de apoyo psicológico y auxiliares pedagógicos. De igual manera se propone cualificar los ambientes educativos con la renovación de la dotación.
* Atención Tradicional: son modalidades de atención a la primera infancia donde en corresponsabilidad con la sociedad y el Estado, se atienden las necesidades básicas de afecto, nutrición, salud, protección y desarrollo psicosocial de los niños y niñas en la primera infancia, entendida esta como la etapa, comprendida desde la gestación hasta los 5 años de edad. Focaliza su atención en la población de mayor vulnerabilidad, priorizada de acuerdo con los criterios definidos por el ICBF.</t>
  </si>
  <si>
    <t>Mensual</t>
  </si>
  <si>
    <t>* Primera Infancia: Ciclo de vida que va desde la gestación hasta los 5 años.
* Sistema de información de primera infancia: Aplicativos informáticos al cual los operadores y funcionarios ICBF reportan la información de acuerdo a los estándares de Atención Integral a la Primera Infancia.
* Estado nutricional: Es el resultado entre el aporte nutricional que recibe una persona y sus requerimientos nutricionales, considerando la edad, el estado fisiológico, el sexo y la actividad física. El estado nutricional se puede medir a través de indicadores antropométricos, bioquímicos y/o de signos clínicos.</t>
  </si>
  <si>
    <t>* Se tomará como registro válidos las madres que cuentan con su documento de identificación.
* El denominador variará mes a mes de acuerdo a las modificaciones realizadas a la programación de metas sociales en el SIM, con esté se valorará el indicador mes a mes.</t>
  </si>
  <si>
    <t>* CUENTAME: Aplicativo al cual los operadores y usuarios ICBF reportan la información de acuerdo a los estándares de Atención Integral a la Primera Infancia. 
* REGISTRO CIVIL DE NACIMIENTO: Con el registro civil de nacimiento el bebé nace a la vida jurídica, ya que el registro civil es un derecho de todos los niños y constituye la llave de acceso a los bienes y servicios del Estado.</t>
  </si>
  <si>
    <t>* El denominador variará mes a mes de acuerdo a las modificaciones realizadas a la programación de metas sociales en el SIM, con esté se valorará el indicador mes a mes.</t>
  </si>
  <si>
    <t>* Esquema de vacunación completo: Es el medio de control principalmente dirigido a todos los niños y niñas menores de 6 años, para la prevención de enfermedades mortales, infecciosas y discapacidades, para lo cual cada niño o niña debe contar con las vacunas acordes a su edad.</t>
  </si>
  <si>
    <t xml:space="preserve">Durante el año se realizan cuatro tomas (seguimientos) a los niños y las niñas de las modalidades de atención a la primera infancia de las cuales se tendrán en cuenta para el calculo del indicador las correspondientes al mes de Junio y Diciembre, y depende de la digitación de la Información del Módulo de Salud y Nutrición en el Sistema Cuéntame, de acuerdo al PR1.MPM4. Procedimiento evaluación y seguimiento al estado nutricional. </t>
  </si>
  <si>
    <t>* Realizaciones: Las realizaciones hacen referencia a las condiciones y estados que se materializan en la vida de cada niña y cada niño, y que hacen posible su desarrollo integral.
Las realizaciones planteadas en singular para cada niña y cada niño y en tiempo presente, implican que:
  1. Cuenta con padre, madre o cuidadores principales que lo acogen y ponen en práctica pautas de crianza que favorecen su desarrollo integral.
  2. Vive y disfruta del nivel más alto posible de salud.
  3. Goza y mantiene un estado nutricional adecuado.
  4. Crece en entornos que favorecen su desarrollo.
  5. Construye su identidad en un marco de diversidad.
  6. Expresa sentimientos, ideas y opiniones en sus entornos cotidianos y estos son tenidos en cuenta.
  7. Crece en entornos que promocionan sus derechos y actúan ante la exposición a situaciones de riesgo o vulneración.
* Registro Civil: Es un instrumento legal del cual se vale el Estado para el reconocimiento de los derechos al nombre, la nacionalidad y la familia.
* Consulta de crecimiento y desarrollo: Es el control al cual tienen derecho todos los niños y niñas de estar sanos, en esta se verifica su crecimiento y desarrollo con el fin de encontrar o prevenir problemas.
* Esquema de vacunación completo: Es el medio de control principalmente dirigido a todos los niños y niñas menores de 6 años, para la prevención de enfermedades mortales, infecciosas y discapacidades, para lo cual cada niño o niña debe contar con las vacunas acordes a su edad.</t>
  </si>
  <si>
    <t>* Complemento Nutricional Tipo 1: para niñas y niños de 6 a 11 meses, constituido por un paquete de Bienestarina MAS natural y/o Saborizada de 900 gramos niño/mes, correspondiente al suministro de 30 gramos al día.
* Complemento Nutricional Tipo 2: para niñas y niños de 12 meses a 4 años 11 meses y/o madres gestantes o lactantes pertenecientes a la Modalidad FAMI, constituido por: 
* Una porción por 200 ml de leche entera natural o saborizada o bebida láctea con avena, Ultra Alta Temperatura (UAT/UHT) fortificadas con Hierro, Zinc, en forma aminoquelada y Ácido Fólico. 
* Una galleta u otro producto a base de cereal, de mínimo 30 gramos, enriquecido con Hierro en forma aminoquelada y Ácido Fólico.
* Un paquete de Bienestarina MAS natural y/o saborizada de 900 gramos niño/mes, correspondiente al suministro de 30 gramos al día que se proporcionará con el fin de mejorar la adecuación nutricional, garantizar una complementación alimentaria para los fines de semana y minimizar el impacto de dilución del complemento entre otros miembros de la familia.
* Beneficiarios Complemento Tipo 1: 10 meses 
* Beneficiarios Complemento Tipo 2: 200 días</t>
  </si>
  <si>
    <t>* Formación: Las familias de niños y niñas de primera infancia participan en el desarrollo de continuas y diversas acciones de formación o de acompañamiento, que a través de metodologías de diálogo de saberes, activas y participativas, permiten reflexionar sobre sus prácticas de crianza y enriquecerlas de manera que favorezcan el desarrollo infantil. Las actividades de formación y acompañamiento pueden incluir, encuentros grupales de adultos, encuentros de adultos con niños y niñas, encuentros en el hogar, cuadernos viajeros, colaboración en actividades pedagógicas de los CDI, participación en actividades culturales, entre otras.
* El proceso de formación y de acompañamiento se desarrolla de acuerdo con las características de operación de cada modalidad. Para la familiar, dado que la formación es inherente a la misma operación, los procesos se desarrollan en los encuentros educativos grupales con los niños y las familias y a través de visitas al hogar. Por su parte, en la modalidad institucional, puede desarrollar en sesiones grupales o individuales, cuya programación depende de la disponibilidad de tiempo de las familias, y pueden llevarse en diversos espacios (centros de salud, Centros de Desarrollo Infantil/Hogares Infantiles, espacios comunitarios, etc.). 
* En ambas modalidades, se busca un proceso continuo que no tiene inicio ni final, con el cual se busca básicamente fortalecer las capacidades parentales de las familias para promover a través de ellas mejores posibilidades de desarrollo de los niños y niñas al interior del hogar, sin constituir un proceso educativo formal.</t>
  </si>
  <si>
    <t>De acuerdo a los criterios de la ANSPE, las siguientes modalidades se consideran como integrales y hacen parte del cálculo del indicador: CDI Institucional, CDI modalidad familiar, Convenios especiales, hogar empresarial, jardines sociales, hogares infantiles, HCB tradicional múltiple, lactantes y prescolares, HCB tradicional familiar, HCB agrupados, atención en centros de reclusión y otras formas de atención.</t>
  </si>
  <si>
    <t>Atención Integral: Para el presente indicador se considera que el niño o niña recibe atención integral si recibe mínimo las siguientes cuatro realizaciones: Afiliación activa en salud en el Sistema General de Seguridad Social en Salud, Esquema de vacunación completo para la edad, Vinculación a un programa de educación inicial con calidad y Existencia y validez del Registro Civil de nacimiento, y que en el corto plazo se amplié la atención para garantizar las siguientes atenciones: Participación de la familia en procesos de formación, Asistencia a consultas de crecimiento y desarrollo requeridas según la edad, Valoración y seguimiento nutricional, Acceso a libros y procesos de promoción de la lectura, Realización de un proceso de verificación de derechos.
Sistema de información de primera infancia: Aplicativos informáticos al cual los operadores y funcionarios ICBF reportan la información de acuerdo a los estándares de Atención Integral a la Primera Infancia.</t>
  </si>
  <si>
    <t>El reporte de los niños y niñas víctimas atendidos en el programa DIA y Convenios especiales, se reporta desde la sede nacional y como fuente de la información se toma los beneficiarios registrados en el sistema de información de Primera Infancia.</t>
  </si>
  <si>
    <t>MODALIDADES DE ATENCIÓN: Las modalidades de atención consideradas para el calculo son las siguientes: Hogares Comunitarios de Bienestar (en todas sus modalidades), Hogares Infantiles, Centros de Desarrollo Infantil, Modalidad Familiar, Hogares Empresariales, Convenios especiales, Lactantes y Preescolares y Desayunos Infantiles.</t>
  </si>
  <si>
    <t>Eficacia</t>
  </si>
  <si>
    <t>2. Promover los derechos de los NNA y prevenir los riesgos o amenazas de vulneración de los mismos</t>
  </si>
  <si>
    <t>Prevencion y promocion para la proteccion integral de los derechos de la niñez y adolescencia al nivel nacional</t>
  </si>
  <si>
    <t>Informacion con rezago</t>
  </si>
  <si>
    <t>1) Una vez publicada esta hoja de vida en Intranet y SIMEI se entenderá como aprobada por todas las partes, de no estar de acuerdo, el responsable del indicador en la Sede de la Dirección General debe enviar mediante correo electrónico las observaciones del mismo para proceder al ajuste. Este correo de debe enviar máximo 5 días después de publicada la hoja de vida al Subdirector de Monitoreo y Evaluación.
2) Para modificar resultados ya reportados del indicador, el responsable de esté, en la Sede de la Dirección General, debe enviar un correo electrónico a la Subdirección de Monitoreo y Evaluación máximo 2 días después de haber reportado por primera vez la información solicitando el cambio. Para que este se haga efectivo en el tablero de control, posterior a este tiempo no se modificaran resultados.
3) El indicador será reportado mensualmente en el tablero de control y cambiara sus resultados de acuerdo a la periodicidad del mismo, mientras tanto mantendrá el último resultado reportado. La fecha máxima de reporte serán los primeros 8 días calendario con dos días hábiles adicionales para modificación de avances según observaciones de regionales y validación de las áreas dueñas de la información 
4) Todos los cortes de resultados de los indicadores se realizan al último día de cada mes, de no ser así se debe especificar en las observaciones del indicador. En el caso que se referencie que se maneja información con rezago se reportará la información del corte inmediatamente anterior.</t>
  </si>
  <si>
    <t>Resultado</t>
  </si>
  <si>
    <t>Semestral</t>
  </si>
  <si>
    <t>Proceso de formación: Proceso de enseñanza y aprendizaje activo y permanente destinado a actualizar y mejorar los conocimientos, habilidades, actitudes y competencias de los agentes educativos ante la evolución científica y tecnológica y las demandas y necesidades, tanto sociales como del propio sistema de atención. Incluye eventos de información, sensibilización, capacitación, entrenamiento y desarrollo de habilidades.
Participación: Puede ser asistencia regular, directa y personal, o encuentro y discusión a nivel virtual, siempre que exista posibilidad de interlocución en doble vía de manera simultánea.
Derechos Sexuales y Reproductivos: Son los mismos derechos humanos interpretados desde la sexualidad.
Agentes Educativos Comunitarios e Institucionales: Todos aquellos adultos que, a través de su interacción en los procesos de atención, educación, cuidado y protección, son los responsables directos de agenciar el desarrollo de los beneficiarios en las modalidades de atención. Se les designa como comunitarios e institucionales según el contexto en el que desarrollan su actividad.</t>
  </si>
  <si>
    <t>Programa de Promoción y Prevención para la Protección Integral de los niños, niñas y adolescentes: Programa que Promueve la garantía de los derechos y previene su vulneración a partir del empoderamiento de los niños, niñas y adolescentes como sujetos de derechos y del fortalecimiento de la corresponsabilidad de la familia, la sociedad y el Estado entorno a su protección integral. 
Operador: Es la entidad seleccionada por el Comité de Contratación del ICBF para la administración del Programa de Promoción y prevención para la Protección Integral de niños, niñas y adolescentes "Generaciones con Bienestar", durante una vigencia.</t>
  </si>
  <si>
    <t>Programa de Promoción y Prevención para la Protección Integral de los niños, niñas y adolescentes: Programa que Promueve la garantía de los derechos y previene su vulneración a partir del empoderamiento de los niños, niñas y adolescentes como sujetos de derechos y del fortalecimiento de la corresponsabilidad de la familia, la sociedad y el Estado entorno a su protección integral. 
Encuentro vivencial: Espacio que busca desde diversas acciones y estrategias propiciar la construcción y alternativas lúdicas recreativas y de sano esparcimiento para el aprovechamiento del tiempo libre y el mejoramiento de la calidad de vida. 
Operador: Es la entidad seleccionada por el Comité de Contratación del ICBF para la administración del Programa de Promoción y prevención para la Protección Integral de niños, niñas y adolescentes "Generaciones con Bienestar", durante una vigencia.</t>
  </si>
  <si>
    <t>Programa de Promoción y Prevención para la Protección Integral de los niños, niñas y adolescentes: Programa que Promueve la garantía de los derechos y previene su vulneración a partir del empoderamiento de los niños, niñas y adolescentes como sujetos de derechos y del fortalecimiento de la corresponsabilidad de la familia, la sociedad y el Estado entorno a su protección integral. 
Encuentro vivencial: Espacio que busca desde diversas acciones y estrategias propiciar la construcción y alternativas lúdicas recreativas y de sano esparcimiento para el aprovechamiento del tiempo libre y el mejoramiento de la calidad de vida. 
Operador: Es la entidad seleccionada por el Comité de Contratación del ICBF para la administración del Programa de Promoción y prevención para la Protección Integral de niños, niñas y adolescentes "Generaciones con Bienestar", durante una vigencia.
RESOLUCIÓN 5929 DE 2010. Situaciones de Ingreso al Proceso de Restablecimiento de Derechos.
Las situaciones de Ingreso son tres (3):
a) Inobservancia: Consiste en el incumplimiento, omisión o negación de acceso a un servicio, o de los deberes y responsabilidades ineludibles que tienen las autoridades administrativas, judiciales, tradicionales nacionales o extranjeras, actores del Sistema Nacional de Bienestar Familiar, sociedad civil y personas naturales, de garantizar, permitir o procurar el ejercicio pleno de los derechos de los niños, niñas o adolescentes nacionales y extranjeros que se encuentren en el territorio colombiano o fuera de él.
b) Amenaza: Consiste en toda situación de inminente peligro o de riesgo para el ejercicio de los derechos de todos los niños, las niñas o los adolescentes.
c) Vulneración: Es toda situación de daño, lesión o perjuicio que impide el  ejercicio pleno de los derechos de los niños, niñas y adolescentes.</t>
  </si>
  <si>
    <t>MPM1</t>
  </si>
  <si>
    <t xml:space="preserve">Gestión para la Atención Integral a la Primera Infancia </t>
  </si>
  <si>
    <t xml:space="preserve">Dirección de Primera Infancia </t>
  </si>
  <si>
    <t>PA-01</t>
  </si>
  <si>
    <t>Número de niños y niñas atendidos en el marco de la Atención Integral.</t>
  </si>
  <si>
    <t>PA-02</t>
  </si>
  <si>
    <t>PA-03</t>
  </si>
  <si>
    <t>Porcentaje de niños y niñas de las modalidades de Primera Infancia, reportados al Ministerio de Educación para la matricula al sistema educativo.</t>
  </si>
  <si>
    <t>PA-04</t>
  </si>
  <si>
    <t>Porcentaje de Hogares Comunitarios que cumplen los estándares de la estrategia de Cero a Siempre.</t>
  </si>
  <si>
    <t>PA-05</t>
  </si>
  <si>
    <t>PA-06</t>
  </si>
  <si>
    <t>Número de CDIs entregados para operación de la modalidades de Atención Integral a la Primera Infancia</t>
  </si>
  <si>
    <t>PA-07</t>
  </si>
  <si>
    <t>PA-08</t>
  </si>
  <si>
    <t>PA-09</t>
  </si>
  <si>
    <t>PA-10</t>
  </si>
  <si>
    <t>Número de visitas de supervisión realizadas a las modalidades de Primera Infancia.</t>
  </si>
  <si>
    <t>MPM1-01</t>
  </si>
  <si>
    <t>Número de niños y niñas atendidos en Hogares Comunitarios de Bienestar Tradicionales.</t>
  </si>
  <si>
    <t>MPM1-02</t>
  </si>
  <si>
    <t>MPM1-03</t>
  </si>
  <si>
    <t xml:space="preserve">Número de niños y niñas atendidos integralmente que cuentan con registro civil </t>
  </si>
  <si>
    <t>MPM1-04</t>
  </si>
  <si>
    <t>Número de niños y niñas atendidos integralmente que cuentan con esquema de vacunación completo</t>
  </si>
  <si>
    <t>MPM1-05</t>
  </si>
  <si>
    <t>Porcentaje de niños y niñas que durante la atención alcanzan tres de las realizaciones en el marco de la Estrategia de Cero a Siempre</t>
  </si>
  <si>
    <t>MPM1-06</t>
  </si>
  <si>
    <t>Número de niños y niñas atendidos por el programa de complementación nutricional "-DIA-"</t>
  </si>
  <si>
    <t>MPM1-07</t>
  </si>
  <si>
    <t>Número de niños y niñas en primera infancia cuyos padres o cuidadores participan en procesos de formación.</t>
  </si>
  <si>
    <t>MPM1-08</t>
  </si>
  <si>
    <t xml:space="preserve">Número de niños y niñas de la Red Unidos con Atención a la Primera Infancia - de acuerdo a criterios ANSPE de atención integral </t>
  </si>
  <si>
    <t>MPM1-09</t>
  </si>
  <si>
    <t>Número de niños y niñas víctimas de conflicto armado atendidos en las diferentes modalidades de Atención a la Primera Infancia.</t>
  </si>
  <si>
    <t>MPM2</t>
  </si>
  <si>
    <t xml:space="preserve">Gestión para la promoción y Prevención para la protección integral de las niñez y la adolescencia </t>
  </si>
  <si>
    <t xml:space="preserve">Dirección de Niñez y Adolescencia </t>
  </si>
  <si>
    <t>PA-11</t>
  </si>
  <si>
    <t>Porcentaje del  diseño e implementación de la ruta integral de atenciones de infancia y adolescencia.</t>
  </si>
  <si>
    <t>PA-12</t>
  </si>
  <si>
    <t>Porcentaje del diseño e implementación de la política pública integral de infancia y adolescencia.</t>
  </si>
  <si>
    <t>PA-13</t>
  </si>
  <si>
    <t xml:space="preserve">Número de departamentos con la estrategia de prevención de embarazo en la adolescencia implementada </t>
  </si>
  <si>
    <t>PA-14</t>
  </si>
  <si>
    <t>Número de Municipios priorizados  con la implementación de la estrategia de prevención de embarazo en la adolescencia</t>
  </si>
  <si>
    <t>PA-15</t>
  </si>
  <si>
    <t>Número de  Agentes educativos, institucionales y comunitarios de Programas del ICBF formados en derechos sexuales y reproductivos y prevención del embarazo en la adolescencia</t>
  </si>
  <si>
    <t>PA-16</t>
  </si>
  <si>
    <t xml:space="preserve">Número de niños, niñas y adolescentes participantes en programas de prevención </t>
  </si>
  <si>
    <t>PA-17</t>
  </si>
  <si>
    <t>Número de ejercicios de promoción de la participación significativa de niños, niñas y adolescentes  en políticas, programas, proyectos y estrategias desarrollados en los territorios.</t>
  </si>
  <si>
    <t>MPM2-01</t>
  </si>
  <si>
    <t>MPM2-02</t>
  </si>
  <si>
    <t xml:space="preserve">Numero de horas de encuentros vivenciales realizados por el  Programa de Promoción y Prevención para la Protección Integral de los niños, niñas y adolescentes "Generaciones con Bienestar"  </t>
  </si>
  <si>
    <t>MPM2-03</t>
  </si>
  <si>
    <t xml:space="preserve">Porcentaje de respuesta efectivas  a las  gestiones  realizadas por el operador para la activación de la ruta de restablecimiento derechos. </t>
  </si>
  <si>
    <t>MPM2-04</t>
  </si>
  <si>
    <t xml:space="preserve">Porcentaje de casos de vulneración, amenaza o in observancia de derechos identificados por diagnostico de derechos, con gestiones realizadas por el operador para la activación de ruta de restablecimiento </t>
  </si>
  <si>
    <t>MPM3</t>
  </si>
  <si>
    <t>Gestión para la atención de las familias y comunidades</t>
  </si>
  <si>
    <t>Dirección de Familia y Comunidades</t>
  </si>
  <si>
    <t>PA-18</t>
  </si>
  <si>
    <t>PA-19</t>
  </si>
  <si>
    <t>PA-20</t>
  </si>
  <si>
    <t>Porcentaje de avance en el diseño e implementación de un modelo de enfoque conceptual de inclusión y atención a las familias con las áreas misionales</t>
  </si>
  <si>
    <t>PA-21</t>
  </si>
  <si>
    <t>MPM4</t>
  </si>
  <si>
    <t>Gestión para la Nutrición</t>
  </si>
  <si>
    <t>Dirección de Nutrición</t>
  </si>
  <si>
    <t>PA-22</t>
  </si>
  <si>
    <t>Porcentaje de niños y niñas entre dos y cinco años reportados al Sistema de Seguimiento Nutricional (excluyendo FAMI, RN) con desnutrición aguda que mejoraron su estado Nutricional.</t>
  </si>
  <si>
    <t>PA-23</t>
  </si>
  <si>
    <t>Porcentaje de niños y niñas que mejoraron su estado Nutricional que se encuentran en la modalidad Recuperación Nutricional con Enfoque Comunitario - RNEC</t>
  </si>
  <si>
    <t>PA-24</t>
  </si>
  <si>
    <t>PA-25</t>
  </si>
  <si>
    <t>PA-26</t>
  </si>
  <si>
    <t>Porcentaje de Mujeres en periodo de Gestación y Madres en periodo de Lactancia con bajo peso atendidas mediante la modalidad de Recuperación Nutricional con Énfasis en los Primeros 1.000 días que mejoran su estado nutricional.</t>
  </si>
  <si>
    <t>PA-27</t>
  </si>
  <si>
    <t>PA-28</t>
  </si>
  <si>
    <t>PA-29</t>
  </si>
  <si>
    <t>PA-30</t>
  </si>
  <si>
    <t>MPM4-01</t>
  </si>
  <si>
    <t>MPM4-02</t>
  </si>
  <si>
    <t>Porcentaje de niños de 6  meses  a 2 años reportados al Sistema de Seguimiento Nutricional – SSN pertenecientes al programa FAMI y CDI Modalidad Familiar, con desnutrición global  que mejoran su estado nutricional.</t>
  </si>
  <si>
    <t>MPM4-03</t>
  </si>
  <si>
    <t>Porcentaje de niños y niñas entre dos y cinco años victimas de desplazamiento reportados al Sistema de Seguimiento Nutricional - SSN en HI - HCB - CDI (excluyendo FAMI) con desnutrición aguda que mejoraron su estado Nutricional.</t>
  </si>
  <si>
    <t>MPM4-04</t>
  </si>
  <si>
    <t>Porcentaje de niños y niñas reportados al Sistema de Seguimiento Nutricional –SSN en HI, CDI  y HCB (excluyendo FAMI y menores de 2 años) que permanecieron con  Obesidad</t>
  </si>
  <si>
    <t>MPM4-05</t>
  </si>
  <si>
    <t>MPM4-06</t>
  </si>
  <si>
    <t>Porcentaje de niños y niñas  atendidos en la modalidad FAMI y CDI Modalidad Familiar con lactancia materna exclusiva hasta los seis meses</t>
  </si>
  <si>
    <t>MPM4-07</t>
  </si>
  <si>
    <t>MPM5</t>
  </si>
  <si>
    <t>Gestión para la Protección</t>
  </si>
  <si>
    <t xml:space="preserve">Subdirección de Restablecimiento de Derechos </t>
  </si>
  <si>
    <t>PA-31</t>
  </si>
  <si>
    <t xml:space="preserve">Porcentaje de adolescentes y jóvenes sin discapacidad  mayores de 15 años, con declaratoria de adoptabilidad, desvinculados  de los grupos organizados al margen de la ley y/o vinculados al SRPA , con estudios de bachillerato terminado que estén vinculados a procesos de formación. </t>
  </si>
  <si>
    <t>PA-32</t>
  </si>
  <si>
    <t>Porcentaje de niños, niñas y adolescentes menores de 18 años en protección con auto de apertura de investigación con situación legal dentro de los 120 días definidos por la ley.</t>
  </si>
  <si>
    <t>PA-33</t>
  </si>
  <si>
    <t>Porcentaje de niños, niñas, adolescentes y jóvenes víctimas de reclutamiento ilícito que se desvinculan de los grupos armados organizados al margen de la ley, que egresan del programa especializado cumpliendo los objetivos del mismo.</t>
  </si>
  <si>
    <t>PA-34</t>
  </si>
  <si>
    <t>Porcentaje de niños, niñas y adolescente víctimas del desplazamiento forzado con proceso de acompañamiento familiar por las unidades móviles para contribuir a la atención, asistencia, reparación integral y al restablecimiento de sus derechos.</t>
  </si>
  <si>
    <t>PA-35</t>
  </si>
  <si>
    <t xml:space="preserve">Porcentaje de solicitudes de atención humanitaria cobradas en efectivo del programa de alimentación en la transición para hogares desplazados. </t>
  </si>
  <si>
    <t>PA-36</t>
  </si>
  <si>
    <t>Porcentaje de Autoridades Administrativas y Equipos Técnicos Interdisciplinarios, capacitados en el proceso Administrativo de Restablecimiento de Derechos y temáticas afines.</t>
  </si>
  <si>
    <t>PA-37</t>
  </si>
  <si>
    <t>Porcentaje de Defensorías de Familias  y equipos técnicos interdisciplinarios, capacitados en la ruta de actuaciones especiales en el proceso de restablecimiento de Derechos con enfoque diferencial y población.</t>
  </si>
  <si>
    <t>PA-38</t>
  </si>
  <si>
    <t>MPM5-P1-01</t>
  </si>
  <si>
    <t>Porcentaje de Niños, niñas y adolescentes en Proceso Administrativo de Restablecimiento de Derechos PARD ubicados en la modalidad de hogar sustituto o medio Institucional Internado con permanencia mayor a 12 meses.</t>
  </si>
  <si>
    <t>MPM5-P1-02</t>
  </si>
  <si>
    <t>Porcentaje de niños, niñas o adolescentes con auto de apertura de investigación que llevan entre 121 y 180 días sin situación legal definida o con fallos ejecutoriados pendientes.</t>
  </si>
  <si>
    <t>MPM5-P1-03</t>
  </si>
  <si>
    <t xml:space="preserve">Porcentaje de niños, niñas y adolescentes con auto de apertura de investigación que llevan más de 180 días sin situación legal definida o con fallos ejecutoriados pendientes. </t>
  </si>
  <si>
    <t>MPM5-P1-04</t>
  </si>
  <si>
    <t>Porcentaje de procesos administrativos de restablecimiento de derechos que son remitidos a Juzgados de Familia, por pérdida de competencia.</t>
  </si>
  <si>
    <t>MPM5-P1-05</t>
  </si>
  <si>
    <t>Porcentaje del presupuesto ejecutado (obligaciones acumuladas de la vigencia), del total del presupuesto asignado como proyecto de inversión de Protección.</t>
  </si>
  <si>
    <t>MPM5-P1-06</t>
  </si>
  <si>
    <t>Porcentaje  de familias con personas con discapacidad  en situación de vulnerabilidad (SISBEN bajo criterio de inclusión determinados por el ICBF), que ingresaron al programa UNAFA y cumplieron los objetivos del mismo.</t>
  </si>
  <si>
    <t>MPM5-P1-07</t>
  </si>
  <si>
    <t xml:space="preserve">Porcentaje de niños, niñas, adolescentes y mayores de 18 años con discapacidad atendidos en situación de inobservancia, amenaza o vulneración de sus derechos </t>
  </si>
  <si>
    <t>MPM5-P1-08</t>
  </si>
  <si>
    <t>Porcentaje de casos de niños, niñas y adolescentes que luego de ser devueltos por el comité de adopciones, se les resuelve  su situación, presentándose nuevamente a comité o reintegrándose a su medio familiar.</t>
  </si>
  <si>
    <t>MPM5-P1-09</t>
  </si>
  <si>
    <t>Porcentaje de niños, niñas y adolescentes que reingresan al proceso de restablecimiento de derechos.</t>
  </si>
  <si>
    <t>Subdirección de Adopciones</t>
  </si>
  <si>
    <t>PA-39</t>
  </si>
  <si>
    <t>Porcentaje de Niños, niñas y adolescentes en situación de adoptabilidad en firme,  por consentimiento o por autorización,  SIN características especiales presentados a comité de adopciones, con familia asignada.</t>
  </si>
  <si>
    <t>PA-40</t>
  </si>
  <si>
    <t>Porcentaje de Niños, niñas y adolescentes en situación de adoptabilidad en firme, por consentimiento o por autorización,  CON características y necesidades especiales y posibilidad de adopción presentados a comité de adopciones, con familia asignada.</t>
  </si>
  <si>
    <t>PA-41</t>
  </si>
  <si>
    <t>Porcentaje  de niños, niñas y adolescentes que a partir de la fecha de sentencia de adopción en firme, cumplen con el número de informes de seguimientos post adopción en el periodo establecido.</t>
  </si>
  <si>
    <t>MPM5-P2-01</t>
  </si>
  <si>
    <t>Porcentaje de niños, niñas y adolescentes que  luego de tener la  sentencia de adopción en firme, presentan apertura de un Proceso Administrativo de Restablecimiento de Derechos PARD.</t>
  </si>
  <si>
    <t>Subdirección de Responsabilidad penal</t>
  </si>
  <si>
    <t>PA-42</t>
  </si>
  <si>
    <t>Porcentaje de adolescentes con más de seis meses de permanencia en el  Programa de Atención  con la garantía de ejercicio de  sus derechos (Identidad, Salud y Educación)</t>
  </si>
  <si>
    <t>PA-43</t>
  </si>
  <si>
    <t>Porcentaje de adolescentes y jóvenes que egresan el último año del SRPA atendidos con estrategias post egreso o inclusión social.</t>
  </si>
  <si>
    <t>PA-44</t>
  </si>
  <si>
    <t>Porcentaje de Regionales con la implementación de servicios para el cumplimiento de sanciones no privativas de libertad.</t>
  </si>
  <si>
    <t>PA-45</t>
  </si>
  <si>
    <t>MPM5-P3-01</t>
  </si>
  <si>
    <t>Porcentaje de adolescentes con reiteración en el Sistema de Responsabilidad Penal para adolescentes por el mismo delito  u otro diferente .</t>
  </si>
  <si>
    <t>MPA1</t>
  </si>
  <si>
    <t>Gestión Soporte</t>
  </si>
  <si>
    <t>Dirección Administrativa</t>
  </si>
  <si>
    <t>PA-56</t>
  </si>
  <si>
    <t xml:space="preserve">Porcentaje de cumplimiento en el diseño e implementación del PLAN MAESTRO DE INFRAESTRUCTURA </t>
  </si>
  <si>
    <t>PA-57</t>
  </si>
  <si>
    <t>Porcentaje de cumplimiento en el diseño e implementación de un modelo de gestión administrativa</t>
  </si>
  <si>
    <t>PA-58</t>
  </si>
  <si>
    <t>PA-59</t>
  </si>
  <si>
    <t>Número de intervenciones en infraestructura para la atención a la Primera Infancia</t>
  </si>
  <si>
    <t>PA-60</t>
  </si>
  <si>
    <t>Porcentaje de implementación de la estrategia Cero Papel</t>
  </si>
  <si>
    <t>PA-61</t>
  </si>
  <si>
    <t>Número de  Centros de Desarrollo Infantil construidos</t>
  </si>
  <si>
    <t>PA-62</t>
  </si>
  <si>
    <t>Porcentaje de archivos transferidos en soporte físico al Archivo Central Unificado del ICBF organizados</t>
  </si>
  <si>
    <t>MPA1-P5-01</t>
  </si>
  <si>
    <t>Número de intervenciones en infraestructura en Sedes Regionales y Centros Zonales</t>
  </si>
  <si>
    <t>MPA1-P5-02</t>
  </si>
  <si>
    <t>Porcentaje de oportunidad en el direccionamiento de comunicaciones recibidas a través de la unidad de Correspondencia</t>
  </si>
  <si>
    <t>MPA1-P5-03</t>
  </si>
  <si>
    <t>MPA1-P5-04</t>
  </si>
  <si>
    <t>Porcentaje de verificación del Estado de los bienes inmuebles.</t>
  </si>
  <si>
    <t>MPA1-P5-05</t>
  </si>
  <si>
    <t>MPA1-P5-06</t>
  </si>
  <si>
    <t>Porcentaje de Comodatos suscritos y registrados</t>
  </si>
  <si>
    <t>MPA1-P5-07</t>
  </si>
  <si>
    <t>MPA1-P5-08</t>
  </si>
  <si>
    <t>MPA1-P5-09</t>
  </si>
  <si>
    <t>Porcentaje de archivos de gestión en soporte físico Organizados</t>
  </si>
  <si>
    <t>MPA1-P5-10</t>
  </si>
  <si>
    <t>Porcentaje del nivel de cumplimiento estándar de consumo de agua</t>
  </si>
  <si>
    <t>MPA1-P5-11</t>
  </si>
  <si>
    <t>Porcentaje del Nivel de cumplimiento estándar de consumo del recurso energético.</t>
  </si>
  <si>
    <t>Dirección de Abastecimiento</t>
  </si>
  <si>
    <t>PA-53</t>
  </si>
  <si>
    <t>Número de Regionales que implementan la Estrategia de Compras Locales y Compras Eficientes</t>
  </si>
  <si>
    <t>PA-54</t>
  </si>
  <si>
    <t>Número de modalidades de atención del ICBF que cuentan con modelos de costos.</t>
  </si>
  <si>
    <t>PA-55</t>
  </si>
  <si>
    <t>Porcentaje de los recursos  contratados, reportados en el Plan Anual de Adquisiciones</t>
  </si>
  <si>
    <t>MPA1-P4-01</t>
  </si>
  <si>
    <t>MPA1-P4-02</t>
  </si>
  <si>
    <t>Porcentaje de estudios de sector y costos entregados oportunamente a las áreas solicitantes.</t>
  </si>
  <si>
    <t>MPA1-P4-03</t>
  </si>
  <si>
    <t>MPA1-P4-04</t>
  </si>
  <si>
    <t>Dirección de Contratación</t>
  </si>
  <si>
    <t>PA-63</t>
  </si>
  <si>
    <t xml:space="preserve">Porcentaje de avance de la actualización y aplicación del Proceso de Gestión de Contratación en la Sede de la Dirección Nacional y Direcciones Regionales </t>
  </si>
  <si>
    <t>PA-64</t>
  </si>
  <si>
    <t>Porcentaje de contratos liquidados de la Sede de la Dirección Nacional y Direcciones Regionales</t>
  </si>
  <si>
    <t>Dirección de Gestión Humana</t>
  </si>
  <si>
    <t>PA-46</t>
  </si>
  <si>
    <t>Porcentaje de cobertura del plan de Bienestar</t>
  </si>
  <si>
    <t>PA-47</t>
  </si>
  <si>
    <t>Porcentaje de vacantes en la planta global</t>
  </si>
  <si>
    <t>PA-48</t>
  </si>
  <si>
    <t>Porcentaje de servidores capacitados</t>
  </si>
  <si>
    <t>PA-49</t>
  </si>
  <si>
    <t xml:space="preserve">Porcentaje de avance en  la implementación del  Plan Estratégico de Gestión Humana. </t>
  </si>
  <si>
    <t>MPA1-P1-01</t>
  </si>
  <si>
    <t>MPA1-P1-02</t>
  </si>
  <si>
    <t>Porcentaje de cumplimiento en actividades de seguridad y salud en el trabajo SG-SST</t>
  </si>
  <si>
    <t>MPA1-P1-03</t>
  </si>
  <si>
    <t>Porcentaje de satisfacción de actividades ejecutadas dentro del Plan de Bienestar</t>
  </si>
  <si>
    <t>MPA1-P1-04</t>
  </si>
  <si>
    <t>Porcentaje de eficacia de la capacitación realizadas a servidores públicos</t>
  </si>
  <si>
    <t>MPA1-P1-05</t>
  </si>
  <si>
    <t>Porcentaje de condiciones inseguras corregidas derivadas de las inspecciones realizadas</t>
  </si>
  <si>
    <t>MPA1-P1-06</t>
  </si>
  <si>
    <t>Porcentaje de apropiación de habitos de Autocuidado en Colaboradores</t>
  </si>
  <si>
    <t>MPA1-P1-07</t>
  </si>
  <si>
    <t>Porcentaje de colaboradores incapacitados enfermedad común, laboral y/o accidente de trabajo</t>
  </si>
  <si>
    <t>MPA1-P1-08</t>
  </si>
  <si>
    <t>Porcentaje de cargos en la planta global provistos</t>
  </si>
  <si>
    <t>MPA1-P1-09</t>
  </si>
  <si>
    <t>Porcentaje de etapas implementadas para la ejecución de los proyectos de aprendizaje en equipo</t>
  </si>
  <si>
    <t xml:space="preserve">Dirección Financiera </t>
  </si>
  <si>
    <t>PA-50</t>
  </si>
  <si>
    <t>Porcentaje de ejecución de pac recursos nación</t>
  </si>
  <si>
    <t>PA-51</t>
  </si>
  <si>
    <t>Porcentaje de ejecución de pac recursos propios</t>
  </si>
  <si>
    <t>MPA1-P2-01</t>
  </si>
  <si>
    <t>MPA1-P2-02</t>
  </si>
  <si>
    <t>Porcentaje de ejecución de los compromisos presupuestales establecidos en la vigencia</t>
  </si>
  <si>
    <t>MPA1-P2-03</t>
  </si>
  <si>
    <t>Oficina de Control Interno Disciplinario</t>
  </si>
  <si>
    <t>PA-52</t>
  </si>
  <si>
    <t xml:space="preserve">Porcentaje de quejas disciplinarias de vigencias anteriores tramitadas </t>
  </si>
  <si>
    <t>MPA1-P3-01</t>
  </si>
  <si>
    <t>Porcentaje de Decisiones confirmadas y recurridas</t>
  </si>
  <si>
    <t>MPA1-P3-02</t>
  </si>
  <si>
    <t>Porcentaje de quejas disciplinarias de la vigencia actual tramitadas .</t>
  </si>
  <si>
    <t>MPA1-P3-03</t>
  </si>
  <si>
    <t>Porcentaje de decisiones de Fondo en los procesos disciplinarios ordinarios..</t>
  </si>
  <si>
    <t>MPA1-P3-04</t>
  </si>
  <si>
    <t>Porcentaje de decisiones de Fondo en los procesos disciplinarios verbales adelantados</t>
  </si>
  <si>
    <t>MPA2</t>
  </si>
  <si>
    <t>Gestión Jurídica</t>
  </si>
  <si>
    <t>Oficina Asesora Jurídica</t>
  </si>
  <si>
    <t>PA-65</t>
  </si>
  <si>
    <t>MPA2-01</t>
  </si>
  <si>
    <t>Porcentaje de oportunidad en el cumplimiento de términos e intervenciones en los Procesos Judiciales.</t>
  </si>
  <si>
    <t>MPA2-02</t>
  </si>
  <si>
    <t>MPA2-03</t>
  </si>
  <si>
    <t>Porcentaje de recomendaciones para la prevención del daño antijurídico con plan de mejora en Isolución.</t>
  </si>
  <si>
    <t>MPA3</t>
  </si>
  <si>
    <t>Gestión Regional</t>
  </si>
  <si>
    <t>Oficina de Gestión Regional</t>
  </si>
  <si>
    <t>PA-66</t>
  </si>
  <si>
    <t>Porcentaje de cumplimiento de diseño e implementación del modelo de acompañamiento.</t>
  </si>
  <si>
    <t>PA-67</t>
  </si>
  <si>
    <t>Porcentaje de regionales priorizadas que mejoraron su gestión.</t>
  </si>
  <si>
    <t>MPA4</t>
  </si>
  <si>
    <t>Gestión Cooperación</t>
  </si>
  <si>
    <t xml:space="preserve">Oficina de Cooperación y Convenios </t>
  </si>
  <si>
    <t>PA-68</t>
  </si>
  <si>
    <t>PA-69</t>
  </si>
  <si>
    <t>PA-70</t>
  </si>
  <si>
    <t>Servicios prestados a través de la estrategia del Derecho a La Felicidad</t>
  </si>
  <si>
    <t>PA-71</t>
  </si>
  <si>
    <t>Recursos obtenidos por cooperación</t>
  </si>
  <si>
    <t>MPA5</t>
  </si>
  <si>
    <t>Gestión Servicio y Atención</t>
  </si>
  <si>
    <t>Dirección de Servicio y Atención</t>
  </si>
  <si>
    <t>PA-72</t>
  </si>
  <si>
    <t>PA-73</t>
  </si>
  <si>
    <t>Porcentaje de Implementación del Modelo de Atención Presencial y Puesta en funcionamiento de la  Línea 106 en las 33 Regionales del ICBF en el país</t>
  </si>
  <si>
    <t>PA-74</t>
  </si>
  <si>
    <t>Porcentaje de quejas, reclamos y sugerencias solucionados oportunamente</t>
  </si>
  <si>
    <t>MPA5-P2-01</t>
  </si>
  <si>
    <t>Porcentaje de oportunidad en la constatación de Denuncias Proceso Administrativo Restablecimiento de Derechos.</t>
  </si>
  <si>
    <t>MPA5-P2-02</t>
  </si>
  <si>
    <t>Porcentaje de oportunidad en la atención de peticiones  de Asuntos Conciliables</t>
  </si>
  <si>
    <t>MPA6</t>
  </si>
  <si>
    <t>Gestión Tecnológica</t>
  </si>
  <si>
    <t xml:space="preserve">Dirección de Información y Tecnología </t>
  </si>
  <si>
    <t>PA-75</t>
  </si>
  <si>
    <t>PA-76</t>
  </si>
  <si>
    <t>Porcentaje de avance en la implementación del plan estratégico de desarrollo informático y tecnológico del ICBF</t>
  </si>
  <si>
    <t>MPA6-01</t>
  </si>
  <si>
    <t xml:space="preserve">Porcentaje de Incidentes de seguridad atendidos oportunamente  </t>
  </si>
  <si>
    <t>MPA6-02</t>
  </si>
  <si>
    <t>Porcentaje de Sistemas de información de Apoyo del ICBF fortalecidos, implementados  con alcance evolutivo y adaptativo</t>
  </si>
  <si>
    <t>MPA6-03</t>
  </si>
  <si>
    <t>Porcentaje de Sistemas de información Misionales del ICBF fortalecidos, implementados  con alcance evolutivo y adaptativo</t>
  </si>
  <si>
    <t>MPA6-04</t>
  </si>
  <si>
    <t>Porcentaje de uso de los sistemas de información en el ICBF</t>
  </si>
  <si>
    <t>MPA7</t>
  </si>
  <si>
    <t>Gestión Comunicaciones</t>
  </si>
  <si>
    <t>Oficina Asesora de Comunicaciones</t>
  </si>
  <si>
    <t>PA-77</t>
  </si>
  <si>
    <t>PA-78</t>
  </si>
  <si>
    <t>PA-79</t>
  </si>
  <si>
    <t>MPE1</t>
  </si>
  <si>
    <t>Direccionamiento Estratégico</t>
  </si>
  <si>
    <t>Subdirección de Programación</t>
  </si>
  <si>
    <t>PA-80</t>
  </si>
  <si>
    <t xml:space="preserve">Porcentaje de cumplimiento de la meta de compromisos presupuestales concertadas con Presidencia </t>
  </si>
  <si>
    <t>PA-81</t>
  </si>
  <si>
    <t>Porcentaje de cumplimiento de la meta de obligaciones presupuestales concertadas con Presidencia.</t>
  </si>
  <si>
    <t>PA-82</t>
  </si>
  <si>
    <t>Porcentaje de Integración del modelo de costos del ICBF dentro de las Metas Sociales y Financieras</t>
  </si>
  <si>
    <t>PA-83</t>
  </si>
  <si>
    <t>PA-84</t>
  </si>
  <si>
    <t>Porcentaje de reducción de solicitudes de traslados presupuestales aprobadas y en resolución</t>
  </si>
  <si>
    <t>PA-85</t>
  </si>
  <si>
    <t>Porcentaje de Avance en el Desarrollo del modelo de Distribución de Recursos</t>
  </si>
  <si>
    <t>MPE2</t>
  </si>
  <si>
    <t>Mejoramiento Continuo</t>
  </si>
  <si>
    <t>Subdirección de Mejoramiento Organizacional</t>
  </si>
  <si>
    <t>PA-86</t>
  </si>
  <si>
    <t>PA-87</t>
  </si>
  <si>
    <t>PA-88</t>
  </si>
  <si>
    <t>Porcentaje de avance en la implementación del Plan para postulación al Premio Colombiano a la Calidad de la Gestión</t>
  </si>
  <si>
    <t>PA-89</t>
  </si>
  <si>
    <t>Numero de trámites y/o procedimientos administrativos  racionalizados y actualizados en el portal SUIT</t>
  </si>
  <si>
    <t>MPE2-01</t>
  </si>
  <si>
    <t>MPE2-02</t>
  </si>
  <si>
    <t>MPE2-03</t>
  </si>
  <si>
    <t>Porcentaje de Riesgos mitigados</t>
  </si>
  <si>
    <t>MPE2-04</t>
  </si>
  <si>
    <t>MPE2-05</t>
  </si>
  <si>
    <t>Porcentaje de Acciones preventivas eficaces</t>
  </si>
  <si>
    <t>MPE3</t>
  </si>
  <si>
    <t>Coordinación y Articulación del SNBF</t>
  </si>
  <si>
    <t>Dirección del Sistema Nacional de Bienestar Familiar</t>
  </si>
  <si>
    <t>PA-90</t>
  </si>
  <si>
    <t>Número de Municipios y departamentos asistidos técnicamente en el ciclo de gestión de la Política Pública de primera Infancia, Infancia Adolescencia y fortalecimiento a la Familia</t>
  </si>
  <si>
    <t>PA-91</t>
  </si>
  <si>
    <t>PA-92</t>
  </si>
  <si>
    <t>Número de Municipios y departamentos monitoreados en la operación de los Consejos de Política Social</t>
  </si>
  <si>
    <t>PA-93</t>
  </si>
  <si>
    <t>Porcentaje del Plan de acción del SNBF 2015 -2018  construido, validado (2015), implementado, monitoreado (2016-2017) y evaluado (2018)</t>
  </si>
  <si>
    <t>PA-94</t>
  </si>
  <si>
    <t>PA-95</t>
  </si>
  <si>
    <t>Número de proyectos tipo de inversión formulados y socializados con las entidades territoriales con el fin de acceder a recursos del Sistema de Regalias.</t>
  </si>
  <si>
    <t>MPEV1</t>
  </si>
  <si>
    <t>Evaluación, Monitoreo y Control de la Gestión</t>
  </si>
  <si>
    <t xml:space="preserve">Subdirección de Monitoreo y Evaluación </t>
  </si>
  <si>
    <t>PA-96</t>
  </si>
  <si>
    <t>Número de Evaluaciones e investigaciones realizadas</t>
  </si>
  <si>
    <t>PA-97</t>
  </si>
  <si>
    <t xml:space="preserve">Porcentaje de avance del diseño e implementación de la sistematización del tablero de control </t>
  </si>
  <si>
    <t>PA-98</t>
  </si>
  <si>
    <t>Porcentaje de cumplimiento de compromisos formulados en las mesas publicas y rendición de cuentas</t>
  </si>
  <si>
    <t>MPEV1-P1-01</t>
  </si>
  <si>
    <t>Porcentaje de avance de las etapas para la realización de evaluaciones e investigaciones a los programas del ICBF</t>
  </si>
  <si>
    <t>MPEV1-P1-02</t>
  </si>
  <si>
    <t>Porcentaje de avance de Informes realizados sobre la monitoreo institucional a nivel nacional y regional</t>
  </si>
  <si>
    <t>Oficina de Control Interno</t>
  </si>
  <si>
    <t>PA-99</t>
  </si>
  <si>
    <t xml:space="preserve">Porcentaje de Ejecución de Auditoria del Sistema de Gestión de Calidad a Regionales </t>
  </si>
  <si>
    <t>PA-100</t>
  </si>
  <si>
    <t>Porcentaje de Ejecución de Auditoria del Sistema de Gestión de Calidad a los Macro procesos/procesos de la Sede de la Dirección General.</t>
  </si>
  <si>
    <t>PA-101</t>
  </si>
  <si>
    <t>PA-102</t>
  </si>
  <si>
    <t>MPEV2</t>
  </si>
  <si>
    <t>Aseguramiento de la Calidad de los Servicios Misionales del ICBF</t>
  </si>
  <si>
    <t>Oficina de Aseguramiento a la calidad</t>
  </si>
  <si>
    <t>PA-103</t>
  </si>
  <si>
    <t>Número de  Visitas de Inspección, Vigilancia y Control realizadas a instituciones prestadoras del Servicio Público  de Bienestar Familiar</t>
  </si>
  <si>
    <t>PA-104</t>
  </si>
  <si>
    <t>PA-105</t>
  </si>
  <si>
    <t>PA-106</t>
  </si>
  <si>
    <t>3. Fortalecer en las familias y comunidades étnicas capacidades que promuevan su desarrollo, fortalezcan sus vínculos de cuidado mutuo y prevengan la violencia intrafamiliar y de género.</t>
  </si>
  <si>
    <t>Apoyo formativo a la familia para ser garante  de derechos a nivel nacional</t>
  </si>
  <si>
    <t>E-12</t>
  </si>
  <si>
    <t>Familias beneficiadas por el programa "Familias con bienestar"</t>
  </si>
  <si>
    <t xml:space="preserve">El primer corte evaluativo presentará avances en la realización del diagnóstico, de las estrategias y acciones de intervención que en el ámbito famililar desarrollan las diferentes areas misionales. 
El segundo corte evaluativo presentará el documento diagnóstico y el avance sobre los contextos de intervención según las particularidades territoriales y de enfoque diferencial mas el avance de la conformación de una mesa de trabajo intermisional para conciliar el plan de implementación.
El tercer corte evaluativo presentará el documento de los contextos de intervención y el avance en el estudio de factibilidad y del plan de implementación. 
El cuarto corte evaluativo presentará el plan de implementación para la vigencia 2016 - 2018 conciliado en la mesa de trabajo. </t>
  </si>
  <si>
    <t>La medición del indicador se realizará trimestralmente durante la vigencia 2015</t>
  </si>
  <si>
    <t>Diseñar: Hace referencia a la construcción del  manual operativo,  instrumento de recolección de información y  formatos para la caracterización de las familias, los cuales  orientan el desarrollo de la modalidad en los territorios
Focalizar: Hace referencia a la Identificación de las familias y comunidades donde se implementará la forma innovadora de intervención
Implementar: Hace referencia a la ejecución de la modalidad generando las acciones de atención familiar y comunitaria</t>
  </si>
  <si>
    <t>4. Promover la seguridad alimentaria y nutricional en el desarrollo de la primera infancia, los NNA y la familia.</t>
  </si>
  <si>
    <t>Desarrollar acciones de promoción y prevención en el marco de la política de seguridad alimentaria y nutricional en el territorio nacional</t>
  </si>
  <si>
    <t>Informe comité de planeación de la Dirección de Primera infancia</t>
  </si>
  <si>
    <r>
      <rPr>
        <b/>
        <sz val="8"/>
        <rFont val="Calibri Light"/>
        <family val="2"/>
        <scheme val="major"/>
      </rPr>
      <t>Para el calculo del Numerador se debe:</t>
    </r>
    <r>
      <rPr>
        <sz val="8"/>
        <rFont val="Calibri Light"/>
        <family val="2"/>
        <scheme val="major"/>
      </rPr>
      <t xml:space="preserve">
 1. Con el reporte en formato Excel generado por el Sistema de Información  CUÉNTAME de la Regional y/o Centro zonal que corresponda, y las modalidades de atención de Primera Infancia realice los siguientes pasos: 
a) Genere la opción de filtro a través de la barra de herramientas en la pestaña "Datos" de excel.
b) Seleccione en la columna "NombreServicio" las siguientes opciones: CDI Institucional con arrIendo, CDI Institucional sin arrIendo, CDI Modalidad Familiar, HCB Tradicionales Familiares, HCB Agrupados, Hogares  Infantiles, Hogar Empresarial, Hogares Múltiples y Jardines Sociales.
c) Dirijase a las columnas nombradas como flag y filtre para asegurar que solo se revisarán los datos con flag "0".
d) En la columna "GrupoEdad", seleccione únicamente el Grupo 2 (corresponde a los beneficiarios entre 2 años y 4 años 11 meses).
e) Posteriomente, en la columna denominada "EstadoPesoTalla/Inicial", filtre los datos que presentan Desnutrición Aguda y Desnutrición Aguda Severa (tomar el dato y registrarlo, este será el denominador).
f) Manteniendo los filtros anteriormente mencionados dirijirse a la columna "EstadoPesoTallaFinal"  y  filtre las opciones  "Riesgo de peso bajo para la talla y Peso adecuado para la talla"  (tomar el dato y registrarlo, este será el numerador).
</t>
    </r>
    <r>
      <rPr>
        <b/>
        <sz val="8"/>
        <rFont val="Calibri Light"/>
        <family val="2"/>
        <scheme val="major"/>
      </rPr>
      <t>Para el calculo del Denominador se debe:</t>
    </r>
    <r>
      <rPr>
        <sz val="8"/>
        <rFont val="Calibri Light"/>
        <family val="2"/>
        <scheme val="major"/>
      </rPr>
      <t xml:space="preserve">
1. Con el reporte en formato Excel generado por el Sistema de Información  CUÉNTAME de la Regional y/o Centro zonal que corresponda, y las modalidades de atención de Primera Infancia realice los siguientes pasos: 
a) Genere la opción de filtro a través de la barra de herramientas en la pestaña "Datos" de excel.
b) Seleccione en la columna "NombreServicio" las siguientes opciones: CDI Institucional con arrIendo, CDI Institucional sin arrIendo, CDI Modalidad Familiar, HCB Tradicionales Familiares, HCB Agrupados, Hogares  Infantiles, Hogar Empresarial, Hogares Múltiples y Jardines Sociales.
c) Dirijase a las columnas nombradas como flag y filtre para asegurar que solo se revisarán los datos con flag "0".
d) En la columna "GrupoEdad", seleccione únicamente el Grupo 2 (corresponde a los beneficiarios entre 2 años y 4 años 11 meses).
e) Posteriomente, en la columna denominada "EstadoPesoTallaFinal", filtre los datos que presentan Desnutrición Aguda y Desnutrición Aguda Severa (tomar el dato y registrarlo, este será el denominador).</t>
    </r>
  </si>
  <si>
    <t xml:space="preserve">•  Indicador Antropométrico: son combinaciones de las mediciones antropométricas y son la forma más fácil de interpretarlas. Los indicadores comúnmente usados para la evaluación del Estado Nutricional del niño o niña, con fines de monitoreo, vigilancia o definición y evaluación de intervenciones son el peso para la edad, talla para la edad y el peso para la talla; mientras que en los adultos tiene más relevancia el índice de Masa Corporal y la talla para la edad.
• Peso para la Talla – P/T: Indicador que refleja el peso corporal en relación con la talla, es importante señalar que el P/T no es un sustituto de la Talla para la edad o del Peso para la Edad, ya que cada índice refleja una combinación diferente de procesos biológicos; si bien, tal vez compartan factores determinantes comunes, no se pueden usar de forma intercambiable.
• Desnutrición Aguda: Refleja el déficit en el peso con relación a la talla (P/T) sin tener en cuenta la edad. Se dice que hay peso bajo para la talla cuando el indicador P/T se encuentra por debajo de -2 desviaciones estándar.
• Recuperación nutricional: Para este ejercicio corresponde al mejoramiento en el estado nutricional de los niños y niñas que presentaron desnutrición aguda en el primer trimestre y que al finalizar el año  pasaron  a riesgo de bajo peso para la talla (entre -1 y -2 D.E.) o  a peso adecuado para la talla (entre -1 y +2D.E.). No se tienen en cuenta los niños y niñas que pasan a obesidad debido a que se considera desmejoramiento nutricional.Especificar los conceptos o términos que en indicador puedan ser confusos. </t>
  </si>
  <si>
    <t>E-21</t>
  </si>
  <si>
    <t xml:space="preserve">Evaluar  el efecto de los programas  de HI - HCB - CDI Institucional en los niños y niñas  en términos de su estado nutricional     </t>
  </si>
  <si>
    <t>Si</t>
  </si>
  <si>
    <t>Porcentaje</t>
  </si>
  <si>
    <t>Creciente</t>
  </si>
  <si>
    <t>Impacto</t>
  </si>
  <si>
    <t/>
  </si>
  <si>
    <t>LP1</t>
  </si>
  <si>
    <t>Gestión misional y de gobierno</t>
  </si>
  <si>
    <t>LP1-C1</t>
  </si>
  <si>
    <t>Indicadores y metas de gobierno</t>
  </si>
  <si>
    <t>C-320-1504-13</t>
  </si>
  <si>
    <t>No. niños y niñas entre dos y cinco años reportados al SSN que pasaron a Riesgo o Peso Adecuado para la Talla en HI - HCB - CDI (excluyendo FAMI, RN, RNEC) / Total de niños y niñas  entre dos y cinco años de los HI - HCB - CDI (excluyendo FAMI, RN, RNEC) reportados al Sistema de Seguimiento Nutricional con Desnutrición Aguda en el primer trimestre</t>
  </si>
  <si>
    <t>No. niños y niñas entre dos y cinco años reportados al SSN que pasaron a Riesgo o Peso Adecuado para la Talla en HI - HCB - CDI (excluyendo FAMI, RN, RNEC)</t>
  </si>
  <si>
    <t>Total de niños y niñas  entre dos y cinco años de los HI - HCB - CDI (excluyendo FAMI, RN, RNEC) reportados al Sistema de Seguimiento Nutricional con Desnutrición Aguda en el primer trimestre</t>
  </si>
  <si>
    <t>Sistema de Información Misional CUENTAME</t>
  </si>
  <si>
    <t>Número de Familias atendidas mediante formas innovadoras de intervención</t>
  </si>
  <si>
    <t>Medir el avance de las acciones planteadas para el diseño, focalización e implementación de formas innovadoras de intervención comunitaria.</t>
  </si>
  <si>
    <t>N/A</t>
  </si>
  <si>
    <t>Bimestral</t>
  </si>
  <si>
    <t>Número</t>
  </si>
  <si>
    <t>Gestión misional y de Gobierno</t>
  </si>
  <si>
    <t>C-320-1504-6</t>
  </si>
  <si>
    <t>Número de familias atendidas por la modalidad / Número total de familias programadas para la atención en la modalidad</t>
  </si>
  <si>
    <t>Apoyar la consolidación de la oferta institucional del ICBF orientada a fortalecer las capacidades de las familias y las comunidades colombianas para ser agentes de su propio desarrollo a partir de la unificación del enfoque conceptual en un plan de implementación 2016-2018</t>
  </si>
  <si>
    <t>Producto</t>
  </si>
  <si>
    <t>Calidad</t>
  </si>
  <si>
    <t>Actividades cumplidas para la generación del plan de implementación de un modelo de enfoque conceptual de inclusión y atención a las familias con las áreas misionales / Actividades propuestas a desarrollar en la generación del plan de implementación de un modelo de enfoque conceptual de inclusión y atención a las familias con las áreas misionales</t>
  </si>
  <si>
    <t>Número de Familias de grupos étnicos atendidas por la modalidad "Territorios Étnicos con Bienestar".</t>
  </si>
  <si>
    <t>Número de familias atendidas de la modalidad Territorios Étnicos con Bienestar / Número de familias programadas para ser atendidas por la modalidad Territorios Étnicos con Bienestar</t>
  </si>
  <si>
    <t>Número de familias atendidas de la modalidad Territorios Étnicos con Bienestar</t>
  </si>
  <si>
    <t>Número de familias programadas para ser atendidas por la modalidad Territorios Étnicos con Bienestar</t>
  </si>
  <si>
    <t>SIM - Ejecución de Metas sociales y financieras de la modalidad Territorios etnicos con Bienestar usando como insumo el Formato F1 LM5 MPM3</t>
  </si>
  <si>
    <t>SIM - Programación de Metas sociales y financieras de la modalidad Territorios etnicos con Bienestar usando como insumo los proyectos aprobados</t>
  </si>
  <si>
    <t>Número de Familias atendidas por  la modalidad "Familias con bienestar"</t>
  </si>
  <si>
    <t>Medir los  casos en los cuales habiendo identificado vulneración, amenaza o inobservancia de derechos de los NNA a través de los diagnósticos  de derechos, se han realizado desde el Programa gestiones con las entidades del Sistema Nacional de Bienestar Familiar para activar rutas de restablecimiento de derechos</t>
  </si>
  <si>
    <t>SIM - Ejecución de Metas sociales y financieras de la modalidad Familias con Bienestar, usando como insumo el formato "F2 MPM3 Seguimiento de Atención a Familias v4"</t>
  </si>
  <si>
    <t>SIM - Programación de Metas sociales y financieras de la modalidad Familias con Bienestar</t>
  </si>
  <si>
    <t xml:space="preserve">Porcentaje </t>
  </si>
  <si>
    <t>Gestión</t>
  </si>
  <si>
    <t xml:space="preserve">Eficiencia </t>
  </si>
  <si>
    <t>C-320-1504-4</t>
  </si>
  <si>
    <t xml:space="preserve">Numero de casos de derechos  vulnerados, inobservados o amenazados identificados mediante diagnostico de derechos </t>
  </si>
  <si>
    <t>Herramienta de seguimiento a la gestion para la garantia de derechos contemplada bajo el Lineamiento Tecnico del Programa "Generaciones con Bienestar"</t>
  </si>
  <si>
    <t>Diagnóstico de Derechos del Programa Generaciones con Bienestar</t>
  </si>
  <si>
    <t>Respuesta efectivas a las  gestiones  realizadas por el operador para la activación de la ruta de restablecimiento derechos. / Números de casos en los cuales se ha realizado gestión para la activación de ruta de restablecimiento de derechos por parte de operador</t>
  </si>
  <si>
    <t>Respuesta efectivas a las  gestiones  realizadas por el operador para la activación de la ruta de restablecimiento derechos.</t>
  </si>
  <si>
    <t>Números de casos en los cuales se ha realizado gestión para la activación de ruta de restablecimiento de derechos por parte de operador</t>
  </si>
  <si>
    <t>Herramienta de seguimiento en Excel diligenciada mensualmente por el enlace regional del Programa Generaciones con Bienestar.</t>
  </si>
  <si>
    <t xml:space="preserve">Medir el número de horas de encuentros vivenciales que realizan los operadores del Programa de Promoción y Prevención para la Protección Integral de niños, niñas y adolescentes "Generaciones con Bienestar", en las modalidades GCB Tradicional y  GCB Rural y  GCB Étnicos. </t>
  </si>
  <si>
    <t xml:space="preserve">Producto </t>
  </si>
  <si>
    <t xml:space="preserve">  Número de horas de encuentros vivenciales realizados por el Programa de Promoción y Prevención para la Protección Integral de los niños, niñas y adolescentes "Generaciones con Bienestar". /   Número de horas de encuentros vivenciales programadas  por el Programa de Promoción y Prevención para la Protección Integral de los niños, niñas y adolescentes "Generaciones con Bienestar".</t>
  </si>
  <si>
    <t xml:space="preserve">  Número de horas de encuentros vivenciales realizados por el Programa de Promoción y Prevención para la Protección Integral de los niños, niñas y adolescentes "Generaciones con Bienestar".</t>
  </si>
  <si>
    <t xml:space="preserve">  Número de horas de encuentros vivenciales programadas  por el Programa de Promoción y Prevención para la Protección Integral de los niños, niñas y adolescentes "Generaciones con Bienestar".</t>
  </si>
  <si>
    <t>Lineamiento Tecnico Programa "Generaciones con Bienestar" según metas SIM</t>
  </si>
  <si>
    <t>Identificar la participación de los Niños, Niñas y Adolescentes  entre los 6 y 17 los años,  identificados  como  victimas,  en programas y estrategias de prevención y promoción de derechos</t>
  </si>
  <si>
    <t>Ejecución de Metas sociales y financieras Sistema de Información Misional SIM
Reportes de la Dirección de Niñez y Adolescencia</t>
  </si>
  <si>
    <t>Metas sociales y financieras Sistema de Información Misional SIM</t>
  </si>
  <si>
    <t xml:space="preserve">Promover y consolidar escenarios de construcción colectiva para garantizar la participación significativa de Niños Niñas y Adolescentes en los territorios </t>
  </si>
  <si>
    <t xml:space="preserve">Número </t>
  </si>
  <si>
    <t xml:space="preserve">Gestión </t>
  </si>
  <si>
    <t>C-320-1504-11</t>
  </si>
  <si>
    <t>Número de ejercicios de promoción de la participación significativa de niños, niñas y adolescentes  en políticas, programas, proyectos y estrategias desarrollados en los territorios. /  Número de ejercicios de promoción de la participación significativa de niños, niñas y adolescentes  en políticas, programas, proyectos y estrategias programados.</t>
  </si>
  <si>
    <t xml:space="preserve"> Número de ejercicios de promoción de la participación significativa de niños, niñas y adolescentes  en políticas, programas, proyectos y estrategias programados.</t>
  </si>
  <si>
    <t>Herramienta de seguimiento en Excel de los ejercicios de participación.</t>
  </si>
  <si>
    <t>Documento Técnico conceptual y metodologico para el desarrollo de los ejercicios de control social a lo programas, proyectos y estrategias de la Dirección de Niñez y Adolescencia</t>
  </si>
  <si>
    <t>Número de  agentes educativos institucionales y comunitarios de Programas del ICBF formados en derechos sexuales y reproductivos y prevención del embarazo adolescente en el periodo de medición</t>
  </si>
  <si>
    <t xml:space="preserve">Base de datos de personas capacitadas en las Regionales de manera presencial, más la base de datos que suministre la Escuela Virtual de personas formadas de manera virtual.   </t>
  </si>
  <si>
    <t xml:space="preserve">Mide el número de municipios que implementan la estrategia de Embarazo en Adolescencia de acuerdo con los lineamientos establecidos por el ICBF </t>
  </si>
  <si>
    <t xml:space="preserve">Número de municipios   programados para  la implementación de la  estrategia de Prevención de Embarazo en Adolescentes </t>
  </si>
  <si>
    <t>Consolidado de los informes trimestrales de los gestores de prevención de embarazo en la adolescencia, sobre el nivel de avance de la implementación de la estrategia</t>
  </si>
  <si>
    <t>Matriz de territorialización de la estrategia de Prevención de Embarazo en Adolescentes</t>
  </si>
  <si>
    <t xml:space="preserve">Mide el numero de departamentos  que implementan la estrategia de Embarazo en Adolescencia de acuerdo con los lineamientos establecidos por el ICBF </t>
  </si>
  <si>
    <t xml:space="preserve">Numero de  departamentos  con la implementación de la estrategia de Prevención de Embarazo en Adolescentes  / Número de departamentos programados para  la implementación de la  estrategia de Prevención de Embarazo en Adolescentes </t>
  </si>
  <si>
    <t xml:space="preserve">Numero de  departamentos  con la implementación de la estrategia de Prevención de Embarazo en Adolescentes </t>
  </si>
  <si>
    <t xml:space="preserve">Número de departamentos programados para  la implementación de la  estrategia de Prevención de Embarazo en Adolescentes </t>
  </si>
  <si>
    <t xml:space="preserve">Consolidado de los informes trimestrales de los gestores de prevención de embarazo en la adolescencia, sobre el nivel de avance de la implementación de la estrategia </t>
  </si>
  <si>
    <t>Valorar los alcances en el diseño y la implementación de una política pública nacional para niños, niñas y adolescentes entre los 6 y los 17 años, en el marco de la protección y el desarrollo integral de los mismos..</t>
  </si>
  <si>
    <t>Número de actividades realizadas durante la vigencia / Número de actividades programadas durante la vigencia</t>
  </si>
  <si>
    <t>Número de actividades realizadas durante la vigencia</t>
  </si>
  <si>
    <t>Número de actividades programadas durante la vigencia</t>
  </si>
  <si>
    <t>Informe trimestral Generado por la Dirección de Niñez y Adolescencia frente al avance de las actividades.</t>
  </si>
  <si>
    <t>Valorar los alcances en el diseño y la implementación de una ruta integral de atenciones para niños, niñas y adolescentes entre los 6 y los 17 años, en el marco de la protección y el desarrollo integral de los mismos.</t>
  </si>
  <si>
    <t>Dar cuenta de los niños y niñas víctimas de conflicto armado atendidos en las diferentes modalidades de atención a la primera infancia.</t>
  </si>
  <si>
    <t>Numero de niños y niñas menores de cinco años víctimas del conflicto armado beneficiados con las modalidades de atención a la Primera Infancia. / Meta de Victimas en Primera Infancia</t>
  </si>
  <si>
    <t>Numero de niños y niñas menores de cinco años víctimas del conflicto armado beneficiados con las modalidades de atención a la Primera Infancia.</t>
  </si>
  <si>
    <t>Meta de Victimas en Primera Infancia</t>
  </si>
  <si>
    <t xml:space="preserve">Sistema de Información de Primera Infancia y
 Base de datos de la Red Unidos. </t>
  </si>
  <si>
    <t>Conocer el número de niños y niños de la RED UNIDOS que son atendidos de acuerdo a su edad en las distintas modalidades de atención a primera infancia según criterios ANSPE</t>
  </si>
  <si>
    <t>Número de niños y niñas de la Red Unidos en las atendidos modalidades de atención integral a la primera infancia de acuerdo a los criterios de la ANSPE / Meta institucional de Red Unidos</t>
  </si>
  <si>
    <t>Número de niños y niñas de la Red Unidos en las atendidos modalidades de atención integral a la primera infancia de acuerdo a los criterios de la ANSPE</t>
  </si>
  <si>
    <t>Meta institucional de Red Unidos</t>
  </si>
  <si>
    <t>Meta Unidos para Primera Infancia</t>
  </si>
  <si>
    <t>Conocer el numero de niños y niñas en primera infancia cuyos padres o cuidadores participan en procesos de formación.</t>
  </si>
  <si>
    <t>Numero de niños y niñas en modalidades integrales de educación inicial y cuidado integrales en familias que participan en procesos de formación. / Meta Programada en SIM de modalidades en Atención Integral</t>
  </si>
  <si>
    <t>Numero de niños y niñas en modalidades integrales de educación inicial y cuidado integrales en familias que participan en procesos de formación.</t>
  </si>
  <si>
    <t>Meta Programada en SIM de modalidades en Atención Integral</t>
  </si>
  <si>
    <t>Sistema de Información de primera infancia</t>
  </si>
  <si>
    <t>Numero de niños y niñas beneficiados con complementos entregados por el Programa -DIA / Numero de niños y niñas programados a atender en metas sociales y financieras para el Programa -DIA</t>
  </si>
  <si>
    <t>Numero de niños y niñas beneficiados con complementos entregados por el Programa -DIA</t>
  </si>
  <si>
    <t>Numero de niños y niñas programados a atender en metas sociales y financieras para el Programa -DIA</t>
  </si>
  <si>
    <t>Consolidado Metas sociales y financieras.</t>
  </si>
  <si>
    <t>Consolidado metas sociales y financieras (programación vigente)</t>
  </si>
  <si>
    <t>Cumplimiento en la promoción de la garantía de los derechos de los niños y niñas a través de la gestión del Registro Civil, consulta de crecimiento y desarrollo y esquema de vacunación completo en las modalidades de atención a la Primera Infancia</t>
  </si>
  <si>
    <t>Número de niños y niñas que durante la atención obtienen el registro civil de nacimiento, la consulta de crecimiento y desarrollo y el esquema de vacunación completo. / Número de niños y niñas que en la primera toma no contaban con alguna de las realizaciones: registro civil de nacimiento, consulta de crecimiento y desarrollo y esquema de vacunación completo.</t>
  </si>
  <si>
    <t>Número de niños y niñas que durante la atención obtienen el registro civil de nacimiento, la consulta de crecimiento y desarrollo y el esquema de vacunación completo.</t>
  </si>
  <si>
    <t>Número de niños y niñas que en la primera toma no contaban con alguna de las realizaciones: registro civil de nacimiento, consulta de crecimiento y desarrollo y esquema de vacunación completo.</t>
  </si>
  <si>
    <t>Sistema de Información de Primera Infancia</t>
  </si>
  <si>
    <t>Conocer el numero de niños y niñas en primera infancia que cuentan con esquema de vacunación completo</t>
  </si>
  <si>
    <t>Numero de niños y niñas atendidos en las modalidades de Atención Integral a la Primera Infancia que cuentan con esquema de vacunación completo / Meta Programada en SIM de modalidades en Atención Integral</t>
  </si>
  <si>
    <t>Numero de niños y niñas atendidos en las modalidades de Atención Integral a la Primera Infancia que cuentan con esquema de vacunación completo</t>
  </si>
  <si>
    <t>Consolidado de Metas Sociales y Financieras (Programación Vigente)</t>
  </si>
  <si>
    <t>Conocer el numero de niños y niñas en primera infancia que cuentan con Registro Civil de Nacimiento</t>
  </si>
  <si>
    <t>Numero de niños y niñas atendidos en las modalidades de Atención Integral a la Primera Infancia que cuentan con Registro Civil de Nacimiento. / Meta Programada en SIM de modalidades en Atención Integral</t>
  </si>
  <si>
    <t>Numero de niños y niñas atendidos en las modalidades de Atención Integral a la Primera Infancia que cuentan con Registro Civil de Nacimiento.</t>
  </si>
  <si>
    <t>Cantidad de niños y niñas en primera infancia que registran valoración de su estado nutricional y seguimiento del mismo.</t>
  </si>
  <si>
    <t>Número de niños y niñas que registran valoración y seguimiento de su estado nutricional.</t>
  </si>
  <si>
    <t xml:space="preserve">Sistema de Información de Primera Infancia </t>
  </si>
  <si>
    <t>Conocer el número de niños y niñas son atendidos en Hogares Comunitarios de Bienestar Tradicionales.</t>
  </si>
  <si>
    <t>Número de niños y niñas atendidos en las modalidades Hogares Comunitarios Familiares, FAMI, Grupal y otras formas de atención tradicionales / Meta Programada en SIM de modalidades Hogares Comunitarios Familiares, FAMI, Grupal y otras formas de atención tradicionales</t>
  </si>
  <si>
    <t>Número de niños y niñas atendidos en las modalidades Hogares Comunitarios Familiares, FAMI, Grupal y otras formas de atención tradicionales</t>
  </si>
  <si>
    <t>Meta Programada en SIM de modalidades Hogares Comunitarios Familiares, FAMI, Grupal y otras formas de atención tradicionales</t>
  </si>
  <si>
    <t>Consolidado Metas Sociales y Financieras</t>
  </si>
  <si>
    <t>Medir el número de visitas realizadas en el proceso de supervisión a las modalidades de Primera Infancia.</t>
  </si>
  <si>
    <t>Número de visitas realizadas en la implementación del proceso de supervisión a las modalidades de Primera Infancia. / Meta programada de visitas de supervisión</t>
  </si>
  <si>
    <t>Número de visitas realizadas en la implementación del proceso de supervisión a las modalidades de Primera Infancia.</t>
  </si>
  <si>
    <t>Meta programada de visitas de supervisión</t>
  </si>
  <si>
    <t>Reporte generado por el equipo de Supervisión.</t>
  </si>
  <si>
    <t>Total de municipios y departamentos focalizados en la vigencia para recibir las orientaciones técnicas en la apropiación e implementación de la ruta integral de atenciones.</t>
  </si>
  <si>
    <t>Reporte del proceso de acompañamiento</t>
  </si>
  <si>
    <t>Sistema de información de primera infancia CUENTAME</t>
  </si>
  <si>
    <t>Meta programada estrategia fiesta de la lectura</t>
  </si>
  <si>
    <t>Conocer el número nuevas infraestructuras de CDIs que serán entregados en la vigencias para operación de la modalidades de Atención Integral a la Primera Infancia.</t>
  </si>
  <si>
    <t>Sumatoria de nuevas infraestructuras CDIs entregadas en la vigencia / Meta programada de CDIs entregados para operación</t>
  </si>
  <si>
    <t>Sumatoria de nuevas infraestructuras CDIs entregadas en la vigencia</t>
  </si>
  <si>
    <t>Meta programada de CDIs entregados para operación</t>
  </si>
  <si>
    <t>Meta de formación y cualificación de AE</t>
  </si>
  <si>
    <t>Conocer la proporción de Hogares Comunitarios que transitan a la atención integral en la primera infancia</t>
  </si>
  <si>
    <t>Número de Hogares Comunitarios que cumplen los estándares de Atención Integral</t>
  </si>
  <si>
    <t xml:space="preserve"> Conocer la proporción de niños y niñas reportados por el ICBF al Ministerio de Educación para ser incluidos en el proceso de matricula e ingresar al Sistema Educativo.</t>
  </si>
  <si>
    <t>Número de niños y niñas de las modalidades de Primera Infancia, reportados al Ministerio de Educación para matricular al sistema educativo. / Número de niños y niñas que al 31 de marzo de 2016 cumplan mas de 5 años</t>
  </si>
  <si>
    <t>Número de niños y niñas de las modalidades de Primera Infancia, reportados al Ministerio de Educación para matricular al sistema educativo.</t>
  </si>
  <si>
    <t>Número de niños y niñas que al 31 de marzo de 2016 cumplan mas de 5 años</t>
  </si>
  <si>
    <t>Reportes del ICBF a las Secretarias de Educación en las Instancias de Concertación a nivel Regional</t>
  </si>
  <si>
    <t>Sistema de Información de Primera Infancia - CUENTAME</t>
  </si>
  <si>
    <t>Conocer la proporción de niños y niñas que transitan y reciben servicios de educación inicial, cuidado y nutrición en el marco de la Atención Integral a la Primera Infancia.</t>
  </si>
  <si>
    <t>Consolidado de Metas Sociales y Financieras</t>
  </si>
  <si>
    <t>Conocer el número de niños y niñas que reciben servicios de educación inicial, cuidado y nutrición en el marco de la Atención Integral a la Primera Infancia.</t>
  </si>
  <si>
    <t>Número de niños, niñas y gestantes atendidos en las modalidades de Atención Integral a la Primera Infancia. / Meta Programada en SIM de modalidades en Atención Integral</t>
  </si>
  <si>
    <t>Número de niños, niñas y gestantes atendidos en las modalidades de Atención Integral a la Primera Infancia.</t>
  </si>
  <si>
    <r>
      <rPr>
        <b/>
        <sz val="8"/>
        <rFont val="Calibri Light"/>
        <family val="2"/>
        <scheme val="major"/>
      </rPr>
      <t xml:space="preserve">Para el calculo del Numerador se debe: </t>
    </r>
    <r>
      <rPr>
        <sz val="8"/>
        <rFont val="Calibri Light"/>
        <family val="2"/>
        <scheme val="major"/>
      </rPr>
      <t xml:space="preserve">
1. Con el reporte en formato excel generado por el sistema CUENTAME de la modalidad de Recuperación Nutricional con Enfoque Comunitario  -  RNEC y sus diferentes variables procesadas, realice los siguientes pasos:  
a) Genere la opción de filtro a través de la barra de herramientas en la pestaña "Datos" de excel.
b) Dirijase a las columnas nombradas como flag y filtre para asegurar que solo se revisarán los datos con flag "0".
c) Para el proceso de análisis se debe considerar únicamente los niños y niñas que hayan completado los seis (6) meses de atención, a través de 6 registros de peso y talla. 
d)  Posteriomente, filtrar las columnas de clasificación nutricional Peso para la talla Inicial y peso para la edad inicial ( WHZ1 y WAZ1 de acuerdo al grupo de edad: P/T mayor de 2 años y P/E menor de 2 años), filtrar los datos que presentan riesgo de desnutrición aguda, desnutrición  aguda, desnutrición aguda severa, desnutrición global y desnutrición global severa (tomar el dato y registrarlo, este será el denominador).
e) Manteniendo los filtros anteriormente mencionados dirijirse a la columna clasificación nutricional Peso para la talla final y peso para la edad final ( WHZ6 y WAZ6 de acuerdo al grupo de edad: P/T mayor de 2 años y P/E menor de 2 años), para los niños y niñas que ingresaron con desnutrición  aguda, desnutrición aguda severa, desnutrición global y desnutrición global severa filtrar por las opciones  "Riesgo de desnutrición y Peso adecuado"  (tomar el dato y registrarlo, este será la primera parte del numerador).
f)  Para los niños y niñas que ingresaron con riesgo de desnutrición  aguda, filtrar por la opción "Peso adecuado para la talla"  (tomar el dato y registrarlo, este será la segunda  parte del numerador).
g) Sumar los datos obtenidos en el punto e y f, este será el valor total del numerador.
</t>
    </r>
    <r>
      <rPr>
        <b/>
        <sz val="8"/>
        <rFont val="Calibri Light"/>
        <family val="2"/>
        <scheme val="major"/>
      </rPr>
      <t xml:space="preserve">Para el calculo del Denominador se debe: </t>
    </r>
    <r>
      <rPr>
        <sz val="8"/>
        <rFont val="Calibri Light"/>
        <family val="2"/>
        <scheme val="major"/>
      </rPr>
      <t xml:space="preserve">
1. Con el reporte en formato excel generado por el sistema CUENTAME de la modalidad de Recuperación Nutricional con Enfoque Comunitario  -  RNEC y sus diferentes variables procesadas, realice los siguientes pasos:  
a) Genere la opción de filtro a través de la barra de herramientas en la pestaña "Datos" de excel.
b) Dirijase a las columnas nombradas como flag y filtre para asegurar que solo se revisarán los datos con flag "0".
c) Para el proceso de análisis se debe considerar únicamente los niños y niñas que hayan completado los seis (6) meses de atención, a través de 6 registros de peso y talla. 
d)  Posteriomente, filtrar las columnas de clasificación nutricional Peso para la talla Inicial y peso para la edad inicial ( WHZ1 y WAZ1 de acuerdo al grupo de edad: P/T mayor de 2 años y P/E menor de 2 años), filtrar los datos que presentan riesgo de desnutrición aguda, desnutrición  aguda, desnutrición aguda severa. desnutrición global y desnutrición global severa (tomar el dato y registrarlo, este será el denominador).</t>
    </r>
  </si>
  <si>
    <t>E-23</t>
  </si>
  <si>
    <t xml:space="preserve">•  Indicador Antropométrico: son combinaciones de las mediciones antropométricas y son la forma más fácil de interpretarlas. Los indicadores comúnmente usados para la evaluación del Estado Nutricional del niño o niña, con fines de monitoreo, vigilancia o definición y evaluación de intervenciones son el peso para la edad, talla para la edad y el peso para la talla; mientras que en los adultos tiene más relevancia el índice de Masa Corporal.
• Peso para la Talla – P/T: Indicador que refleja el peso corporal en relación con la talla. El indicador P/T, se debe utilizar tanto a nivel individual como poblacional ya que permite valorar el estado nutricional actual e identificar los efectos de una inadecuada alimentación o presencia de enfermedades infectocontagiosas en corto tiempo. Este indicador permite distinguir las deficiencias actuales de las pasadas.
• Peso para la Edad – P/E: Indicador que refleja la masa corporal en relación con la edad cronológica. Es influido por la talla del niño o niña (T/E) y por su peso (P/E) y por su carácter compuesto resulta compleja la interpretación. Se sugiere utilizar el indicador P/E a nivel individual durante los dos primeros años de vida y a partir de ahí a nivel poblacional.
• Desnutrición Aguda: Refleja el déficit en el peso con relación a la talla (P/T) sin tener en cuenta la edad. Se dice que hay peso bajo para la talla cuando el indicador P/T se encuentra por debajo de -2 desviaciones estándar. 
• Desnutrición Global: Refleja el déficit en el peso con relación a la edad (P/E). Se dice que hay desnutrición cuando el indicador P/E se encuentra por debajo de -2 desviaciones estándar. 
• Recuperación nutricional: Logro de un estado nutricional adecuado de los niños y niñas que presentaron desnutrición aguda y desnutrición global al ingreso y que al finalizar el semestre  pasaron  a peso adecuado para la talla o peso adecuado para la edad (entre -1 y +1 D.E.). No se tienen en cuenta los niños y niñas que pasan a sobrepeso y obesidad debido a que se considera desmejoramiento nutricional.
•Mejoramiento del estado nutricional: Corresponde a los niños que cumpliendo con los criterios de ingreso cambiaron positivamente en la desviación estándar en el indicador peso / talla o peso /edad según corresponda; para efectos de este ejercicio se considerará mejoramento cuando la Desviación Estándar sea igual o mayor a -2 D.E. El mejoramiento del estado nutricional se determinará al cumplir los seis meses de intervencion en la modalidad de Recuperación Nutricional con Enfoque Comunitario. </t>
  </si>
  <si>
    <t>Cantidad</t>
  </si>
  <si>
    <t>X &gt; 100%  del rango de evaluación optimo establecido por mes para las toneladas solicitadas y distribuidas en los plazos establecidos; marca oportunidad en los sitios definidos por el ICBF como puntos primarios de recibo en la entrega del producto. 
90  ≤ X &lt; 95 % del rango de evaluación optimo establecido por mes, es necesario revisar  y crear planes de mejora, sobre las novedades reportadas que afectan el cumplimiento del 100% de la meta fijada para este indicador.
X &lt; 90% del rango de evaluación optimo establecido por mes, se hace necesario replantear inmediatamente la estrategia de solicitud y distribución.</t>
  </si>
  <si>
    <t>* Plazos establecidos: Son periodos de tiempo establecidos en una tabla para entregar el producto a partir de la fecha de solicitud y que tiene en cuenta factores como geograficos y accesos al mismo punto.
* Plantas de producción: son las plantas productoras de bienestarina ubicadas en Cartago (Valle) y Sabanagrande Atlantico</t>
  </si>
  <si>
    <t>•  Indicador Antropométrico: son combinaciones de las mediciones antropométricas y son la forma más fácil de interpretarlas. Los indicadores comúnmente usados para la evaluación del Estado Nutricional del niño o niña, con fines de monitoreo, vigilancia o definición y evaluación de intervenciones son el peso para la edad, talla para la edad y el peso para la talla; mientras que en los adultos tiene más relevancia el índice de Masa Corporal.
• Peso para la Talla – P/T: Indicador que refleja el peso corporal en relación con la talla. El indicador P/T, se debe utilizar tanto a nivel individual como poblacional ya que permite valorar el estado nutricional actual e identificar los efectos de una inadecuada alimentación o presencia de enfermedades infectocontagiosas en corto tiempo. Este indicador permite distinguir las deficiencias actuales de las pasadas.
• Peso para la Edad – P/E: Indicador que refleja la masa corporal en relación con la edad cronológica. Es influido por la talla del niño o niña (T/E) y por su peso (P/E) y por su carácter compuesto resulta compleja la interpretación. Se sugiere utilizar el indicador P/E a nivel individual durante los dos primeros años de vida y a partir de ahí a nivel poblacional.
• Desnutrición Aguda: Refleja el déficit en el peso con relación a la talla (P/T) sin tener en cuenta la edad. Se dice que hay peso bajo para la talla cuando el indicador P/T se encuentra por debajo de -2 desviaciones estándar. 
• Desnutrición Global: Refleja el déficit en el peso con relación a la edad (P/E). Se dice que hay desnutrición cuando el indicador P/E se encuentra por debajo de -2 desviaciones estándar. 
• Recuperación nutricional: Logro de un estado nutricional adecuado de los niños y niñas que presentaron desnutrición aguda, desnutrición aguda severa o riesgo de desnutrición aguda al ingreso y que al finalizar los cuatro (4) meses de atención pasaron  a peso adecuado para la talla (entre -1 y +1 D.E.). No se tienen en cuenta los niños y niñas que pasan a sobrepeso y obesidad debido a que se considera desmejoramiento nutricional.</t>
  </si>
  <si>
    <t>•  Indicador Antropométrico: son combinaciones de las mediciones antropométricas y son la forma más fácil de interpretarlas. Los indicadores comúnmente usados para la evaluación del Estado Nutricional del niño o niña, con fines de monitoreo, vigilancia o definición y evaluación de intervenciones son el peso para la edad, talla para la edad y el peso para la talla; mientras que en los adultos tiene más relevancia el índice de Masa Corporal y la talla para la edad.
• Desnutrición Global: cuando un niño o niña menor de 2 años está por debajo de la línea de puntuación z – 2 o – 3 en el indicador peso para la edad. 
• Recuperación nutricional: Para este ejercicio corresponde al mejoramiento en el estado nutricional de los niños y niñas que presentaron desnutrición aguda en el primer trimestre y que al finalizar el año  pasaron  a riesgo de bajo peso para la talla (entre -1 y -2 D.E.) o  a peso adecuado para la talla (entre -1 y +2D.E.). No se tienen en cuenta los niños y niñas que pasan a obesidad debido a que se considera desmejoramiento nutricional.Especificar los conceptos o términos que en indicador puedan ser confusos</t>
  </si>
  <si>
    <t>•  Indicador Antropométrico: son combinaciones de las mediciones antropométricas y son la forma más fácil de interpretarlas. Los indicadores comúnmente usados para la evaluación del Estado Nutricional del niño o niña, con fines de monitoreo, vigilancia o definición y evaluación de intervenciones son el peso para la edad, talla para la edad y el peso para la talla; mientras que en los adultos tiene más relevancia el índice de Masa Corporal y la talla para la edad.
• Peso para la Talla – P/T: Indicador que refleja el peso corporal en relación con la talla, es importante señalar que el P/T no es un sustituto de la Talla para la edad o del Peso para la Edad, ya que cada índice refleja una combinación diferente de procesos biológicos; si bien, tal vez compartan factores determinantes comunes, no se pueden usar de forma intercambiable.
• Desnutrición Aguda: Refleja el déficit en el peso con relación a la talla (P/T) sin tener en cuenta la edad. Se dice que hay peso bajo para la talla cuando el indicador P/T se encuentra por debajo de -2 desviaciones estándar.
• Recuperación nutricional: Para este ejercicio corresponde al mejoramiento en el estado nutricional de los niños y niñas que presentaron desnutrición aguda en el primer trimestre y que al finalizar el año  pasaron  a riesgo de bajo peso para la talla (entre -1 y -2 D.E.) o  a peso adecuado para la talla (entre -1 y +2D.E.). No se tienen en cuenta los niños y niñas que pasan a obesidad debido a que se considera desmejoramiento nutricional.Especificar los conceptos o términos que en indicador puedan ser confusos</t>
  </si>
  <si>
    <t xml:space="preserve">•  Indicador Antropométrico: son combinaciones de las mediciones antropométricas y son la forma más fácil de interpretarlas. Los indicadores comúnmente usados para la evaluación del Estado Nutricional del niño o niña, con fines de monitoreo, vigilancia o definición y evaluación de intervenciones son el peso para la edad, talla para la edad y el peso para la talla; mientras que en los adultos tiene más relevancia el índice de Masa Corporal y la talla para la edad.
• Peso para la Talla – P/T: Indicador que refleja el peso corporal en relación con la talla, es importante señalar que el P/T no es un sustituto de la Talla para la edad o del Peso para la Edad, ya que cada índice refleja una combinación diferente de procesos biológicos; si bien, tal vez compartan factores determinantes comunes, no se pueden usar de forma intercambiable.
• Índice de Masa Corporal: El cálculo del IMC se recomienda únicamente si el indicador P/T está por encima de +1 desviación estándar -D.E-, es decir, solo para detectar sobrepeso u obesidad. Se sugiere realizar un análisis cuidadoso cuando cualquiera de los dos indicadores refleje dicha condición teniendo en cuenta que los niños y niñas se encuentran en un período rápido de crecimiento y una restricción inadecuada en la dieta puede afectarlo.
• Obesidad: Peso para la longitud/talla (superior a z 2) o IMC para la edad por encima de la línea de puntuación z 3. </t>
  </si>
  <si>
    <t>Lactancia materna exclusiva: El niño o niña recibe como alimento exclusivo la leche materna, puede incluir rehidratación oral y/o gotas de vitaminas, minerales o medicamentos. La OMS recomienda que este periodo sea de 6 meses.</t>
  </si>
  <si>
    <t xml:space="preserve">•  Primeros 1.000 Días: Periodo de tiempo comprendido entre la gestación y los dos primeros años de vida.
•  Indicador Antropométrico: son combinaciones de las mediciones antropométricas y son la forma más fácil de interpretarlas. Los indicadores comúnmente usados para la evaluación del Estado Nutricional del niño o niña, con fines de monitoreo, vigilancia o definición y evaluación de intervenciones son el peso para la edad, talla para la edad y el peso para la talla; mientras que en los adultos tiene más relevancia el índice de Masa Corporal.
• Peso para la Talla – P/T: Indicador que refleja el peso corporal en relación con la talla. El indicador P/T, se debe utilizar tanto a nivel individual como poblacional ya que permite valorar el estado nutricional actual e identificar los efectos de una inadecuada alimentación o presencia de enfermedades infectocontagiosas en corto tiempo. Este indicador permite distinguir las deficiencias actuales de las pasadas.
• Peso para la Edad – P/E: Indicador que refleja la masa corporal en relación con la edad cronológica. Es influido por la talla del niño o niña (T/E) y por su peso (P/E) y por su carácter compuesto resulta compleja la interpretación. Se sugiere utilizar el indicador P/E a nivel individual durante los dos primeros años de vida y a partir de ahí a nivel poblacional.
• Desnutrición Aguda: Refleja el déficit en el peso con relación a la talla (P/T) sin tener en cuenta la edad. Se dice que hay peso bajo para la talla cuando el indicador P/T se encuentra por debajo de -2 desviaciones estándar. 
• Desnutrición Global: Refleja el déficit en el peso con relación a la edad (P/E). Se dice que hay desnutrición cuando el indicador P/E se encuentra por debajo de -2 desviaciones estándar. 
• Recuperación nutricional: Logro de un estado nutricional adecuado de los niños y niñas que presentaron desnutrición aguda y desnutrición global al ingreso y que al finalizar el semestre  pasaron  a peso adecuado para la talla o peso adecuado para la edad (entre -1 y +1 D.E.). No se tienen en cuenta los niños y niñas que pasan a sobrepeso y obesidad debido a que se considera desmejoramiento nutricional.
•Mejoramiento del estado nutricional: Corresponde a los niños que cumpliendo con los criterios de ingreso cambiaron positivamente en la desviación estándar en el indicador peso / talla o peso /edad según corresponda; para efectos de este ejercicio se considerará mejoramento cuando la Desviación Estándar sea igual o mayor a -2 D.E. El mejoramiento del estado nutricional se determinará al cumplir los seis meses de intervencion en la modalidad de Recuperación Nutricional con Enfoque Comunitario. </t>
  </si>
  <si>
    <t>Numero de Toneladas distribuidas de Bienestarina</t>
  </si>
  <si>
    <t>Numero de Toneladas producidas de Bienestarina</t>
  </si>
  <si>
    <t>Numero de Entes Territoriales asesorados en las acciones propias de la Política de Seguridad Alimentaria y Nutricional</t>
  </si>
  <si>
    <t>Numero de capacitaciones a Servidores Públicos, contratistas y Agentes del Sistema Nacional de Bienestar Familiar en las acciones propias de la Política de Seguridad Alimentaria y Nutricional</t>
  </si>
  <si>
    <t>Numero de niñas y niños menores de 5 años y mujeres gestantes microfocalizados en el marco del el Plan de Mitigación y Riesgo de Desnutrición</t>
  </si>
  <si>
    <r>
      <t xml:space="preserve">Se obtienen mejores resultados a mayor tiempo de exposición al programa, por lo tanto el valor esperado en el primer semestre es menor al encontrado finalizando año. 
</t>
    </r>
    <r>
      <rPr>
        <b/>
        <sz val="8"/>
        <rFont val="Calibri Light"/>
        <family val="2"/>
        <scheme val="major"/>
      </rPr>
      <t>Para el calculo del Numerador se debe:</t>
    </r>
    <r>
      <rPr>
        <sz val="8"/>
        <rFont val="Calibri Light"/>
        <family val="2"/>
        <scheme val="major"/>
      </rPr>
      <t xml:space="preserve">
1. Con el reporte en formato Excel generado por el Sistema de Información  CUÉNTAME de la Regional y/o Centro zonal que corresponda, y las modalidades de atención de Primera Infancia realice los siguientes pasos: 
a) Genere la opción de filtro a través de la barra de herramientas en la pestaña "Datos" de excel.
b) Seleccione en la columna "NombreServicio" las siguientes opciones:  CDI Modalidad Familiar  y  HCB FAMI.
c) Dirijase a las columnas nombradas como flag y filtre para asegurar que solo se revisarán los datos con flag "0".
d) En la columna "GrupoEdad", seleccione únicamente el Grupo 1 (corresponde a los beneficiarios entre 0 años y 1 años 11 meses.
e) En la columna "Edadmeses",  elimine los datos que sean menores de 6 meses.
f) Posteriomente, en la columna denominada "EstadoPesoEdadInicial", filtre los datos que presentan Desnutrición Global y Desnutrición Global Severa (tomar el dato y registrarlo, este será el denominador).
g) Manteniendo los filtros anteriormente mencionados dirijirse a la columna "EstadoPesoEdadFinal"  y  filtre las opciones  "Riesgo de peso bajo para la edad y Peso adecuado para la edad"  (tomar el dato y registrarlo, este será el numerador).
</t>
    </r>
    <r>
      <rPr>
        <b/>
        <sz val="8"/>
        <rFont val="Calibri Light"/>
        <family val="2"/>
        <scheme val="major"/>
      </rPr>
      <t xml:space="preserve">Para el calculo del Denominador se debe: </t>
    </r>
    <r>
      <rPr>
        <sz val="8"/>
        <rFont val="Calibri Light"/>
        <family val="2"/>
        <scheme val="major"/>
      </rPr>
      <t xml:space="preserve">
1. Con el reporte en formato Excel generado por el Sistema de Información  CUÉNTAME de la Regional y/o Centro zonal que corresponda, y las modalidades de atención de Primera Infancia realice los siguientes pasos: 
a) Genere la opción de filtro a través de la barra de herramientas en la pestaña "Datos" de excel.
b) Seleccione en la columna "NombreServicio" las siguientes opciones:  CDI Modalidad Familiar  y  HCB FAMI.
c) Dirijase a las columnas nombradas como flag y filtre para asegurar que solo se revisarán los datos con flag "0".
d) En la columna "GrupoEdad", seleccione únicamente el Grupo 1 (corresponde a los beneficiarios entre 0 años y 1 años 11 meses.
e) En la columna "Edadmeses",  elimine los datos que sean menores de 6 meses.
f) Posteriomente, en la columna denominada "EstadoPesoEdadInicial", filtre los datos que presentan Desnutrición Global y Desnutrición Global Severa (tomar el dato y registrarlo, este será el denominador).</t>
    </r>
  </si>
  <si>
    <r>
      <t xml:space="preserve">Se obtienen mejores resultados a mayor tiempo de exposición al programa, por lo tanto el valor esperado en el primer semestre es menor al encontrado finalizando año. 
</t>
    </r>
    <r>
      <rPr>
        <b/>
        <sz val="8"/>
        <rFont val="Calibri Light"/>
        <family val="2"/>
        <scheme val="major"/>
      </rPr>
      <t xml:space="preserve">Para el calculo del Numerador se debe: </t>
    </r>
    <r>
      <rPr>
        <sz val="8"/>
        <rFont val="Calibri Light"/>
        <family val="2"/>
        <scheme val="major"/>
      </rPr>
      <t xml:space="preserve">
1. Con el reporte en formato Excel generado por el Sistema de Información  CUÉNTAME de la Regional y/o Centro zonal que corresponda, y las modalidades de atención de Primera Infancia realice los siguientes pasos: 
a) Genere la opción de filtro a través de la barra de herramientas en la pestaña "Datos" de excel.
b) Seleccione en la columna "NombreServicio" las siguientes opciones: CDI Institucional con arrIendo, CDI Institucional sin arrIendo, CDI Modalidad Familiar, HCB Tradicionales Familiares, HCB Agrupados, Hogares  Infantiles, Hogar Empresarial, Hogares Múltiples y Jardines Sociales.
c) Dirijase a las columnas nombradas como flag y filtre para asegurar que solo se revisarán los datos con flag "0".
d) En la columna "GrupoEdad", seleccione únicamente el Grupo 2 (corresponde a los beneficiarios entre 2 años y 4 años 11 meses).
e) Seleccione en la columna "Desplazado", todos los datos que correspondan a "SI"
f) Posteriomente, en la columna denominada "EstadoPesoTalla/Inicial", filtre los datos que presentan Desnutrición Aguda y Desnutrición Aguda Severa (tomar el dato y registrarlo, este será el denominador).
g) Manteniendo los filtros anteriormente mencionados dirijirse a la columna "EstadoPesoTalla/Final"  y  filtre las opciones  "Riesgo de peso bajo para la talla y Peso adecuado para la talla"  (tomar el dato y registrarlo, este será el numer
</t>
    </r>
    <r>
      <rPr>
        <b/>
        <sz val="8"/>
        <rFont val="Calibri Light"/>
        <family val="2"/>
        <scheme val="major"/>
      </rPr>
      <t>Para el calculo del Denominador se debe:</t>
    </r>
    <r>
      <rPr>
        <sz val="8"/>
        <rFont val="Calibri Light"/>
        <family val="2"/>
        <scheme val="major"/>
      </rPr>
      <t xml:space="preserve"> 
1. Con el reporte en formato Excel generado por el Sistema de Información  CUÉNTAME de la Regional y/o Centro zonal que corresponda, y las modalidades de atención de Primera Infancia realice los siguientes pasos: 
a) Genere la opción de filtro a través de la barra de herramientas en la pestaña "Datos" de excel.
b) Seleccione en la columna "NombreServicio" las siguientes opciones: CDI Institucional con arrIendo, CDI Institucional sin arrIendo, CDI Modalidad Familiar, HCB Tradicionales Familiares, HCB Agrupados, Hogares  Infantiles, Hogar Empresarial, Hogares Múltiples y Jardines Sociales.
c) Dirijase a las columnas nombradas como flag y filtre para asegurar que solo se revisarán los datos con flag "0".
d) En la columna "GrupoEdad", seleccione únicamente el Grupo 2 (corresponde a los beneficiarios entre 2 años y 4 años 11 meses).
e) Seleccione en la columna "Desplazado", todos los datos que correspondan a "SI"
f) Posteriomente, en la columna denominada "EstadoPesoTalla/Inicial", filtre los datos que presentan Desnutrición Aguda y Desnutrición Aguda Severa (tomar el dato y registrarlo, este será el denominador).</t>
    </r>
  </si>
  <si>
    <t>Sistema de Información Misional CUENTAME
Cruce de base de datos Registro Unico de Victimas (UARIV)</t>
  </si>
  <si>
    <r>
      <t xml:space="preserve">Se obtienen mejores resultados a mayor tiempo de exposición al programa, por lo tanto el valor esperado en el primer semestre es menor al encontrado finalizando año. 
</t>
    </r>
    <r>
      <rPr>
        <b/>
        <sz val="8"/>
        <rFont val="Calibri Light"/>
        <family val="2"/>
        <scheme val="major"/>
      </rPr>
      <t xml:space="preserve">Para el Calculo del Numerador se debe:  </t>
    </r>
    <r>
      <rPr>
        <sz val="8"/>
        <rFont val="Calibri Light"/>
        <family val="2"/>
        <scheme val="major"/>
      </rPr>
      <t xml:space="preserve">
1. Con el reporte en formato Excel generado por el Sistema de Información  CUÉNTAME de la Regional y/o Centro zonal que corresponda, y las modalidades de atención de Primera Infancia realice los siguientes pasos: 
a) Genere la opción de filtro a través de la barra de herramientas en la pestaña "Datos" de excel.
b) Seleccione en la columna "NombreServicio" las siguientes opciones: CDI Institucional con arrIendo, CDI Institucional sin arrIendo, CDI Modalidad Familiar, HCB Tradicionales Familiares, HCB Agrupados, Hogares  Infantiles, Hogar Empresarial, Hogares Múltiples y Jardines Sociales.
c) Dirijase a las columnas nombradas como flag y filtre para asegurar que solo se revisarán los datos con flag "0".
d) En la columna "GrupoEdad", seleccione únicamente el Grupo 2 (corresponde a los beneficiarios entre 2 años y 4 años 11 meses).
e) Posteriomente, en la columna denominada "EstadoIMC/Inicial", filtre los datos que presentan "Obesidad" (tomar el dato y registrarlo, este será el denominador).
f) Manteniendo los filtros anteriormente mencionados dirijirse a la columna "EstadoIMC/Final"  y  filtre las opciones  "Obesidad"  (tomar el dato y registrarlo, este será el numerador).
</t>
    </r>
    <r>
      <rPr>
        <b/>
        <sz val="8"/>
        <rFont val="Calibri Light"/>
        <family val="2"/>
        <scheme val="major"/>
      </rPr>
      <t xml:space="preserve">Para el calculo del Denominador se debe: </t>
    </r>
    <r>
      <rPr>
        <sz val="8"/>
        <rFont val="Calibri Light"/>
        <family val="2"/>
        <scheme val="major"/>
      </rPr>
      <t xml:space="preserve">
1. Con el reporte en formato Excel generado por el Sistema de Información  CUÉNTAME de la Regional y/o Centro zonal que corresponda, y las modalidades de atención de Primera Infancia realice los siguientes pasos: 
a) Genere la opción de filtro a través de la barra de herramientas en la pestaña "Datos" de excel.
b) Seleccione en la columna "NombreServicio" las siguientes opciones: CDI Institucional con arrIendo, CDI Institucional sin arrIendo, CDI Modalidad Familiar, HCB Tradicionales Familiares, HCB Agrupados, Hogares  Infantiles, Hogar Empresarial, Hogares Múltiples y Jardines Sociales.
c) Dirijase a las columnas nombradas como flag y filtre para asegurar que solo se revisarán los datos con flag "0".
d) En la columna "GrupoEdad", seleccione únicamente el Grupo 2 (corresponde a los beneficiarios entre 2 años y 4 años 11 meses).
e) Posteriomente, en la columna denominada "EstadoIMC/Inicial", filtre los datos que presentan "Obesidad" (tomar el dato y registrarlo, este será el denominador).</t>
    </r>
  </si>
  <si>
    <t xml:space="preserve">Evaluar  el efecto de los programas  de HI - HCB - CDI en los niños y niñas  en términos de su estado nutricional </t>
  </si>
  <si>
    <t>Decreciente</t>
  </si>
  <si>
    <t>No.  niños y niñas reportados al SSN que continuaron en obesidad en HI - HCB - CDI (excluyendo FAMI y menores de 2 años) /  Total de niños y niñas de los HI - HCB - CDI  (excluyendo FAMI y menores de 2 años) reportados al Sistema de Seguimiento Nutricional con obesidad en el primer trimestre</t>
  </si>
  <si>
    <t>No.  niños y niñas reportados al SSN que continuaron en obesidad en HI - HCB - CDI (excluyendo FAMI y menores de 2 años)</t>
  </si>
  <si>
    <t xml:space="preserve"> Total de niños y niñas de los HI - HCB - CDI  (excluyendo FAMI y menores de 2 años) reportados al Sistema de Seguimiento Nutricional con obesidad en el primer trimestre</t>
  </si>
  <si>
    <t>MIn</t>
  </si>
  <si>
    <t xml:space="preserve">Evaluar  el efecto de los programas  de HI - HCB - CDI en los niños y niñas victimas de desplazamiento en términos de su estado nutricional </t>
  </si>
  <si>
    <t>No.  niños y niñas desplazados entre dos y cinco años reportados al SSN que pasaron a Riesgo o Peso Adecuado para la Talla en HI - HCB - CDI  (excluyendo FAMI) / Total de niños y niñas desplazados entre dos y cinco años de los HI - HCB - CDI  (excluyendo FAMI) reportados al Sistema de Seguimiento Nutricional con Desnutrición Aguda en el primer trimestre</t>
  </si>
  <si>
    <t>No.  niños y niñas desplazados entre dos y cinco años reportados al SSN que pasaron a Riesgo o Peso Adecuado para la Talla en HI - HCB - CDI  (excluyendo FAMI)</t>
  </si>
  <si>
    <t>Total de niños y niñas desplazados entre dos y cinco años de los HI - HCB - CDI  (excluyendo FAMI) reportados al Sistema de Seguimiento Nutricional con Desnutrición Aguda en el primer trimestre</t>
  </si>
  <si>
    <t xml:space="preserve">Evaluar  el efecto de la modalidad FAMI y CDI Modalidad Familiar en los niños y niñas en términos de su estado nutricional </t>
  </si>
  <si>
    <t>No.  niños y niñas  entre 6 meses y dos años reportados al SSN, pertenecientes al programa FAMI y CDI Modalidad Familiar, que pasaron a Riesgo o Peso Adecuado para la edad en FAMI y CDI Modalidad Familiar / Total de niños y niñas entre 6 meses y dos años, pertenecientes al programa FAMI y CDI Modalidad Familiar,  reportados al Sistema de Seguimiento Nutricional con Desnutrición Global en el primer trimestre</t>
  </si>
  <si>
    <t>No.  niños y niñas  entre 6 meses y dos años reportados al SSN, pertenecientes al programa FAMI y CDI Modalidad Familiar, que pasaron a Riesgo o Peso Adecuado para la edad en FAMI y CDI Modalidad Familiar</t>
  </si>
  <si>
    <t>Total de niños y niñas entre 6 meses y dos años, pertenecientes al programa FAMI y CDI Modalidad Familiar,  reportados al Sistema de Seguimiento Nutricional con Desnutrición Global en el primer trimestre</t>
  </si>
  <si>
    <t>Evaluar el efecto sobre el estado nutricional de los niños y niñas que ingresan con desnutrición aguda, desnutrición aguda severa o riesgo de desnutrición aguda atendidos en la modalidad de Centros de Recuperación Nutricional al final de los seis (6) meses de permanencia en esta modalidad.</t>
  </si>
  <si>
    <t>Total de niños y niñas menores de 5 años atendidos en la modalidad  Centros de Recuperación Nutricional  que recuperan su estado nutricional  al final de los cuatro (4) meses de intervención / Total de niños y niñas menores de 5 años que ingresan a la modalidad de Centros de  Recuperación Nutricional y que tuvieron cuatro (4) meses de permanencia.</t>
  </si>
  <si>
    <t>Total de niños y niñas menores de 5 años atendidos en la modalidad  Centros de Recuperación Nutricional  que recuperan su estado nutricional  al final de los cuatro (4) meses de intervención</t>
  </si>
  <si>
    <t>Total de niños y niñas menores de 5 años que ingresan a la modalidad de Centros de  Recuperación Nutricional y que tuvieron cuatro (4) meses de permanencia.</t>
  </si>
  <si>
    <t>Eficiencia</t>
  </si>
  <si>
    <t>Niños y niñas que mejoraron su estado Nutricional que se encuentran en la modalidad Recuperación Nutricional con Enfoque Comunitario - RNEC</t>
  </si>
  <si>
    <t>Total de niños y niñas menores de 5 años atendidos en la modalidad  Recuperación Nutricional con Enfoque Comunitario que mejoran su estado nutricional  al final de los seis (6) meses de permanencia / Total de niños y niñas menores de 5 años que ingresan a la modalidad de Recuperación Nutricional con Enfoque Comunitario con seis (6) meses de permanencia</t>
  </si>
  <si>
    <t>Total de niños y niñas menores de 5 años atendidos en la modalidad  Recuperación Nutricional con Enfoque Comunitario que mejoran su estado nutricional  al final de los seis (6) meses de permanencia</t>
  </si>
  <si>
    <t>Total de niños y niñas menores de 5 años que ingresan a la modalidad de Recuperación Nutricional con Enfoque Comunitario con seis (6) meses de permanencia</t>
  </si>
  <si>
    <t>Estandar historico de meses promedio de lactancia materna</t>
  </si>
  <si>
    <t>Meta establecida por la Dirección de Nutrición según historico de avance de años anteriores.</t>
  </si>
  <si>
    <t>Para el calculo del Numerador se debe: 1. Con el reporte en formato Excel generado por el Sistema de Información  CUÉNTAME de la Regional y/o Centro zonal que corresponda, y las modalidades de atención de Primera Infancia realice los siguientes pasos: 
a) Genere la opción de filtro a través de la barra de herramientas en la pestaña "Datos" de excel.
b) Seleccione en la columna "NombreServicio" las siguientes opciones:  CDI Modalidad Familiar  y  HCB FAMI.
c) En la columna "GrupoEdad", seleccione únicamente el Grupo 1 (corresponde a los beneficiarios entre 0 años y 1 años 11 meses.
d) En la columna "Edadmeses",  elimine los datos que sean menores de 6 meses.
e) Posteriomente, en la columna denominada "MesesLactanciaMaternaExclusiva", organice los datos de menor a mayor.
f) Seleccione los datos e inserte la función "Mediana" para obtener el resultado.
NOTA: De acuerdo a los rangos de clasificación para el porcentaje de avance del indicador, se debe tener en cuenta la siguiente información para asociarla a la Mediana que es de donde se genera el dato:                                       
Mediana                                       Primer Semestre                                              Segundo Semestre
Critico:                                                     2,4                                                                              2,9
En Riesgo:                                       2,5             2,9                                                      3,0               3,4
Adecuado:                                      2,9            3,4                                                      3,5              4,7                               
Optimo:                                                    3,5                                                                        4,8</t>
  </si>
  <si>
    <r>
      <rPr>
        <b/>
        <sz val="8"/>
        <rFont val="Calibri Light"/>
        <family val="2"/>
        <scheme val="major"/>
      </rPr>
      <t>Para el calculo del Numerador se debe:</t>
    </r>
    <r>
      <rPr>
        <sz val="8"/>
        <rFont val="Calibri Light"/>
        <family val="2"/>
        <scheme val="major"/>
      </rPr>
      <t xml:space="preserve"> 
1. Con el reporte en formato Excel generado por el Sistema de Información  CUÉNTAME de la Regional y/o Centro zonal que corresponda, y las modalidades de atención de Primera Infancia realice los siguientes pasos: 
a) Genere la opción de filtro a través de la barra de herramientas en la pestaña "Datos" de excel.
b) Seleccione en la columna "NombreServicio" las siguientes opciones:  CDI Modalidad Familiar  y  HCB FAMI.
c) En la columna "GrupoEdad", seleccione únicamente el Grupo 1 (corresponde a los beneficiarios entre 0 años y 1 años 11 meses.
d) En la columna "Edadmeses",  elimine los datos que sean menores de 6 meses. (tomar el dato y registrarlo, este será el denominador).
e) Posteriomente, en la columna denominada "MesesLactanciaMaternaExclusiva",  filtre únicamente los datos que correspondan a seis meses -6-  (tomar el dato y registrarlo, este será el numerador).
</t>
    </r>
    <r>
      <rPr>
        <b/>
        <sz val="8"/>
        <rFont val="Calibri Light"/>
        <family val="2"/>
        <scheme val="major"/>
      </rPr>
      <t xml:space="preserve">Para el calculo del Denominador se debe: 
</t>
    </r>
    <r>
      <rPr>
        <sz val="8"/>
        <rFont val="Calibri Light"/>
        <family val="2"/>
        <scheme val="major"/>
      </rPr>
      <t>1. Con el reporte en formato Excel generado por el Sistema de Información  CUÉNTAME de la Regional y/o Centro zonal que corresponda, y las modalidades de atención de Primera Infancia realice los siguientes pasos: 
a) Genere la opción de filtro a través de la barra de herramientas en la pestaña "Datos" de excel.
b) Seleccione en la columna "NombreServicio" las siguientes opciones:  CDI Modalidad Familiar  y  HCB FAMI.
c) En la columna "GrupoEdad", seleccione únicamente el Grupo 1 (corresponde a los beneficiarios entre 0 años y 1 años 11 meses.
d) En la columna "Edadmeses",  elimine los datos que sean menores de 6 meses. (tomar el dato y registrarlo, este será el denominador).</t>
    </r>
  </si>
  <si>
    <t>•  Primeros 1.000 Días: Periodo de tiempo comprendido entre la gestación y los dos primeros años de vida.
•  Indicador Antropométrico: son combinaciones de las mediciones antropométricas y son la forma más fácil de interpretarlas. Los indicadores comúnmente usados para la evaluación del Estado Nutricional del de las mujeres gestantes y madres en periodo de lactancia, con fines de monitoreo, vigilancia o definición y evaluación de intervenciones es el indice de masa corporal para la edad gestacional e indice de masa corporal para las mujeres gestantes. 
•  Lactancia: Periodo de secreción de leche; para efectos de la modalidad corresponde a los seis primeros meses.
•  Periodo de Gestación: Tiempo comprendido entre la fecundación y el nacimiento.
•  Indice de masa corporal para la edad gestacional: Método para la clasificación nutricional por antropometría que reflejan el estado nutricional de la mujer e indirectamente, el crecimiento del feto y, posteriormente, la cantidad y la calidad de la leche materna. Para defiir esta medicióndebe tenerse en cuenta la edad gestacional para estimar el valor del punto de corte, el cual se modificará según las semanas de amenorrea de la gestante.
•  Valoración nutricional de la madre en periodo de lactancia: La valoración antropométrica se establece mediante el Índice de Masa Corporal exclusivamente, mediante la fórmula: peso en Kilogramos / (talla en metros)2; el estado nutricional se considera bajo peso cuando es menor de 18.5 y normal cuando está está entre 18.5  y 24.99.</t>
  </si>
  <si>
    <r>
      <rPr>
        <b/>
        <sz val="8"/>
        <rFont val="Calibri Light"/>
        <family val="2"/>
        <scheme val="major"/>
      </rPr>
      <t>Instrucciones para el calculo del Numerador</t>
    </r>
    <r>
      <rPr>
        <sz val="8"/>
        <rFont val="Calibri Light"/>
        <family val="2"/>
        <scheme val="major"/>
      </rPr>
      <t xml:space="preserve">
a) Genere la opción de filtro a través de la barra de herramientas en la pestaña "Datos" de excel.
b) Para el proceso de análisis se debe considerar únicamente las mujeres gestantes y madres en periodo de lactancia que hayan completado los seis (6) meses de atención, a través de 6 registros de peso y semanas de gestación e IMC respectivamente.
c)  Posteriomente, filtrar las columnas de clasificación nutricional indice de masa corporal para la edad gestacional e indice de masa corporal para las mujeres en periodo de lactancia (inicial), filtrar los datos que presentan bajo peso en el caso de las gestantes y delgadez en el caso de las madres lactantes (tomar el dato y registrarlo, este será el denominador).
d) Manteniendo los filtros anteriormente mencionados dirijirse a la columna clasificación nutricional indice de masa corporal para la edad gestacional e indice de masa corporal para las mujeres en periodo de lactancia(final) contar los datos que registran normalidad (tomar el dato y registrarlo, este será el numerador).
</t>
    </r>
    <r>
      <rPr>
        <b/>
        <sz val="8"/>
        <rFont val="Calibri Light"/>
        <family val="2"/>
        <scheme val="major"/>
      </rPr>
      <t>Instrucciones para el calculo del Denominador:</t>
    </r>
    <r>
      <rPr>
        <sz val="8"/>
        <rFont val="Calibri Light"/>
        <family val="2"/>
        <scheme val="major"/>
      </rPr>
      <t xml:space="preserve">
a) Genere la opción de filtro a través de la barra de herramientas en la pestaña "Datos" de excel.
b) Para el proceso de análisis se debe considerar únicamente las mujeres gestantes y madres en periodo de lactancia que hayan completado los seis (6) meses de atención, a través de 6 registros de peso y semanas de gestación e IMC respectivamente.
c)  Posteriomente, filtrar las columnas de clasificación nutricional, indice de masa corporal para la edad gestacional e indice de masa corporal para las mujeres en periodo de lactancia(inicial), filtrar los datos que presentan bajo peso en el caso de las gestantes y delgadez en el caso de las madres lactantes (tomar el dato y registrarlo, este será el denominador).</t>
    </r>
  </si>
  <si>
    <t>Información analizada de los indicadores de CRN, RNEC y RN1000 (&lt;5 años)</t>
  </si>
  <si>
    <t>Instrucciones para el calculo del Numerador: Tomar la información reportada como numerador en este mismo periodo para los indicadores de CRN, RNEC y RN1000 (&lt;5 años) sumarlos, este resultado corresponde al numerador.
Instrucciones para el calculo del Denominador: Partiendo de la información analaizada de los indicadores de CRN, RNEC y RN1000 (&lt;5 años), tomar los datos reportados como denominador en este mismo periodo y sumarlos, este resultado corresponde al denominador.</t>
  </si>
  <si>
    <t>Meta establecida en la Hoja de Vida del Indicador teniendo en cuenta archivo enviado a la Subdirección de Monitoreo y Evaluación en desarrollo del ejercicio de Prioridades 2105 - 2019</t>
  </si>
  <si>
    <t>No.  de Entes Territoriales con asesoría técnica en las acciones propias de la Política de Seguridad Alimentaria y Nutricional</t>
  </si>
  <si>
    <t>No.  de Entes Territoriales priorizados para asesoría técnica en las acciones propias de la Política de Seguridad Alimentaria y Nutricional</t>
  </si>
  <si>
    <t>Instrucciones para el calculo del Numerador: No. de Entes Territoriales con asesoria técnica en las acciones propias de la Política de Seguridad Alimentaria y Nutricional
Instrucciones para el Calculo del Denominador:
Meta establecida en la Hoja de Vida del Indicador teniendo en cuenta archivo enviado a la Sundirección de Monitoreo y Evaluación en desarrollo del ejercicio de Prioridades 2105 - 2018</t>
  </si>
  <si>
    <t>Listados de Asistencia que relacionan el numero de Entes Territoriales con asesoria técnica en las acciones propias de la Política de Seguridad Alimentaria y Nutricional</t>
  </si>
  <si>
    <t>Listados de asistencia eventos presenciales y/o virtuales que relacionan el numero de servidores públicos capacitados en herramientas tecnicas de Seguridad Alimentaria y Nutricional</t>
  </si>
  <si>
    <t>Meta establecida en la Hoja de Vida del Indicador teniendo en cuenta archivo enviado a la Subdirección de Monitoreo y Evaluación en desarrollo del ejercicio de Prioridades 2105 - 2018</t>
  </si>
  <si>
    <t>Instrucciones para el calculo del Numerador: No.  Servidores Públicos, contratistas y Agentes del Sistema Nacional de Bienestar Familiar capacitados en herramientas tecnicas de Seguridad Alimentaria y Nutricional.
Instrucciones para el Calculo del Denominador:
Meta establecida en la Hoja de Vida del Indicador teniendo en cuenta archivo enviado a la Sundirección de Monitoreo y Evaluación en desarrollo del ejercicio de Prioridades 2105 - 2018</t>
  </si>
  <si>
    <t xml:space="preserve">No.  Servidores Públicos, contratistas y Agentes del Sistema Nacional de Bienestar Familiar capacitados en herramientas técnicas de Seguridad Alimentaria y Nutricional. </t>
  </si>
  <si>
    <t>No.  Servidores Públicos, contratistas y Agentes del Sistema Nacional de Bienestar Familiar programados a capacitar en herramientas técnicas de Seguridad Alimentaria y Nutricional para la vigencia</t>
  </si>
  <si>
    <t>PLAN DE ATENCIÓN Y MITIGACIÓN DEL RIESGO DE DESNUTRICIÓN:Estrategia innovadora que permite identificar a la población en vulnerabilidad nutricional y asi generar procesos de articulación con el fin de garantizar su atención integral.</t>
  </si>
  <si>
    <t>Consolidado de Reportes de Regionales y Centros Zonales</t>
  </si>
  <si>
    <r>
      <rPr>
        <b/>
        <sz val="8"/>
        <rFont val="Calibri Light"/>
        <family val="2"/>
        <scheme val="major"/>
      </rPr>
      <t xml:space="preserve">Instrucciones para el calculo del Numerador: </t>
    </r>
    <r>
      <rPr>
        <sz val="8"/>
        <rFont val="Calibri Light"/>
        <family val="2"/>
        <scheme val="major"/>
      </rPr>
      <t xml:space="preserve">
a) Genere la opción de filtro a través de la barra de herramientas en la pestaña "Datos" de excel.
b) Dirijase a las columnas nombradas como flag y filtre para asegurar que sólo se revisarán los datos con flag "0".
c) Para el proceso de análisis se debe considerar únicamente los niños y niñas que hayan completado los seis (6) meses de atención, a través de 6 registros de peso y talla. 
d)  Posteriomente, filtrar las columnas de clasificación nutricional Peso para la talla Inicial y peso para la edad Inicial (WHZ1 y WAZ1 de acuerdo al grupo de edad: P/T mayor de 2 años y P/E menor de 2 años), filtrar los datos que presentan riesgo de desnutrición aguda, desnutrición  aguda, desnutrición aguda severa, desnutrición global y desnutrición global severa (tomar el dato y registrarlo, este será el denominador).
e) Manteniendo los filtros anteriormente mencionados dirijirse a la columna clasificación nutricional Peso para la talla final y peso para la edad final (WHZ6 y WAZ6 de acuerdo al grupo de edad: P/T mayor de 2 años y P/E menor de 2 años), para los niños y niñas que ingresaron con desnutrición  aguda, desnutrición aguda severa, desnutrición global y desnutrición global severa filtrar por las opciones  "Riesgo de desnutrición y Peso adecuado"  (tomar el dato y registrarlo, este será la primera parte del numerador).
f)  Para los niños y niñas que ingresaron con riesgo de desnutrición  aguda, filtrar por la opción "Peso adecuado para la talla"  (tomar el dato y registrarlo, este será la segunda  parte del numerador).
g) Sumar los datos obtenidos en el punto e y f, este será el valor total del numerador.
</t>
    </r>
    <r>
      <rPr>
        <b/>
        <sz val="8"/>
        <rFont val="Calibri Light"/>
        <family val="2"/>
        <scheme val="major"/>
      </rPr>
      <t xml:space="preserve">Instrucciones para el calculo del Denominador:
</t>
    </r>
    <r>
      <rPr>
        <sz val="8"/>
        <rFont val="Calibri Light"/>
        <family val="2"/>
        <scheme val="major"/>
      </rPr>
      <t>a) Genere la opción de filtro a través de la barra de herramientas en la pestaña "Datos" de excel.
b) Dirijase a las columnas nombradas como flag y filtre para asegurar que solo se revisarán los datos con flag "0".
c) Para el proceso de análisis se debe considerar únicamente los niños y niñas que hayan completado los seis (6) meses de atención, a través de 6 registros de peso y talla. 
d)  Posteriomente, filtrar las columnas de clasificación nutricional Peso para la talla Inicial y peso para la edad inicial (WHZ1 y WAZ1 de acuerdo al grupo de edad: P/T mayor de 2 años y P/E menor de 2 años), filtrar los datos que presentan riesgo de desnutrición aguda, desnutrición  aguda, desnutrición aguda severa. desnutrición global y desnutrición global severa (tomar el dato y registrarlo, este será el denominador).</t>
    </r>
  </si>
  <si>
    <r>
      <rPr>
        <b/>
        <sz val="8"/>
        <rFont val="Calibri Light"/>
        <family val="2"/>
        <scheme val="major"/>
      </rPr>
      <t xml:space="preserve">Instrucciones para el calculo del Numerador: </t>
    </r>
    <r>
      <rPr>
        <sz val="8"/>
        <rFont val="Calibri Light"/>
        <family val="2"/>
        <scheme val="major"/>
      </rPr>
      <t xml:space="preserve">
1. Con el reporte en formato excel generado por el sistema CUENTAME de la modalidad de Centros de Recuperación Nutricional - CRN y sus diferentes variables procesadas, realice los siguientes pasos:  
a) Genere la opción de filtro a través de la barra de herramientas en la pestaña "Datos" de excel.
b) Dirijase a las columnas nombradas como flag y filtre para asegurar que solo se revisarán los datos con flag "0".
c) Para el proceso de análisis se debe considerar únicamente los niños y niñas que hayan completado los cuatro (4) meses de atención.
d)  Posteriomente, filtrar las columnas de clasificación nutricional Peso para la talla Inicial (WHZ1), filtrar los datos que presentan desnutrición  aguda, desnutrición aguda severa y riesgo de desnutrición aguda (tomar el dato y registrarlo, este será el denominador).
e) Manteniendo los filtros anteriormente mencionados dirijirse a la columna clasificación nutricional Peso para la talla final  ( WHZ4) filtrar por la opción "Peso adecuado"  (tomar el dato y registrarlo, este será el numerador).
</t>
    </r>
    <r>
      <rPr>
        <b/>
        <sz val="8"/>
        <rFont val="Calibri Light"/>
        <family val="2"/>
        <scheme val="major"/>
      </rPr>
      <t xml:space="preserve">Instrucciones para le calculo del Denominador: </t>
    </r>
    <r>
      <rPr>
        <sz val="8"/>
        <rFont val="Calibri Light"/>
        <family val="2"/>
        <scheme val="major"/>
      </rPr>
      <t xml:space="preserve">
1. Con el reporte en formato excel generado por el sistema CUENTAME de la modalidad de Centros de Recuperación Nutricional - CRN y sus diferentes variables procesadas, realice los siguientes pasos:  
a) Genere la opción de filtro a través de la barra de herramientas en la pestaña "Datos" de excel.
b) Dirijase a las columnas nombradas como flag y filtre para asegurar que solo se revisarán los datos con flag "0".
c) Para el proceso de análisis se debe considerar únicamente los niños y niñas que hayan completado los cuatro (4) meses de atención.
d)  Posteriomente, filtrar las columnas de clasificación nutricional Peso para la talla Inicial (WHZ1), filtrar los datos que presentan desnutrición  aguda, desnutrición aguda severa y riesgo de desnutrición aguda (tomar el dato y registrarlo, este será el denominador).</t>
    </r>
  </si>
  <si>
    <t>MPM4-08</t>
  </si>
  <si>
    <t>Evaluar el efecto de seis (6) meses de atención en la modalidad de Recuperación Nutricional con Énfasis en los Primeros 1.000 Días sobre el peso al nacer de los niños y niñas, hijos de las mujeres gestantes con bajo peso atendidas.</t>
  </si>
  <si>
    <r>
      <rPr>
        <b/>
        <sz val="8"/>
        <rFont val="Calibri Light"/>
        <family val="2"/>
        <scheme val="major"/>
      </rPr>
      <t xml:space="preserve">Instrucciones para el calculo del Numerador: 
</t>
    </r>
    <r>
      <rPr>
        <sz val="8"/>
        <rFont val="Calibri Light"/>
        <family val="2"/>
        <scheme val="major"/>
      </rPr>
      <t xml:space="preserve">a) Genere la opción de filtro a través de la barra de herramientas en la pestaña "Datos" de excel.
b) Dirijase a las columnas nombradas como flag y filtre para asegurar que sólo se revisarán los datos con flag "0".
c) Para el proceso de análisis se debe considerar únicamente los niños y niñas hijos de mujeres gestantes con bajo peso que fueron atendidas en la modalidad de Recuperación Nutricional con Énfasis en los primeros mil días, para esto se debe hacer el filtro en la columna modalidad de atención durante la gestación.
d) Dirijirse a la columna semanas de gestación y tomar todos aquellos que tienen datos, "contar" y éste será el denominador.
e)  Posteriomente, filtrar la columna de semanas de gestación al nacer, seleccionando unicamente aquellos que nacieron de 38 semanas en adelante, enseguida en la columna estado de peso para la edad, tomar unicamente los niños y niñas cuya desviación estándar se encuentra entre -1 y +1 (OMS, 2010).  (tomar el dato y registrarlo, este será la primera parte del numerador).
f) Finalmente, filtrar nuevamente las columnas de semanas de gestación al nacer seleccionando unicamente aquellos que nacieron de menos de 37 semanas, enseguida en la columna estado de peso para la edad tomar unicamente los niños y niñas cuyo peso se encuentra entre el percentil  10 y 90 (Fenton, 2003)  (tomar el dato y registrarlo, este será la segunda  parte del numerador).
g) Sumar los datos obtenidos en el punto e y f, este será el valor total del numerador.
</t>
    </r>
    <r>
      <rPr>
        <b/>
        <sz val="8"/>
        <rFont val="Calibri Light"/>
        <family val="2"/>
        <scheme val="major"/>
      </rPr>
      <t xml:space="preserve">Instrucciones para el calculo del Denominador: 
</t>
    </r>
    <r>
      <rPr>
        <sz val="8"/>
        <rFont val="Calibri Light"/>
        <family val="2"/>
        <scheme val="major"/>
      </rPr>
      <t>a) Genere la opción de filtro a través de la barra de herramientas en la pestaña "Datos" de excel.
b) Dirijase a las columnas nombradas como flag y filtre para asegurar que sólo se revisarán los datos con flag "0".
c) Para el proceso de análisis se debe considerar únicamente los niños y niñas hijos de mujeres gestantes que fueron atendidas en la modalidad de Recuperación Nutricional con Énfasis en los primeros mil días, para esto se debe hacer el filtro en la modalidad de atención durante la gestación.
d) Dirijirse a la columna semanas de gestación y tomar todos aquellos que tienen datos, "contar" y éste será el denominador.</t>
    </r>
  </si>
  <si>
    <t>Total de niños y niñas, hijos de mujeres con bajo peso durante la gestación que recibieron atención en la modalidad de Recuperación Nutricional con Énfasis en los Primeros 1.000 días, que nacieron con peso adecuado para la edad gestacional</t>
  </si>
  <si>
    <t>Total de niños y niñas nacidos, hijos de mujeres con bajo peso durante la gestación que recibieron atención en la modalidad de Recuperación Nutricional con Énfasis en los Primeros 1.000 Días</t>
  </si>
  <si>
    <t>•  Primeros 1.000 Días: Periodo de tiempo comprendido entre la gestación y los dos primeros años de vida.
•  Indicador Antropométrico: son combinaciones de las mediciones antropométricas y son la forma más fácil de interpretarlas. Los indicadores comúnmente usados para la evaluación del Estado Nutricional del niño o niña, con fines de monitoreo, vigilancia o definición y evaluación de intervenciones son el peso para la edad, talla para la edad y el peso para la talla; mientras que en los adultos tiene más relevancia el índice de Masa Corporal.
• Peso para la Talla – P/T: Indicador que refleja el peso corporal en relación con la talla. El indicador P/T, se debe utilizar tanto a nivel individual como poblacional ya que permite valorar el estado nutricional actual e identificar los efectos de una inadecuada alimentación o presencia de enfermedades infectocontagiosas en corto tiempo. Este indicador permite distinguir las deficiencias actuales de las pasadas.
• Peso para la Edad – P/E: Indicador que refleja la masa corporal en relación con la edad cronológica. Es influido por la talla del niño o niña (T/E) y por su peso (P/E) y por su carácter compuesto resulta compleja la interpretación. Se sugiere utilizar el indicador P/E a nivel individual durante los dos primeros años de vida y a partir de ahí a nivel poblacional.
• Desnutrición Aguda: Refleja el déficit en el peso con relación a la talla (P/T) sin tener en cuenta la edad. Se dice que hay peso bajo para la talla cuando el indicador P/T se encuentra por debajo de -2 desviaciones estándar. 
• Desnutrición Global: Refleja el déficit en el peso con relación a la edad (P/E). Se dice que hay desnutrición cuando el indicador P/E se encuentra por debajo de -2 desviaciones estándar. 
- Bajo peso al nacer: A nivel de los individuos el bajo peso se define como Recién nacido con peso igual o menor de 2499 gramos, Muy bajo peso al nacer Recién nacido con peso igual o menor de 1499 gramos; adicionalmente se considera la categoría de peso deficiente = recién nacido con peso entre 2500 y 2999 gramos; peso normal = mayor o igual a 3000 gramos</t>
  </si>
  <si>
    <t>5. Garantizar la protección integral de los NNA en coordinación con las instancias del SNBF.</t>
  </si>
  <si>
    <t>Protección-acciones para preservar y restituir el ejercicio integral de los derechos de la niñez y la familia</t>
  </si>
  <si>
    <t>Proyecto de Vida: Se entiende por proyecto de vida un proceso continuo  durante las diferentes etapas del ciclo vital del ser humano que integra la historia, el presente y futuro, así como las condiciones contextuales eco sistémicas que marcan las relaciones y niveles de desarrollo humano; de allí que su vivencia permite el análisis y re direccionamiento de aquellos procesos que no satisfagan los intereses y necesidades de la persona.
Proceso de Formación: El proceso de formación hace referencia en este caso a los tipos de educación: la formal y la no formal La educación formal hace referencia a los ámbitos de las escuelas, institutos, universidades, módulos donde se reconoce la participación por medio de certificados de estudios. La educación no formal se refiere a los cursos, academias, e instituciones, que no se rigen por un particular currículo de estudios, estos tienen la intención de educar pero no se reconoce por medio de certificados.</t>
  </si>
  <si>
    <t>Gestión Restablecimiento de Derechos</t>
  </si>
  <si>
    <t xml:space="preserve">Situación legal definida: Entiéndase como la declaratoria de vulneración de derechos o declaratoria de Adoptabilidad. 
Términos de Ley: Entiéndase  4 meses sin prórroga o 6 meses con prorroga de acuerdo al Artículo 100 de la Ley 1098 de 2006 
Auto de apertura:  Documento por medio del cual la autoridad competente  abre investigación  oficiosa sobre el Proceso Administrativo de Restablecimiento de Derechos 
SIM: El Sistema de Información Misional SIM, es una herramienta que sirve de apoyo a las acciones realizadas para la prestación de los servicios del ICBF, cuyo objetivo es facilitar el registro, la consolidación y el reporte de información local, regional y nacional de manera oportuna y confiable a partir de las necesidades que se originan en los procesos misionales del Instituto Colombiano de Bienestar Familiar 
Trámite de Proceso Administrativo de Restablecimiento de Derechos: Cuando del concepto de estado de cumplimiento de derechos del niño, niña o adolescente se determine la situación de vulneración, amenaza o inobservancia de uno de los derechos de protección consagrados en el artículo 20 de la Ley 1098 de 2006, la autoridad administrativa, de manera inmediata, dará apertura al Proceso Administrativo de Restablecimiento de Derechos y procederá de conformidad con lo establecido en el artículo 99 y subsiguientes del Código de Infancia y Adolescencia o, de ser necesario, de conformidad con lo previsto por el artículo 106 ibídem . </t>
  </si>
  <si>
    <t>Para determinar el indicador se toma en cuenta los motivos de egreso: Retiro Voluntario, Referenciación ACR, Reintegro Familiar, Vida Independiente y Retiro Voluntario con cumplimiento de Objetivos
Se excluyen: Fallecimiento,  Remisión a otra entidad por demostrarse Mayoría de edad, Cambio de Medida a RPA, Cambio de Medida a PARD  y Remisión a Centro de Reclusión para Adultos.</t>
  </si>
  <si>
    <t>Desvinculados: Niños, niñas y adolescentes víctimas de reclutamiento ilícito que en cualquier condición dejan de ser parte de los grupos armados organizados al margen de la ley.
ACR: Es una entidad adscrita a la Presidencia de la República, que está encargada de coordinar, asesorar y ejecutar -con otras entidades públicas y privadas- la Ruta de Reintegración de las personas desmovilizadas de los grupos armados al margen de la ley .Adicionalmente, la ACR diseña, implementa y evalúa la política de Estado dirigida a la Reintegración social y económica de las personas o grupos armados al margen de la ley que se desmovilicen voluntariamente, de manera individual o colectiva. La ACR trabaja en coordinación con el Ministerio de Defensa, Ministerio del Interior y de Justicia y con la Oficina del Alto Comisionado para la Paz.
Vida independiente por cumplimiento de Objetivos: Es el estado que permite a una persona tomar decisiones, ejercer actos de manera autónoma y participar activamente en la comunidad, en ejercicio del derecho al libre desarrollo de la personalidad. El programa especializado evidencia que las y los adolescentes que egresan por este motivo, lograron desarrollar capacidades, habilidades y actitudes que les permitan ser competentes para integrarse a su realidad social con responsabilidad, independencia, autonomía, y consciencia de las exigencias de auto cuidado que su situación les exige para al final, ser capaces de continuar desarrollando por fuera del programa su proyecto de vida. 
Este motivo aplica para los adolescentes que por alguna circunstancia no ingresan al programa de la ACR. Algunos ejemplos son: Conformación de Pareja, Inclusión al mercado laboral, entre otros. 
Reintegro Familiar: Este procedimiento aplica para el caso de los niños, niñas o adolescentes para quienes se resuelve que sean reintegrados a su familia o a su red vincular de apoyo, por haber superado las condiciones de vulneración de derechos que dieron origen a las medidas de restablecimiento de los mismos. La decisión de iniciar este procedimiento toma en cuenta que la familia o red vincular de apoyo tiene fortalezas y factores protectores que le permiten asumir el cuidado y atención del niño, niña o adolescente.</t>
  </si>
  <si>
    <t>Los criterios de selección de los hogares desplazados en la transición  son los que contienen la Resolución 2927 de 2013, que se listan a continuación:                                                                    
 a) Que esté incluido en el Registro Única de Víctimas;
b) Que el desplazamiento haya ocurrido en un término superior a un (1) año contado a partir de la declaración;
c) Que no cuente con los elementos necesarios para su subsistencia mínima, es decir, persista la situación de carencia de componentes de alimentación como consecuencia del desplazamiento forzado;
d) Que de la valoración que realice la UARIV se concluya que no existen características de gravedad y urgencia que los haga destinatarios de atención humanitaria de emergencia. Respecto del Decreto 2569 de Diciembre 12 de 2014 mediante el cual se reglamentan los Artículos 182 de la Ley 1450 de 2011; Artículos del 62 al 68 de la Ley 1448 de 2011; Se modifican los Artículos 81 y 83 del Decreto 4800; y Deroga el Inciso 2 Articulo 112 del Decreto 4800 de 2011;  Se decreta: • Artículo 7. Criterios para la entrega de la atención humanitaria. Punto No. 4. Temporalidad;  • Articulo 18. Situación de extrema urgencia y vulnerabilidad;   Artículo 21. Suspensión definitiva de la atención humanitaria.: contenida en los numerales del 1 al 6.
El cumplimiento de esta indicador está sujeto a la consecución de los  nuevos recursos que se asignen a este proyecto.</t>
  </si>
  <si>
    <t>El artículo  62 de la Ley 1448 de 2011: Hace referencia a las etapas de la Atención Humanitaria, las cuales son: Inmediata, Emergencia y de Transición, de esta última es responsable el ICBF. La  ayuda humanitaria en transición se define como: "Es la ayuda humanitaria que se entrega a la población en situación de Desplazamiento incluida en el Registro Único de Víctimas que aún no cuenta con los elementos necesarios para su subsistencia mínima, pero cuya situación, a la luz de la valoración hecha por la Unidad para la Atención y Reparación Integral a las Víctimas, no presenta las características de gravedad y urgencia que los haría destinatarios de la Atención Humanitaria de Emergencia" artículo 65 Ley 1448 de 2011.                                                                                                                                                                                                                                                                                                        
Programa de alimentación en la transición: Tiene como objetivo  "Brindar apoyo a los hogares víctimas de desplazamiento forzado en la etapa de la atención humanitaria de transición de manera temporal, para contribuir al acceso a alimentos en el marco de la subsistencia mínima y brindar un acompañamiento orientado a mejorar las condiciones alimentarias de estos hogares, de acuerdo con sus necesidades particulares".                                                                                                                                                                                                                                                                            
Solicitudes Colocadas: Son aquellas solicitudes tramitadas por el Programa de Alimentación en la Transición para  los Hogares Desplazados y enviadas al Banco Agrario para ser cobradas.                                                                                                                                                                                                                                                                                               
Solicitudes Cobradas: Son aquellas solicitudes que fueron son cobradas por los hogares solicitantes que se encuentran en la etapa de la transición.</t>
  </si>
  <si>
    <t>Auto de apertura: Documento por medio del cual la autoridad competente  abre investigación  oficiosa sobre el Proceso Administrativo de Restablecimiento de Derechos 
SIM: El Sistema de Información Misional SIM, es una herramienta que sirve de apoyo a las acciones realizadas para la prestación de los servicios del ICBF, cuyo objetivo es facilitar el registro, la consolidación y el reporte de información local, regional y nacional de manera oportuna y confiable a partir de las necesidades que se originan en los procesos misionales del Instituto Colombiano de Bienestar Familiar.
Ubicación de Hogar Sustituto (Art 59, Ley 1098 de 2006): Es una medida de protección provisional que toma la autoridad competente y consiste en la ubicación del niño, niña o adolescente en una familia que se compromete a brindarle el cuidado y atención necesarios en sustitución de la familia de origen. Esta medida se decretará por el menor tiempo posible de acuerdo con las circunstancias y los objetivos que se persiguen sin que pueda exceder de seis (6) meses. El Defensor de Familia podrá prorrogarla, por causa justificada, hasta por un término igual al inicial, previo concepto favorable del Jefe Jurídico de la Dirección Regional del Instituto Colombiano de Bienestar Familiar.
Ubicación en medio Institucional: Consiste en la atención para la protección integral durante las 24 horas al día, siete (7) días a la semana a niños, niñas y adolescentes a quienes se les han vulnerado sus derechos, cuando lo procedente es la separación del medio familiar de origen o extenso y que de acuerdo con la situación particular de vulneración se garantiza la atención especializada requerida, conforme con el Art. 60 del Código de Infancia y Adolescencia: “Cuando un niño, niña o adolescente sea víctima de cualquier acto que vulnere sus derechos de protección, de su integridad personal, o sea víctima de un delito deberán vincularse a un programa de atención especializada que asegure el restablecimiento de sus derechos”. Según el LINEAMIENTO TÉCNICO PARA LAS MODALIDADES DE: MEDIDA DE VULNERABILIDAD O ADOPTABILIDAD PARA EL RESTABLECIMIENTO DE DERECHOS DE NIÑOS, NIÑAS Y ADOLESCENTES Y MAYORES DE 18 AÑOS CON DISCAPACIDAD, CON SUS DERECHOS AMENAZADOS, INOBSERVADOS O VULNERADOS, la permanencia se estima de seis (6) meses en la MODALIDAD: INTERNADO DE ATENCIÓN
ESPECIALIZADA, sin desconocer que en situaciones excepcionales será necesario prolongar esta permanencia por el tiempo que sea indispensable, de acuerdo con el concepto de la Defensoría de Familia y su Equipo Técnico Interdisciplinario apoyado en el concepto del Equipo Técnico Interdisciplinario del Operador.</t>
  </si>
  <si>
    <t>Auto de apertura: Documento por medio del cual la autoridad competente  abre investigación  oficiosa sobre el Proceso Administrativo de Restablecimiento de Derechos 
SIM: El Sistema de Información Misional SIM, es una herramienta que sirve de apoyo a las acciones realizadas para la prestación de los servicios del ICBF, cuyo objetivo es facilitar el registro, la consolidación y el reporte de información local, regional y nacional de manera oportuna y confiable a partir de las necesidades que se originan en los procesos misionales del Instituto Colombiano de Bienestar Familiar 
Proceso administrativo de restablecimiento de derechos abierto en el último mes: Hace referencia a los Procesos que se registren en el SIM, durante el periodo comprendido entre el día primero  y el último día del mes evaluado.
Reingreso a Proceso Administrativo de Restablecimiento de Derechos: Situación presentada cuando un niño, niña y adolecente luego de haber tenido un proceso de restablecimiento de derechos donde fue reintegrado a su medio familiar, requiere la apertura de un nuevo  proceso de restablecimiento de derechos PARD por presentar reiteradamente  alguna amenaza, inobservancia o vulneración de sus derechos, independientemente de que corresponda al mismo motivo de ingreso o a uno diferente.</t>
  </si>
  <si>
    <t xml:space="preserve">Situación legal definida: Entiéndase como la declaratoria de vulneración de derechos o declaratoria de Adoptabilidad. 
Términos de Ley: Entiéndase  4 meses sin prórroga o 6 meses con prorroga de acuerdo al Artículo 100 de la Ley 1098 de 2006 
Auto de apertura:  Documento por medio del cual la autoridad competente  abre investigación  oficiosa sobre el Proceso Administrativo de Restablecimiento de Derechos 
SIM: El Sistema de Información Misional SIM, es una herramienta que sirve de apoyo a las acciones realizadas para la prestación de los servicios del ICBF, cuyo objetivo es facilitar el registro, la consolidación y el reporte de información local, regional y nacional de manera oportuna y confiable a partir de las necesidades que se originan en los procesos misionales del Instituto Colombiano de Bienestar Familiar 
Trámite de Proceso Administrativo de Restablecimiento de Derechos: Cuando del concepto de estado de cumplimiento de derechos del niño, niña o adolescente se determine la situación de vulneración, amenaza o inobservancia de uno de los derechos de protección consagrados en el artículo 20 de la Ley 1098 de 2006, la autoridad administrativa, de manera inmediata, dará apertura al Proceso Administrativo de Restablecimiento de Derechos y procederá de conformidad con lo establecido en el artículo 99 y subsiguientes del Código de Infancia y Adolescencia o, de ser necesario, de conformidad con lo previsto por el artículo 106 ibídem . 
Perdida de competencia: Vencido el término para fallar  sin haberse emitido la decisión correspondiente, la autoridad administrativa perderá competencia para seguir conociendo del asunto y remitirá el expediente al Juez de Familia para que de oficio adelante la actuación o proceso respectivo. La autoridad administrativa deberá remitir el expediente, mediante auto que así lo ordene, al juez competente, procediendo a cerrar el caso por pérdida de la competencia. </t>
  </si>
  <si>
    <t>Programa Unidades de Apoyo y Fortalecimiento Familiar - UNAFA: E s un programa del ICBF dirigido a la atención, orientación y fortalecimiento de las familias con niños, niñas, adolescentes y mayores de 18 años con discapacidad y/o en situación de desplazamiento y/o pertenecientes a un grupo étnico, que por su situación de pobreza presentan riesgo  o vulneración de sus derechos.
UNAFA responde al compromiso del ICBF en el Conpes Social 166 de 2013 - Política pública nacional de discapacidad e inclusión social: "Construir e implementar un programa de atención a familias de PcD en situación de vulnerabilidad, que promueva su inclusión y atención social".
El objetivo general es generar procesos de transformación social que promuevan el restablecimiento y goce efectivo de los derechos de niños, niñas y adolescentes con discapacidad, y sus familias reconociendo su diversidad.</t>
  </si>
  <si>
    <t>SIM: El Sistema de Información Misional SIM, es una herramienta que sirve de apoyo a las acciones realizadas para la prestación de los servicios del ICBF, cuyo objetivo es facilitar el registro, la consolidación y el reporte de información local, regional y nacional de manera oportuna y confiable a partir de las necesidades que se originan en los procesos misionales del Instituto Colombiano de Bienestar Familiar 
Trámite de Proceso Administrativo de Restablecimiento de Derechos: Cuando del concepto de estado de cumplimiento de derechos del niño, niña o adolescente se determine la situación de vulneración, amenaza o inobservancia de uno de los derechos de protección consagrados en el artículo 20 de la Ley 1098 de 2006, la autoridad administrativa, de manera inmediata, dará apertura al Proceso Administrativo de Restablecimiento de Derechos y procederá de conformidad con lo establecido en el artículo 99 y subsiguientes del Código de Infancia y Adolescencia o, de ser necesario, de conformidad con lo previsto por el artículo 106 ibídem .</t>
  </si>
  <si>
    <t>Situación  de Adoptabilidad en firme: niños, niñas y adolescentes con consentimiento en firme para la adopción, declaratoria de adoptabilidad ejecutoriada o autorización por parte del Defensor de Familia.
Devuelto por Comité de Adopciones: Cuando por no cumplir con lo establecido en la Ley para llevar a cabo el debido proceso, no se cumple con los requisitos necesarios para darle tramite al proceso en el Comité de Adopciones y se debe proceder a devolver el expediente a la Defensoría de Familia competente.</t>
  </si>
  <si>
    <t>Presupuesto ejecutado (obligaciones acumuladas de la vigencia): Corresponde a los recursos obligados por las regionales  y que se encuentran dentro de la vigencia actual. 
Presupuesto Proyectado: Corresponde a la apropiación (Presupuesto Inicial) destinada para cada una de las Regionales y que se encuentran dentro de la vigencia actual. 
Obligación: Se entiende por obligación el monto adeudado,  producto del desarrollo de los compromisos adquiridos por el valor equivalente a los bienes recibidos, servicios prestados y demás exigibilidades pendientes de pago.</t>
  </si>
  <si>
    <t>Para el cumplimiento de la meta se tendrá en cuenta el avance realizado durante la vigencia 2014, debido a que al definir la línea base se tuvo en cuenta las capacitaciones brindadas en el año 2014.</t>
  </si>
  <si>
    <t>Proceso Administrativo de Restablecimiento de Derechos: Es el trámite administrativo oral y concentrado, que debe definirse en el término máximo de cuatro (4) meses, prorrogable por una sola vez por dos (2) meses más. Su debate procesal se realiza en una única audiencia en la que se practican las pruebas, se trasladan a las partes y se profiere el respectivo fallo. Este proceso se encuentra desarrollado en los Arts. 99 y siguientes de la Ley 1098 de 2006.
Autoridad administrativa: Puede ser el Defensor de Familia, el Comisario de Familia o el Inspector de Policía, de conformidad con lo establecido en el Art. 51 de la Ley 1098 de 2006, en el Decreto 4840 de 2007 y en la Resolución No. 5878 de 2010.
Defensorías de Familias: El Instituto Colombiano de Bienestar Familiar, cuenta con unas dependencias multidisciplinarias, encargadas de prevenir, garantizar y restablecer los derechos de los niños, niñas y adolescentes, denominadas Defensorías de Familia, las cuales cuentan con equipos técnicos interdisciplinarios integrados por lo menos, por un psicólogo, un trabajador social y un nutricionista, entre otros, sus conceptos tendrán el carácter de dictamen pericial.
El actor principal de estas dependencias es el Defensor de Familia, quien será por excelencia el director del procedimiento administrativo de restablecimiento de derechos y sus providencias para todos los efectos serán tenidas como actos administrativos. Igualmente intervendrá en interés del niño, niña o adolescente, para promover las acciones pertinentes en los asuntos judiciales y extrajudiciales de familia; sin perjuicio de la presentación legal y judicial que corresponda.
Equipo Técnico Interdisciplinario: El Defensor de Familia debe contar con un equipo técnico interdisciplinario que está integrado por lo menos por un psicólogo, un trabajador social y un nutricionista.
Las funciones principales son:
a) Verificar la garantía de derechos de los niños, las niñas y los adolescentes.
b) Emitir el concepto de Verificación de estado de cumplimiento de derechos junto con el Defensor de Familia.
c) Emitir conceptos integrales sobre la situación de derechos de los niños, niñas o adolescentes solicitados por la Autoridad competente.
d) Emitir dictámenes periciales.</t>
  </si>
  <si>
    <t xml:space="preserve">Defensorías de Familias: El Instituto Colombiano de Bienestar Familiar, cuenta con unas dependencias multidisciplinarias, encargadas de prevenir, garantizar y restablecer los derechos de los niños, niñas y adolescentes, denominadas Defensorías de Familia, las cuales cuentan con equipos técnicos interdisciplinarios integrados por lo menos, por un psicólogo, un trabajador social y un nutricionista, entre otros, sus conceptos tendrán el carácter de dictamen pericial.
El actor principal de estas dependencias es el Defensor de Familia, quien será por excelencia el director del procedimiento administrativo de restablecimiento de derechos y sus providencias para todos los efectos serán tenidas como actos administrativos. Igualmente intervendrá en interés del niño, niña o adolescente, para promover las acciones pertinentes en los asuntos judiciales y extrajudiciales de familia; sin perjuicio de la presentación legal y judicial que corresponda.
Equipo Técnico Interdisciplinario: El Defensor de Familia debe contar con un equipo técnico interdisciplinario que está integrado por lo menos por un psicólogo, un trabajador social y un nutricionista.
Las funciones principales son:
a) Verificar la garantía de derechos de los niños, las niñas y los adolescentes.
b) Emitir el concepto de Verificación de estado de cumplimiento de derechos junto con el Defensor de Familia.
c) Emitir conceptos integrales sobre la situación de derechos de los niños, niñas o adolescentes solicitados por la Autoridad competente.
d) Emitir dictámenes periciales.
Ruta de actuaciones especiales en el proceso de restablecimiento de Derechos con enfoque diferencial y poblacional: El Articulo 50 del Código de la Infancia y la Adolescencia, Ley 1098 de 2006, define el Restablecimiento de Derechos de los niños, niñas y adolescentes, como la restauración de su dignidad e integridad como sujetos y de la capacidad para hacer un ejercicio efectivo de los derechos que le han sido vulnerados; en cuanto a niños, niñas y adolescentes que pertenecen a grupos étnicos el mismo código en su artículo 13 menciona que estos gozarán de los derechos consagrados en el Constituticón Política , los instrumentos internacinales de Derechos Humanos y el presente código sin prejuicio de los principios que rigen sus culturas y organización social. Así mismo la H. Corte Constitucional a través de la sentencia T-002 de 2012 ratificó que “De acuerdo al principio del interés superior del niño indígena se constata que existen una serie de normas de rango internacional, legal, administrativo, así como decisiones jurisprudenciales, que indican que cuando se trate de procesos jurisdiccionales o administrativos en donde esté involucrado un niño indígena, se deben proteger conjuntamente sus derechos individuales con los derechos colectivos a la identidad cultural y a su identidad étnica”. </t>
  </si>
  <si>
    <t>Para el cumplimiento de la meta se tendrá en cuenta el avance realizado durante la vigencia 2014, debido a que al definir la línea base se tuvo  las capacitaciones brindadas a los 20 municipios  en las rutas de atención integral para el restablecimiento de derechos de la menor de 14 años embarazada.</t>
  </si>
  <si>
    <t>Proceso Administrativo de Restablecimiento de Derechos: Es el trámite administrativo oral y concentrado, que debe definirse en el término máximo de cuatro (4) meses, prorrogable por una sola vez por dos (2) meses más. Su debate procesal se realiza en una única audiencia en la que se practican las pruebas, se trasladan a las partes y se profiere el respectivo fallo. Este proceso se encuentra desarrollado en los Arts. 99 y siguientes de la Ley 1098 de 2006.</t>
  </si>
  <si>
    <t>Gestión Adopciones</t>
  </si>
  <si>
    <t>Nota Fuente Numerador: Las Regionales ICBF registran en el Sistema de Información Misional  SIM la asignación de familia de los niños, niñas y adolescentes  mediante la opción “Registrar Sesión de Comité de Adopción”, automáticamente se genera la actuación ADO-270 ASIGNACIÓN DE FAMILIA POR COMITÉ DE ADOPCIONES. - PRD_270 " CONSENTIMIENTO EN FIRME", - PRD_390 " EJECUTORIA FALLO ADOPTABILIDAD" y - PRD_385 " RESOLUCIÓN DE AUTORIZACIÓN PARA ADOPCIÓN".
Ampliación paso 3 numerador. Con asignación de familia registrada en la "Sesión de comité de adopción" dentro del periodo seleccionado del año 2013, en cada periodo de medición se acumula con el valor de anterior (genera automáticamente la actuación "ADO-270 ASIGNACIÓN DE FAMILIA POR COMITÉ DE ADOPCIONES").
* Las Defensorías de Familia ICBF registran en el Sistema de Información Misional SIM - "Modulo de beneficiarios" los niños, niñas y adolescentes con situación de adoptabilidad en firme, registrando alguna de las siguientes actuaciones: 1. PRD_270 " CONSENTIMIENTO EN FIRME", 2. PRD_390 " EJECUTORIA FALLO ADOPTABILIDAD", 3. PRD_385 " RESOLUCIÓN DE AUTORIZACIÓN PARA ADOPCIÓN". * En el detalle de la pantalla “Registrar Beneficiario” se debe definir si es un niño, niña y adolescente SIN características y necesidades especiales. En el módulo de Adopciones, en la Sesión de Comité se debe registrar la información tanto en “Asignar adopciones” como en “Niños, niñas y adolescentes presentados al comité“. SIN Características Especiales: niños menores de 8 años, sanos que no pertenezcan a grupos de hermanos.
2. Grupo de hermanos de dos integrantes sanos cuando el mayor sea menor de 8 años. 
Situación  de Adoptabilidad en firme: niños, niñas y adolescentes CON: consentimiento en firme para la adopción, declaratoria de adoptabilidad ejecutoriada ó autorización por parte del Defensor de Familia ejecutoriada.</t>
  </si>
  <si>
    <t>Características y necesidades especiales y posibilidad de adopción: Niños, niñas y adolescentes que por su condición de salud, edad o grupo de hermanos tienen la posibilidad de ser adoptados: 
1. Menores de 8 años de edad que presenten alguna condición de discapacidad física, mental y/o sensorial recuperable (ejemplos: pie equino, retraso  en el desarrollo, problemas respiratorios, paladar hendido, hipotiroidismo, cardiopatías congénitas, sífilis congénita, VIH asintomático). 
2. Sanos con edades entre 8 y 11 años de edad.
3. Pertenecen a un grupo de dos o más hermanos cuando alguno de ellos sea mayor de 7 años 
4. Pertenecen a un grupo de más de dos hermanos todos menores de 7 años.
Situación  de Adoptabilidad en firme: niños, niñas y adolescentes CON: consentimiento en firme para la adopción, declaratoria de adoptabilidad ejecutoriada ó autorización por parte del Defensor de Familia ejecutoriada.</t>
  </si>
  <si>
    <t>* Las regionales, Centros Zonales ICBF y/o IAPAS registran en el Sistema de Información Misional SIM la SENTENCIA DE ADOPCIÓN con la actuación ADO-440 y su correspondiente plantilla de Datos Adicionales. 
* Para efecto del indicador el periodo establecido comprende los Niños, niñas y adolescentes con sentencia de adopción en firme desde enero de 2010 hasta la fecha de corte.
* Las regionales, Centros Zonales ICBF y/o IAPAS registran en el Sistema de Información Misional SIM la SENTENCIA DE ADOPCIÓN con la actuación ADO-440 y su correspondiente plantilla de Datos Adicionales
* En el módulo de Adopciones, en la solicitud de Adopción de la petición de la familia se diligencia la pantalla SEGUIMIENTO POST ADOPCIÓN
(De acuerdo a lo estipulado en el LINEAMIENTO TÉCNICO PARA ADOPCIONES)
* Situación de Adoptabilidad en firme: niños, niñas y adolescentes CON: consentimiento en firme para la adopción, declaratoria de adoptabilidad ejecutoriada ó autorización por parte del Defensor de Familia ejecutoriada.</t>
  </si>
  <si>
    <t>SIM: El Sistema de Información Misional SIM, es una herramienta que sirve de apoyo a las acciones realizadas para la prestación de los servicios del ICBF, cuyo objetivo es facilitar el registro, la consolidación y el reporte de información local, regional y nacional de manera oportuna y confiable a partir de las necesidades que se originan en los procesos misionales del Instituto Colombiano de Bienestar Familiar.
Situación  de Adoptabilidad en firme: niños, niñas y adolescentes CON: consentimiento en firme para la adopción, declaratoria de adoptabilidad ejecutoriada ó autorización por parte del Defensor de Familia ejecutoriada.
Trámite de Proceso Administrativo de Restablecimiento de Derechos: Cuando del concepto de estado de cumplimiento de derechos del niño, niña o adolescente se determine la situación de vulneración, amenaza o inobservancia de uno de los derechos de protección consagrados en el artículo 20 de la Ley 1098 de 2006, la autoridad administrativa, de manera inmediata, dará apertura al Proceso Administrativo de Restablecimiento de Derechos y procederá de conformidad con lo establecido en el artículo 99 y subsiguientes del Código de Infancia y Adolescencia o, de ser necesario, de conformidad con lo previsto por el artículo 106 ibídem .</t>
  </si>
  <si>
    <t>Gestión Responsabilidad Penal</t>
  </si>
  <si>
    <t>Sistema de Responsabilidad Penal: Es el conjunto de principios, normas, procedimientos, autoridades judiciales especializadas y entes administrativos que intervienen
en la investigación y juzgamiento de los delitos cometidos por personas que tengan entre 14 y 18 años. 
El Código busca establecer medidas de carácter pedagógico, privilegiando el interés superior del niño y garantizando la justicia restaurativa, la verdad y la reparación del daño.
Reiteración del Delito: Repetición de la situación de infracción a la ley por parte de un adolescente, ya sea en la misma situación o una de mayor o menor gravedad.</t>
  </si>
  <si>
    <t>Total de niños y niñas, hijos de mujeres con bajo peso durante la gestación que recibieron atención en la modalidad de Recuperación Nutricional con Énfasis en los Primeros 1.000 días, que nacieron con peso adecuado para la edad gestacional / Total de niños y niñas nacidos, hijos de mujeres con bajo peso durante la gestación que recibieron atención en la modalidad de Recuperación Nutricional con Énfasis en los Primeros 1.000 Días</t>
  </si>
  <si>
    <t>Evaluar el efecto sobre el estado nutricional de los niños y niñas que ingresan con desnutrición aguda, aguda severa o riesgo de desnutrición aguda, desnutrición global y  global severa, atendidos en la modalidad de Recuperación Nutricional con Énfasis en los Primeros 1.000 Días al final de los seis (6) meses de permanencia en esta modalidad.</t>
  </si>
  <si>
    <t>Total de niños y niñas menores de 5 años atendidos en la modalidad  Recuperación Nutricional con Énfasis en los Primeros 1.000 Días que mejoran su estado nutricional  al final de los seis (6) meses de permanencia / Total de niños y niñas menores de 5 años que ingresan a la modalidad de Recuperación Nutricional con Énfasis en los Primeros 1.000 Días con seis (6) meses de permanencia</t>
  </si>
  <si>
    <t>Total de niños y niñas menores de 5 años atendidos en la modalidad  Recuperación Nutricional con Énfasis en los Primeros 1.000 Días que mejoran su estado nutricional  al final de los seis (6) meses de permanencia</t>
  </si>
  <si>
    <t>Total de niños y niñas menores de 5 años que ingresan a la modalidad de Recuperación Nutricional con Énfasis en los Primeros 1.000 Días con seis (6) meses de permanencia</t>
  </si>
  <si>
    <t>Medir el efecto la modalidad FAMI y CDI Modalidad Familiar en relación con la promoción de la lactancia materna exclusiva hasta los 6 meses de edad.</t>
  </si>
  <si>
    <t>No.  de niños y niñas entre 6 meses y dos años atendidos en la modalidad FAMI y CDI Modalidad Familiar que recibieron lactancia materna exclusiva hasta los 6 meses de edad. / Total niños y niñas entre 6 meses y 2 años atendidos en  la modalidad FAMI y CDI Modalidad Familiar</t>
  </si>
  <si>
    <t>No.  de niños y niñas entre 6 meses y dos años atendidos en la modalidad FAMI y CDI Modalidad Familiar que recibieron lactancia materna exclusiva hasta los 6 meses de edad.</t>
  </si>
  <si>
    <t>Total niños y niñas entre 6 meses y 2 años atendidos en  la modalidad FAMI y CDI Modalidad Familiar</t>
  </si>
  <si>
    <t xml:space="preserve">Medir el efecto la modalidad FAMI y CDI Modalidad Familiar en relación con la promoción de la lactancia materna exclusiva hasta los 6 meses de edad. </t>
  </si>
  <si>
    <t xml:space="preserve">Numero   </t>
  </si>
  <si>
    <t>Mediana de la duración en meses de la lactancia materna exclusiva en niños y niñas de 6 meses a 2 años pertenecientes a la modalidad FAMI y CDI Modalidad Familiar / Estandar historico de meses promedio de lactancia materna</t>
  </si>
  <si>
    <t>Mediana de la duración en meses de la lactancia materna exclusiva en niños y niñas de 6 meses a 2 años pertenecientes a la modalidad FAMI y CDI Modalidad Familiar</t>
  </si>
  <si>
    <t>Microfocalizar a Niñas y Niños menores de 5 años y mujeres gestantes sin atención con el fin de vincular a la Modalidad según las necesidades.</t>
  </si>
  <si>
    <t>Total de niños y niñas menores de 5 años y mujeres gestantes identificados sin atención y vinculados a una modalidad de apoyo alimentario / Total de niños y niñas menores de 5 años y mujeres gestantes Microfocalizados en los Municipios priorizados por el plan.</t>
  </si>
  <si>
    <t>Total de niños y niñas menores de 5 años y mujeres gestantes identificados sin atención y vinculados a una modalidad de apoyo alimentario</t>
  </si>
  <si>
    <t>Total de niños y niñas menores de 5 años y mujeres gestantes Microfocalizados en los Municipios priorizados por el plan.</t>
  </si>
  <si>
    <t xml:space="preserve">Determinar el numero de Servidores Públicos, contratistas y Agentes del Sistema Nacional de Bienestar Familiar capacitados en herramientas técnicas de Seguridad Alimentaria y Nutricional. </t>
  </si>
  <si>
    <t>No.  Servidores Públicos, contratistas y Agentes del Sistema Nacional de Bienestar Familiar capacitados en herramientas técnicas de Seguridad Alimentaria y Nutricional.  / No.  Servidores Públicos, contratistas y Agentes del Sistema Nacional de Bienestar Familiar programados a capacitar en herramientas técnicas de Seguridad Alimentaria y Nutricional para la vigencia</t>
  </si>
  <si>
    <t xml:space="preserve">Medir el número de entes Territoriales con asesoría técnica para el desarrollo de las acciones propias de la Política de Seguridad Alimentaria y Nutricional. </t>
  </si>
  <si>
    <t>No.  de Entes Territoriales con asesoría técnica en las acciones propias de la Política de Seguridad Alimentaria y Nutricional / No.  de Entes Territoriales priorizados para asesoría técnica en las acciones propias de la Política de Seguridad Alimentaria y Nutricional</t>
  </si>
  <si>
    <t>Niños y niñas que mejoraron su estado Nutricional que se encuentran en la Estrategia de Recuperación Nutricional</t>
  </si>
  <si>
    <t>Evaluar el efecto de seis (6) meses de atención en la modalidad de Recuperación Nutricional con Énfasis en los Primeros 1.000 Días sobre el estado nutricional de las mujeres gestantes que ingresan con bajo peso para la edad gestacional y madres en periodo de lactancia que ingresan con bajo peso.</t>
  </si>
  <si>
    <t>Total de mujeres gestantes y madres en periodo de lactancia atendidas en la modalidad  Recuperación Nutricional con Énfasis en los Primeros 1.000 Días que mejoran su estado nutricional al final de los seis (6) meses de permanencia. / Total de mujeres gestantes que ingresan a la modalidad de Recuperación Nutricional con Énfasis en los Primeros 1.000 Días con seis (6) meses de permanencia</t>
  </si>
  <si>
    <t>Total de mujeres gestantes y madres en periodo de lactancia atendidas en la modalidad  Recuperación Nutricional con Énfasis en los Primeros 1.000 Días que mejoran su estado nutricional al final de los seis (6) meses de permanencia.</t>
  </si>
  <si>
    <t>Total de mujeres gestantes que ingresan a la modalidad de Recuperación Nutricional con Énfasis en los Primeros 1.000 Días con seis (6) meses de permanencia</t>
  </si>
  <si>
    <t xml:space="preserve">SIM  / Beneficiarios - Base de Datos RUI - F2.PR2.MPM5.P3 Reporte Mensual de Novedades SRPA  V1 – Valija </t>
  </si>
  <si>
    <t>Para este indicador se tiene tres fuentes de información
1. Población de adoptabilidad SIM: Sistema de Información Misional en el módulo de beneficiarios " Número de NNA mayores de 15 años, declarados en adoptabilidad, sin discapacidad con Proyecto de vida definido".
2. Población Desvinculados: Base de Datos RUI a cargo de la subdirección de restablecimiento de derechos.
3. Población SRPA: Base de datos en Excel a cargo de la subdirección de Responsabilidad Penal para Adolescentes F2.PR2.MPM5.P3 Reporte Mensual de Novedades SRPA  V1 – Valija
Dado lo  anterior la periodicidad se realiza trimestralmente. 
Para el cálculo de este indicador no se tienen en cuenta los Adolescentes y Jóvenes, que se encuentren vinculados a procesos de adopción de hijo de conyugue o consanguíneo.</t>
  </si>
  <si>
    <t xml:space="preserve">La información se obtiene de los datos registrados en el SIM desde la implantación del sistema en Junio de 2010 y la migrada de casos activos del T36 hasta esa fecha.
Para la generación del denominador se tendrán en cuenta  las peticiones que tengan PARD registrado en el primer semestre del ultimo año respecto a la fecha de corte.
Se excluyen los procesos con prorroga otorgada verifincado las actuaciones PRD 360, PRD 370  y  aquellos donde el motivo de Ingreso sea “Sistema de Responsabilidad Penal para Adolescentes” y “Reingreso/Reincidencia”. </t>
  </si>
  <si>
    <t xml:space="preserve">Base de datos BANCO AGRARIO - COBRADAS   </t>
  </si>
  <si>
    <t>Base de datos PATDH - COLOCACIONES</t>
  </si>
  <si>
    <t>Identificar los niños, niñas y adolescentes ubicados en la modalidad de hogar sustituto o medio Institucional Internado, que tienen altas permanencias en su ubicación, realizando una medición más efectiva con una única fuente de información y  evaluando los datos  sobre el total de beneficiarios ubicados en las modalidades</t>
  </si>
  <si>
    <t xml:space="preserve">La medición se hace teniendo como fuente de información los procesos registrados en el SIM. 
Para identificar en el sistema los dos ingresos, se verifica que el beneficiario tenga registrada una petición reciente con PARD abierto en el último mes y una petición anterior con Reintegro Familiar (PRD_665) o que dentro de una misma petición se registre una reapertura de proceso en el último mes y que sea posterior a un reintegro familiar. 
Del denominador se excluirá aquellos donde el motivo de Ingreso sea “Sistema de Responsabilidad Penal para Adolescentes” y “Reingreso/Reincidencia”. </t>
  </si>
  <si>
    <t xml:space="preserve">Se realizarán las siguientes validaciones:
Número de peticiones de beneficiarios que  tienen registrada la actuación PRD_425 DEVUELTO POR COMITÉ o la actuación ADO_530 PROCESO DEVUELTO POR COMITE DE ADOPCIONES durante el ultimo trimestre del año 2014 y  la vigencia 2015,  y  posteriormente se encuentre registrada alguna de las siguientes actuaciones: 
• PRD_423 PRESENTADO A COMITÉ DE ADOPCIONES (generada automáticamente al presentarlo a comité de adopciones sin asignación desde la sesión de comité de adopciones – modulo adopciones) ó 
• PRD_665 REINTEGRO FAMILIAR
Nota: Para el reporte del primer trimestre de la vigencia evaluada,  en el denominador se incluiran los casos pendientes de resolver en el último trimestre del año anterior.
Del denominador se excluirán  aquellos beneficiarios donde el motivo de Ingreso sea “Sistema de Responsabilidad Penal para Adolescentes” y “Reingreso/Reincidencia </t>
  </si>
  <si>
    <t xml:space="preserve">Informe de capacitación de Autoridades Administrativas y Equipos Técnicos Interdisciplinarios - Coordinación Autoridades Administrativas </t>
  </si>
  <si>
    <t>Informe  de  Capacitación - Defensores de Familias  y Equipos Técnicos Interdisciplinarios - Restablecimiento de Derechos</t>
  </si>
  <si>
    <t>Numero de municipios focalizados para asistencia técnica</t>
  </si>
  <si>
    <t xml:space="preserve">Informe de Asistencia Técnica y acompañamiento a los municipios </t>
  </si>
  <si>
    <t>SIM/ Beneficiarios  - Adopciones - Actas de comité  de Adopciones</t>
  </si>
  <si>
    <r>
      <rPr>
        <b/>
        <sz val="8"/>
        <rFont val="Calibri Light"/>
        <family val="2"/>
        <scheme val="major"/>
      </rPr>
      <t>Instrucciones de Registro  y cálculo del Numerador:</t>
    </r>
    <r>
      <rPr>
        <sz val="8"/>
        <rFont val="Calibri Light"/>
        <family val="2"/>
        <scheme val="major"/>
      </rPr>
      <t xml:space="preserve">
Las Regionales ICBF registran en SIM la asignación de familia de los niños, niñas y adolescentes  mediante la  opción “Registrar Sesión de Comité de Adopción”, automáticamente se genera la actuación ADO-270  ASIGNACIÓN DE FAMILIA POR COMITÉ DE ADOPCIONES 
Para el cálculo del numerador se toma en cuenta el total de niños, niñas y adolescentes  que cumplan las siguientes condiciones:
1. En situación de adoptabilidad en firme,  por consentimiento o por autorización, que se le haya registrado alguna de las siguientes actuaciones: 
     - PRD_270 " CONSENTIMIENTO EN FIRME".
     - PRD_390 " EJECUTORIA FALLO ADOPTABILIDAD".
     - PRD_385 " RESOLUCIÓN DE AUTORIZACIÓN PARA ADOPCIÓN".
2. SIN características especiales (Ver definición de términos)
3. Con  asignación de familia registrada en la "Sesión de comité de adopción" dentro del periodo seleccionado del año 2013, en cada periodo de medición se acumula con el valor de anterior (genera automáticamente la actuación "ADO-270  ASIGNACIÓN DE FAMILIA POR COMITÉ DE ADOPCIONES").
</t>
    </r>
    <r>
      <rPr>
        <b/>
        <sz val="8"/>
        <rFont val="Calibri Light"/>
        <family val="2"/>
        <scheme val="major"/>
      </rPr>
      <t>Instrucciones de Registro  del Denominador:</t>
    </r>
    <r>
      <rPr>
        <sz val="8"/>
        <rFont val="Calibri Light"/>
        <family val="2"/>
        <scheme val="major"/>
      </rPr>
      <t xml:space="preserve">
Las Defensorías de Familia ICBF registran en el Sistema de Información Misional SIM - "Modulo de beneficiarios"  los niños, niñas y adolescentes con situación de adoptabilidad en firme,  por consentimiento o por autorización  registrando alguna de las siguientes actuaciones:
1. PRD_270 " CONSENTIMIENTO EN FIRME"
2. PRD_390 " EJECUTORIA FALLO ADOPTABILIDAD"
3. PRD_385 " RESOLUCIÓN DE AUTORIZACIÓN PARA ADOPCIÓN".
En el detalle de la pantalla “Registrar Beneficiario” se debe definir si es un  niño, niña y adolescente SIN Características y necesidades especiales, (menor de ocho (8) años SIN discapacidad o enfermedad de cuidado especial)
En el módulo de Adopciones, en la Sesión de Comité se debe registrar la información tanto en “Asignar adopciones” como en “NNA presentados al comité”  (para los beneficiaros sin asignación)</t>
    </r>
  </si>
  <si>
    <t>Identificar el número de niños, niñas y adolescentes en situación de adoptabilidad en firme,  por consentimiento o por autorización, SIN características especiales, que se les ha restablecido el derecho de tener una familia</t>
  </si>
  <si>
    <t>MPM5-P2</t>
  </si>
  <si>
    <t>C-320-1504-7</t>
  </si>
  <si>
    <t>Número de niños, niñas y adolescentes en situación de adoptabilidad en firme, por consentimiento o por autorización, SIN características especiales presentados a comité de adopciones con familia asignada. / Número de niños, niñas y adolescentes  en situación de adoptabilidad en firme,  por consentimiento o por autorización, SIN características especiales presentados a comité de adopciones.</t>
  </si>
  <si>
    <t>Número de niños, niñas y adolescentes en situación de adoptabilidad en firme, por consentimiento o por autorización, SIN características especiales presentados a comité de adopciones con familia asignada.</t>
  </si>
  <si>
    <t>Número de niños, niñas y adolescentes  en situación de adoptabilidad en firme,  por consentimiento o por autorización, SIN características especiales presentados a comité de adopciones.</t>
  </si>
  <si>
    <t>Identificar  el número de niños, niñas y adolescentes que luego de haber sido reintegrados a su medio familiar, ingresan nuevamente a un Proceso Administrativo de Restablecimiento de Derechos PARD.</t>
  </si>
  <si>
    <t xml:space="preserve">Resultado </t>
  </si>
  <si>
    <t>MPM5-P1</t>
  </si>
  <si>
    <t>Número de niños, niñas y adolescentes que ingresan  en el mes evaluado a  Proceso Administrativo de Restablecimiento de Derechos PARD /  Número de niñas, niños y adolescentes que han sido reintegrados a su medio familiar en el marco de un Proceso Administrativo de Restablecimiento de Derechos PARD en el último año</t>
  </si>
  <si>
    <t>Número de niños, niñas y adolescentes que ingresan  en el mes evaluado a  Proceso Administrativo de Restablecimiento de Derechos PARD</t>
  </si>
  <si>
    <t xml:space="preserve"> Número de niñas, niños y adolescentes que han sido reintegrados a su medio familiar en el marco de un Proceso Administrativo de Restablecimiento de Derechos PARD en el último año</t>
  </si>
  <si>
    <t>SIM - Modulo Beneficiarios</t>
  </si>
  <si>
    <t>Identificar el número  de casos de niños, niñas y adolescentes resueltos, luego de ser devueltos por el comité de adopciones.</t>
  </si>
  <si>
    <t>Número de casos de niños, niñas y adolescentes resueltos, reintegrados al medio familiar o presentados nuevamente a comité de adopciones. / Total de casos de niños, niñas y adolescentes en situación de adoptabilidad en firme, o por consentimiento o por autorización, devueltos por el comité de adopciones.</t>
  </si>
  <si>
    <t>Número de casos de niños, niñas y adolescentes resueltos, reintegrados al medio familiar o presentados nuevamente a comité de adopciones.</t>
  </si>
  <si>
    <t>Total de casos de niños, niñas y adolescentes en situación de adoptabilidad en firme, o por consentimiento o por autorización, devueltos por el comité de adopciones.</t>
  </si>
  <si>
    <t xml:space="preserve"> Sistema de Información Misional SIM/ Beneficiarios</t>
  </si>
  <si>
    <t>Identificar el número  niños, niñas, adolescentes y mayores de 18 años con discapacidad, que son atendidos en protección del ICBF.</t>
  </si>
  <si>
    <t>Número de  niños, niñas, adolescentes y mayores de 18 años con discapacidad atendidos en situación de inobservancia, amenaza o vulneración de sus derechos (Beneficiarios atendidos) / Total de niños, niñas, adolescentes y mayores de 18 años con discapacidad en situación de inobservancia, amenaza o vulneración de sus derechos (Beneficiarios programados)</t>
  </si>
  <si>
    <t>Número de  niños, niñas, adolescentes y mayores de 18 años con discapacidad atendidos en situación de inobservancia, amenaza o vulneración de sus derechos (Beneficiarios atendidos)</t>
  </si>
  <si>
    <t>Total de niños, niñas, adolescentes y mayores de 18 años con discapacidad en situación de inobservancia, amenaza o vulneración de sus derechos (Beneficiarios programados)</t>
  </si>
  <si>
    <t>SIM - Sistema de Información Misional / Modulo Metas Sociales y  Financieras</t>
  </si>
  <si>
    <t>Identificar el número de familias vinculadas al programa UNAFA que egresan posterior de realizar las cuatro fases  del programa y cumplen los objetivos del mismo.</t>
  </si>
  <si>
    <t xml:space="preserve">Anual </t>
  </si>
  <si>
    <t>Número de familias con personas con discapacidad  en situación de vulnerabilidad (SISBEN bajo criterio de inclusión determinados por el ICBF) que egresaron del programa UNAFA por cumplimiento de objetivos). / Número de familias con personas con discapacidad  en situación de vulnerabilidad (SISBEN bajo criterio de inclusión determinados por el ICBF) que se vincularon al programa UNAFA durante los dos últimos años.</t>
  </si>
  <si>
    <t>Número de familias con personas con discapacidad  en situación de vulnerabilidad (SISBEN bajo criterio de inclusión determinados por el ICBF) que egresaron del programa UNAFA por cumplimiento de objetivos).</t>
  </si>
  <si>
    <t>Número de familias con personas con discapacidad  en situación de vulnerabilidad (SISBEN bajo criterio de inclusión determinados por el ICBF) que se vincularon al programa UNAFA durante los dos últimos años.</t>
  </si>
  <si>
    <t>Base de datos del programa - Unidades de Apoyo y Fortalecimiento Familiar -UNAFA</t>
  </si>
  <si>
    <t>Determinar el nivel de ejecución presupuestal  de las obligaciones acumuladas durante  la vigencia para el proyecto de inversión de Protección.</t>
  </si>
  <si>
    <t>Presupuesto ejecutado (obligaciones acumuladas de la vigencia) / Total del presupuesto asignado como proyecto de inversión de Protección de la vigencia evaluada.</t>
  </si>
  <si>
    <t>Presupuesto ejecutado (obligaciones acumuladas de la vigencia)</t>
  </si>
  <si>
    <t>Total del presupuesto asignado como proyecto de inversión de Protección de la vigencia evaluada.</t>
  </si>
  <si>
    <t>SIIF - NACION Módulo de Reportes</t>
  </si>
  <si>
    <t>Determinar el porcentaje de procesos administrativos de restablecimiento de derechos que se remitieron a juzgado de familia por pérdida de competencia.</t>
  </si>
  <si>
    <t>Número de procesos administrativos de restablecimiento de derechos remitidos a Juzgado de Familia por perdida de competencia a la fecha de corte / Número de procesos administrativos de restablecimiento de derechos con más de 180 días sin situación legal definida a la fecha de corte</t>
  </si>
  <si>
    <t>Número de procesos administrativos de restablecimiento de derechos remitidos a Juzgado de Familia por perdida de competencia a la fecha de corte</t>
  </si>
  <si>
    <t>Número de procesos administrativos de restablecimiento de derechos con más de 180 días sin situación legal definida a la fecha de corte</t>
  </si>
  <si>
    <t xml:space="preserve">Sistema de Información Misional SIM/ Beneficiarios </t>
  </si>
  <si>
    <t>Determinar el porcentaje de niños, niñas y adolescentes  con auto de apertura de investigación superior a 180 días,  a los cuales no se les ha definido su situación legal y no se han sido remitido a juzgado de familia por pérdida de competencia. Adicionalmente se requiere identificar los procesos donde transcurrido el termino de la ejecutoria no se tiene evidencia de la misma.</t>
  </si>
  <si>
    <t xml:space="preserve">Niños, niñas y adolescentes con auto de apertura de investigación que llevan más de 180 días sin situación legal definida con fallos ejecutoriados.  / Número de niños, niñas adolescentes con PARD abierto  sin situación legal definida o sin los respectivos fallos ejecutoriados, a la fecha de corte. </t>
  </si>
  <si>
    <t xml:space="preserve">Niños, niñas y adolescentes con auto de apertura de investigación que llevan más de 180 días sin situación legal definida con fallos ejecutoriados. </t>
  </si>
  <si>
    <t xml:space="preserve">Número de niños, niñas adolescentes con PARD abierto  sin situación legal definida o sin los respectivos fallos ejecutoriados, a la fecha de corte. </t>
  </si>
  <si>
    <t>Determinar el porcentaje de  niños, niñas o adolescentes con Auto de apertura entre 121 y 180 días a los cuales no se les ha definido su situación legal, motivo por el cual se está en riesgo de perder competencia de estos casos. Adicionalmente se requiere identificar los procesos donde transcurrido el termino de la ejecutoria no se tiene evidencia de la misma.</t>
  </si>
  <si>
    <t xml:space="preserve">Niños, niñas y adolescentes  con auto de apertura de investigación  que llevan entre 121 y 180 días  sin situación legal definida con fallos ejecutoriados. / Número de niños, niñas adolescentes con PARD abierto  sin situación legal definida o sin los respectivos fallos ejecutoriados, a la fecha de corte. </t>
  </si>
  <si>
    <t>Niños, niñas y adolescentes  con auto de apertura de investigación  que llevan entre 121 y 180 días  sin situación legal definida con fallos ejecutoriados.</t>
  </si>
  <si>
    <t>Número de niños, niñas y adolescentes ubicados en la modalidad de hogar sustituto o medio Institucional Internado con más de doce meses de permanencia / Total de  niños, niñas y adolescentes ubicados en la modalidad de hogar sustituto o medio Institucional Internado</t>
  </si>
  <si>
    <t>Número de niños, niñas y adolescentes ubicados en la modalidad de hogar sustituto o medio Institucional Internado con más de doce meses de permanencia</t>
  </si>
  <si>
    <t>Total de  niños, niñas y adolescentes ubicados en la modalidad de hogar sustituto o medio Institucional Internado</t>
  </si>
  <si>
    <t xml:space="preserve">Sistema de Información Misional SIM </t>
  </si>
  <si>
    <t xml:space="preserve">Identificar el número de municipios que han recibido asistencia técnica y acompañamiento para la implementación de las rutas de atención integral para el Restablecimiento de Derechos de la menor de 14 años embarazada. </t>
  </si>
  <si>
    <t>Número de municipios con asistencia técnica y acompañamiento para la implementación de las rutas de atención integral para el restablecimiento de derechos de la menor de 14 años embarazada. / Numero de municipios focalizados para asistencia técnica</t>
  </si>
  <si>
    <t>Número de municipios con asistencia técnica y acompañamiento para la implementación de las rutas de atención integral para el restablecimiento de derechos de la menor de 14 años embarazada.</t>
  </si>
  <si>
    <t xml:space="preserve">Identificar el número de Defensores de Familias  y equipos técnicos interdisciplinarios, capacitados en la ruta de actuaciones especiales en el proceso de restablecimiento de Derechos con enfoque diferencial y población. </t>
  </si>
  <si>
    <t>Número  de Defensores de Familias  y Equipos Técnicos Interdisciplinarios, capacitados en la ruta de actuaciones especiales en el Proceso de Restablecimiento de Derechos con enfoque diferencial y población. / Total de Defensores de Familias  y Equipos técnicos interdisciplinarios</t>
  </si>
  <si>
    <t>Número  de Defensores de Familias  y Equipos Técnicos Interdisciplinarios, capacitados en la ruta de actuaciones especiales en el Proceso de Restablecimiento de Derechos con enfoque diferencial y población.</t>
  </si>
  <si>
    <t>Total de Defensores de Familias  y Equipos técnicos interdisciplinarios</t>
  </si>
  <si>
    <t>Identificar el número de Autoridades Administrativas y Equipos Técnicos Interdisciplinarios, capacitados en el proceso Administrativo de Restablecimiento de Derechos y temáticas afines.</t>
  </si>
  <si>
    <t>Número de Autoridades Administrativas y Equipos Técnicos Interdisciplinarios, capacitados en el proceso Administrativo de Restablecimiento de Derechos y temáticas afines / Total de Autoridades Administrativas y Equipos Técnicos Interdisciplinarios</t>
  </si>
  <si>
    <t>Número de Autoridades Administrativas y Equipos Técnicos Interdisciplinarios, capacitados en el proceso Administrativo de Restablecimiento de Derechos y temáticas afines</t>
  </si>
  <si>
    <t>Total de Autoridades Administrativas y Equipos Técnicos Interdisciplinarios</t>
  </si>
  <si>
    <t xml:space="preserve">Identificar el número de solicitudes de atención humanitaria cobradas en efectivo del programa de alimentación en la transición para hogares desplazados. </t>
  </si>
  <si>
    <t xml:space="preserve">Número de solicitudes de atención humanitaria cobradas en  efectivo del programa de alimentación en la transición para hogares desplazados / Número  total de solicitudes colocadas de atención humanitaria  del programa de alimentación en la transición para hogares desplazados </t>
  </si>
  <si>
    <t>Número de solicitudes de atención humanitaria cobradas en  efectivo del programa de alimentación en la transición para hogares desplazados</t>
  </si>
  <si>
    <t xml:space="preserve">Número  total de solicitudes colocadas de atención humanitaria  del programa de alimentación en la transición para hogares desplazados </t>
  </si>
  <si>
    <t>Cantidad  de niños, niñas y adolescentes, víctimas del desplazamiento forzado  con proceso de acompañamiento familiar por las unidades móviles para contribuir a la atención, asistencia, reparación integral y al restablecimiento de sus derechos. / Meta proyectada de atención de niños, niñas y adolescentes víctimas de desplazamiento forzado.</t>
  </si>
  <si>
    <t>Cantidad  de niños, niñas y adolescentes, víctimas del desplazamiento forzado  con proceso de acompañamiento familiar por las unidades móviles para contribuir a la atención, asistencia, reparación integral y al restablecimiento de sus derechos.</t>
  </si>
  <si>
    <t>Meta proyectada de atención de niños, niñas y adolescentes víctimas de desplazamiento forzado.</t>
  </si>
  <si>
    <t>RUUM (Registro Único de Unidades Móviles)</t>
  </si>
  <si>
    <t xml:space="preserve">Información del programa de Desplazados </t>
  </si>
  <si>
    <t xml:space="preserve"> Identificar el número  de niños, niñas, adolescentes y jóvenes víctimas de reclutamiento ilícito que se desvinculan de los grupos armados organizados al margen de la ley que egresan del programa especializado realizando sus fases y dando cumplimiento a los objetivos del mismo, egresando de este por los siguientes motivos: Referenciados a la Agencia Colombiana para la Reintegración (ACR), reintegro familiar, vida independiente y retiro voluntario con cumplimiento de objetivos. </t>
  </si>
  <si>
    <t>Número de niños, niñas, adolescentes y jóvenes víctimas de reclutamiento ilícito que se desvinculan de los grupos armados organizados al margen de la ley, que egresan del programa especializado cumpliendo los objetivos del mismo / Número de niños, niñas, adolescentes y jóvenes víctimas de reclutamiento ilícito que se desvinculan de los grupos armados organizados al margen de la ley, que egresan del programa especializado desde el inicio de la vigencia a la fecha de corte.</t>
  </si>
  <si>
    <t>Número de niños, niñas, adolescentes y jóvenes víctimas de reclutamiento ilícito que se desvinculan de los grupos armados organizados al margen de la ley, que egresan del programa especializado cumpliendo los objetivos del mismo</t>
  </si>
  <si>
    <t>Número de niños, niñas, adolescentes y jóvenes víctimas de reclutamiento ilícito que se desvinculan de los grupos armados organizados al margen de la ley, que egresan del programa especializado desde el inicio de la vigencia a la fecha de corte.</t>
  </si>
  <si>
    <t>Sistema de Información Programa Especializado y Registro Único de Información (RUI)</t>
  </si>
  <si>
    <t>Identificar el número de niños, niñas y adolescentes a los cuales se les resuelve su situación legal  dentro de los 120 días a partir del auto de apertura</t>
  </si>
  <si>
    <t>Número de niños, niñas y adolescentes con definición jurídica igual o menor a 120 días desde la fecha de apertura de Proceso Administrativo de Restablecimiento de Derechos PARD. / Total de niños, niñas y adolescentes con apertura de Proceso Administrativo de Restablecimiento de Derechos PARD en el último año desde la fecha de corte.</t>
  </si>
  <si>
    <t>Número de niños, niñas y adolescentes con definición jurídica igual o menor a 120 días desde la fecha de apertura de Proceso Administrativo de Restablecimiento de Derechos PARD.</t>
  </si>
  <si>
    <t>Total de niños, niñas y adolescentes con apertura de Proceso Administrativo de Restablecimiento de Derechos PARD en el último año desde la fecha de corte.</t>
  </si>
  <si>
    <t xml:space="preserve">SIM/ Beneficiarios </t>
  </si>
  <si>
    <t>Establecer el porcentaje de  adolescentes y Jóvenes mayores de 15 años, sin discapacidad, con declaratoria de adoptabilidad, desvinculados  de los grupos organizados al margen de la ley y/o vinculados al SRPA , cuentan con estudios de bachillerato terminado y están vinculados a proceso de formación como parte de su proceso de proyecto de vida.</t>
  </si>
  <si>
    <t>Adolescentes y jóvenes sin discapacidad mayores de 15 años, con declaratoria de adoptabilidad, desvinculados  de los grupos organizados al margen de la ley y/o vinculados al SRPA, con estudios de bachillerato terminado que estén vinculados a procesos de formación. / Total de adolescentes y jóvenes sin discapacidad mayores de 15 años con declaratoria de adoptabilidad, desvinculados  de los grupos organizados al margen de la ley y/o vinculados al SRPA, con estudios de bachillerato terminado.</t>
  </si>
  <si>
    <t>Adolescentes y jóvenes sin discapacidad mayores de 15 años, con declaratoria de adoptabilidad, desvinculados  de los grupos organizados al margen de la ley y/o vinculados al SRPA, con estudios de bachillerato terminado que estén vinculados a procesos de formación.</t>
  </si>
  <si>
    <t>Total de adolescentes y jóvenes sin discapacidad mayores de 15 años con declaratoria de adoptabilidad, desvinculados  de los grupos organizados al margen de la ley y/o vinculados al SRPA, con estudios de bachillerato terminado.</t>
  </si>
  <si>
    <r>
      <rPr>
        <b/>
        <sz val="8"/>
        <rFont val="Calibri Light"/>
        <family val="2"/>
        <scheme val="major"/>
      </rPr>
      <t>Instrucciones de Registro  y cálculo del Numerador:</t>
    </r>
    <r>
      <rPr>
        <sz val="8"/>
        <rFont val="Calibri Light"/>
        <family val="2"/>
        <scheme val="major"/>
      </rPr>
      <t xml:space="preserve">
Las Regionales ICBF registran en SIM la asignación de familia de los niños, niñas y adolescentes  mediante la  opción “Registrar Sesión de Comité de Adopción”, automáticamente se genera la actuación ADO-270  ASIGNACIÓN DE FAMILIA POR COMITÉ DE ADOPCIONES 
Para el cálculo del numerador se toma en cuenta el total de niños, niñas y adolescentes  que cumplan las siguientes condiciones:
1. Que se encuentren en situación de adoptabilidad en firme,  por consentimiento o por autorización, es decir,  se le haya registrado alguna de las siguientes actuaciones: 
     - PRD_270 " CONSENTIMIENTO EN FIRME".
     - PRD_390  " EJECUTORIA FALLO ADOPTABILIDAD".
     - PRD_385 " RESOLUCIÓN DE AUTORIZACIÓN PARA ADOPCIÓN". 
2. CON características y necesidades especiales y posibilidad de adopción (Ver definición de términos). 
3. Que se hayan presentado al comité de Adopciones 
4. Con  asignación de familia registrada en la "Sesión de comité de adopción" dentro del periodo seleccionado del año 2013, en cada periodo de medición se acumula con el valor de anterior (genera automáticamente la actuación "ADO-270  ASIGNACIÓN DE FAMILIA POR COMITÉ DE ADOPCIONES").
</t>
    </r>
    <r>
      <rPr>
        <b/>
        <sz val="8"/>
        <rFont val="Calibri Light"/>
        <family val="2"/>
        <scheme val="major"/>
      </rPr>
      <t>Instrucciones de Registro  y cálculo del Denominador:</t>
    </r>
    <r>
      <rPr>
        <sz val="8"/>
        <rFont val="Calibri Light"/>
        <family val="2"/>
        <scheme val="major"/>
      </rPr>
      <t xml:space="preserve">
Las Defensorías de Familia ICBF registran en el Sistema de Información Misional SIM - "Modulo de beneficiarios"  los niños, niñas y adolescentes con situación de adoptabilidad en firme,  por consentimiento o por autorización  registrando alguna de las siguientes actuaciones:
1. PRD_270 " CONSENTIMIENTO EN FIRME"
2. PRD_390 " EJECUTORIA FALLO ADOPTABILIDAD"
 3. PRD_385 " RESOLUCIÓN DE AUTORIZACIÓN PARA ADOPCIÓN".
En el detalle de la pantalla “Registrar Beneficiario” se debe definir si es un  niño, niña y adolescente SIN Características y necesidades especiales, (menor de ocho (8) años SIN discapacidad o enfermedad de cuidado especial)
En el módulo de Adopciones, en la Sesión de Comité se debe registrar la información tanto en “Asignar adopciones” como en “NNA presentados al comité”  (para los beneficiaros sin asignación)
Para el cálculo del denominador se toma en cuenta el total de niños, niñas y adolescentes que cumplan las siguientes condiciones:
1. Que se encuentren en situación de adoptabilidad en firme, por consentimiento o por autorización, es decir, que se le haya registrado alguna de las siguientes actuaciones: 
     - PRD_270 " CONSENTIMIENTO EN FIRME".
     - PRD_390  " EJECUTORIA FALLO ADOPTABILIDAD".
     - PRD_385 " RESOLUCIÓN DE AUTORIZACIÓN PARA ADOPCIÓN". 
2. CON características y necesidades especiales y posibilidad de adopción (Ver definición de términos). 
3. Que se hayan remitidos al comité de Adopciones (Actuación automática PRD_420 "REMISIÓN A COMITÉ DE ADOPCIONES")
4. Que se registren en la sesión de comité en "NNA presentados a comité" o "Asignar Familias" según corresponda</t>
    </r>
  </si>
  <si>
    <t>SIM/ Beneficiarios  - Adopciones</t>
  </si>
  <si>
    <r>
      <rPr>
        <b/>
        <sz val="8"/>
        <rFont val="Calibri Light"/>
        <family val="2"/>
        <scheme val="major"/>
      </rPr>
      <t>Instrucciones de Registro  y cálculo del Numerador:</t>
    </r>
    <r>
      <rPr>
        <sz val="8"/>
        <rFont val="Calibri Light"/>
        <family val="2"/>
        <scheme val="major"/>
      </rPr>
      <t xml:space="preserve">
Las regionales, Centros Zonales ICBF y/o IAPAS  registran en el Sistema de Información Misional SIM la SENTENCIA DE ADOPCIÓN con la actuación ADO-440  y su correspondiente plantilla de Datos Adicionales
En el módulo de Adopciones, en la solicitud de Adopción de la petición de la familia se diligencia la pantalla SEGUIMIENTO POST ADOPCIÓN 
(De acuerdo a lo estipulado en el LINEAMIENTO TÉCNICO PARA ADOPCIONES)
Para el cálculo del numerador se tiene en cuenta el total de los  niños, niñas y adolescentes  que a partir de la fecha de sentencia de adopción en firme,  cumplen con los informes de seguimiento post adopción requeridos de acuerdo al lineamiento.
</t>
    </r>
    <r>
      <rPr>
        <b/>
        <sz val="8"/>
        <rFont val="Calibri Light"/>
        <family val="2"/>
        <scheme val="major"/>
      </rPr>
      <t>Instrucciones de Registro  y cálculo del Denominador:</t>
    </r>
    <r>
      <rPr>
        <sz val="8"/>
        <rFont val="Calibri Light"/>
        <family val="2"/>
        <scheme val="major"/>
      </rPr>
      <t xml:space="preserve">
* Las regionales, Centros Zonales ICBF y/o IAPAS  registran en el Sistema de Información Misional SIM la SENTENCIA DE ADOPCIÓN con la actuación ADO-440 y su correspondiente plantilla de Datos Adicionales
Para el cálculo del denominador se tiene en cuenta el total de los Niños, niñas y adolescentes que cumplan las siguientes condiciones:
 - Con sentencia de adopción en firme registrada en el SIM 
 - Con tres o más meses transcurridos  desde la fecha de sentencia de adopción en firme 
 - La fecha de sentencia de adopción debe estar registrada en el SIM dentro del periodo establecido
Para efecto del indicador el periodo establecido comprende los niños, niñas y adolescentes con sentencia de adopción en firme desde enero  de 2010 hasta la fecha de corte. En el SIM se encuentra publicado el reporte "alerta seguimientos post adopción" que le permite a las regionales e instituciones identificar los seguimientos a vencer con un mes de anticipación.</t>
    </r>
  </si>
  <si>
    <t>Consolidado Semestral  del  F2.PR2.MPM5.P3  Reporte de Novedades SRPA  V2</t>
  </si>
  <si>
    <t>Identificar el porcentaje de adolescentes que incurren en la reiteración del delito, es decir, que vuelven a ingresar al Sistema de Responsabilidad Penal por cometer el mismo delito u otro diferente en cualquiera de los momentos del proceso incluyendo si han egresado.</t>
  </si>
  <si>
    <t>MPM5-P3</t>
  </si>
  <si>
    <t>Total de Adolescentes que ingresan al Sistema de Responsabilidad Penal, durante la vigencia actual.</t>
  </si>
  <si>
    <t>Identificar el número de Regionales que tienen implementados los servicios para el cumplimiento de sanciones no privativas de libertad y promover su fortalecimiento y ampliación de cobertura.</t>
  </si>
  <si>
    <t>Número de Regionales con la implementación de servicios para el cumplimiento de sanciones no privativas de libertad  / Total de Regionales que brindan servicio de atención del Sistema de Responsabilidad Penal del ICBF</t>
  </si>
  <si>
    <t xml:space="preserve">Número de Regionales con la implementación de servicios para el cumplimiento de sanciones no privativas de libertad </t>
  </si>
  <si>
    <t>Total de Regionales que brindan servicio de atención del Sistema de Responsabilidad Penal del ICBF</t>
  </si>
  <si>
    <t>Identificar el número de niños, niñas y adolescentes que luego de ser adoptados presentan un proceso Administrativo de Restablecimiento de Derechos activo o cerrado.</t>
  </si>
  <si>
    <t>Número de niños, niñas y adolescentes que  presentan Apertura de un Proceso Administrativo de Restablecimiento de Derechos PARD  / Total de niños, niñas y adolescentes con  sentencia de adopción en firme</t>
  </si>
  <si>
    <t xml:space="preserve">Número de niños, niñas y adolescentes que  presentan Apertura de un Proceso Administrativo de Restablecimiento de Derechos PARD </t>
  </si>
  <si>
    <t>Total de niños, niñas y adolescentes con  sentencia de adopción en firme</t>
  </si>
  <si>
    <t>Identificar el número de niños, niñas y adolescentes adoptados con informes de seguimiento post  adopción en el periodo establecido.</t>
  </si>
  <si>
    <t>Número de niños, niñas y adolescentes que a partir de la fecha de sentencia de adopción  en firme, cumplen con el número de informes de seguimiento post adopción en el periodo establecido. / Número de Niños, niñas y adolescentes con sentencia de adopción en firme en el periodo establecido</t>
  </si>
  <si>
    <t>Número de niños, niñas y adolescentes que a partir de la fecha de sentencia de adopción  en firme, cumplen con el número de informes de seguimiento post adopción en el periodo establecido.</t>
  </si>
  <si>
    <t>Número de Niños, niñas y adolescentes con sentencia de adopción en firme en el periodo establecido</t>
  </si>
  <si>
    <t>Identificar el número  de Niños, niñas y adolescentes en situación de adoptabilidad en firme,  por consentimiento o por autorización,  CON características y necesidades especiales y posibilidad de adopción presentados a comité de adopciones, que se les ha restablecido el derecho de tener una familia.</t>
  </si>
  <si>
    <t>Número de niños, niñas y adolescentes en situación de adoptabilidad  en firme,  por consentimiento o por autorización CON características y necesidades especiales y posibilidad de adopción presentados a comité de adopciones con familia asignada / Número  de niños, niñas y adolescentes en situación de adoptabilidad  en firme,  por consentimiento o por autorización, CON características y necesidades especiales y posibilidad de adopción presentados a comité de adopciones</t>
  </si>
  <si>
    <t>Número de niños, niñas y adolescentes en situación de adoptabilidad  en firme,  por consentimiento o por autorización CON características y necesidades especiales y posibilidad de adopción presentados a comité de adopciones con familia asignada</t>
  </si>
  <si>
    <t>Número  de niños, niñas y adolescentes en situación de adoptabilidad  en firme,  por consentimiento o por autorización, CON características y necesidades especiales y posibilidad de adopción presentados a comité de adopciones</t>
  </si>
  <si>
    <t>6. Lograr una adecuada y eficiente gestión institucional a través de la articulación entre servidores, áreas y niveles territoriales; el apoyo administrativo a los procesos misionales, la apropiación de una cultura de la evaluación y la optimización del uso de los recursos</t>
  </si>
  <si>
    <t>Gestión Humana</t>
  </si>
  <si>
    <t>La información del indicador debe cargarse los primeros 5 días habiles del mes siguiente al corte en el repositorio. Los resultados del indicador se dan de manera acumulada bimestre a bimestre.
En caso de que la Regional no cargue la información respectiva el indicador se reportará como N.R. No Reporta lo que es igual al 0% Critico.</t>
  </si>
  <si>
    <t>Porcentaje de Investigaciónes de Accidentes de Trabajo</t>
  </si>
  <si>
    <t>Sistema de Gestión de la Seguridad y Salud en el Trabajo  SG-SST: consiste en el desarrollo de un proceso lógico y por etapas basado en la mejora continua y que incluye la politica, la organización, la planificación, la aplicación, la evaluación, la auditoria y las acciones de mejora con el objetivo de anticipar, reconocer, evaluar y controlar los riesgos que puedan afectar la seguridad y la salud en el trabajo.
Actividades de SG-SST: hace referecias a las jorandas de sensibilización, capacitación, Actividades de prevención y promoción, talleres e inspecciones relacionados con el SG-SST dirigidos a los colaboradores de la Regional  y/o Sede de la Dirección General.
Colaborador: Persona que participa o trabaja en la consecución de un logro para el ICBF</t>
  </si>
  <si>
    <t>Porcentaje de cupos ejecutados en actividades de seguridad y salud en el trabajo</t>
  </si>
  <si>
    <t>A todas las actividades del plan de Bienestar se les debe realizar encuesta de Satisfacción, al 20% de los asistentes. F3 PR1 MPA1 P1 Encuesta por Actividad Bienestar Social v1.XLS</t>
  </si>
  <si>
    <t>Bienestar Social: Conjunto de factores que participan en la caliodad de vida de un colaborador ICBF permitiendo que ecista un equilibrio físico,  mental y de relaciones positivas con su entorno ecológico, social y laboral.
Plan de Bienestar: Documento dende se establecen las actividades que se llevarán acabo para dar respuesta a las necesidades colectivas de los cobaboradores ICBF.</t>
  </si>
  <si>
    <t>Asistencia para el fortalecimiento del SNBF para la prestación del servicio publico de bienestar familiar</t>
  </si>
  <si>
    <t>El primer corte va hasta el 25 de febrero, para los meses siguientes  va del día 25 de cada mes al 25 del siguiente mes
En este indicador solo se cuenta una sola vez los servidores de carrera y a provisionales.</t>
  </si>
  <si>
    <t>Porcentaje de cupos de Bienestar  ejecutados</t>
  </si>
  <si>
    <t>El reporte para el tercer trimestre no aplica debido a la Ley de Garantias a nivel Regional</t>
  </si>
  <si>
    <t>Planta permanente: Número de cargos permanentes aprobados para el funcionamiento de la Entidad.
Provisión: Son las distintas formas de ocupar un cargo de planta.
Vacante:Cargo existente en la planta no provisto.</t>
  </si>
  <si>
    <t>Porcentaje de vacantes cubiertas del  plan anual de vacantes de la vigencia actual</t>
  </si>
  <si>
    <t>El primer corte va hasta el 25 de abril para los meses siguientes  va del día 25 de cada mes al 25 del siguiente mes
En este indicador solo se cuenta una sola vez los servidores de carrera y a provisionales.</t>
  </si>
  <si>
    <t>Capacitación: conjunto de procesos organizados, relativos tanto a la educación no formal o educación para el trabajo y el desarrollo humano (ley 1064 de 2006) como la informal, de acuerdo con lo establecido por la Ley General de Educación (Ley 115 de 1994), dirigidos a prolongar y a complementar la educación inicial mediante la generación de conocimientos, el desarrollo de habilidades y el cambio de actitudes.
Competencia: es la capacidad de una persona para desempeñar, en diferentes contextos y con base en los requerimientos de calidad y resultados esperados en el sector público, las funciones inherentes a un empleo; capacidad que está determinada por los conocimientos (SABER), destrezas, habilidades, (HACER), valores, actitudes, (SER) y aptitudes (HACER) que depe poseer y demostrar el empleado.
PIC: Plan Institucional de Capacitación.: es  el conjunto coherente de acciones formativas en un período determinado de tiempo y encaminado a adoptar y perfeccionar las competencias necesarias para conseguir los objetivos establecidos y derivados del diagnóstico de problemas de capacitación.
Educación para el trabajo: conocimiento libre y espontáneamente adquirido, proveniente de personas, entidades, medios masivos de comunicación, medios impresos, tradiciones, costumbres, comportamientos sociales y otros no estructurados.</t>
  </si>
  <si>
    <t>Porcentaje de servidores públicos capacitados</t>
  </si>
  <si>
    <t>El primer corte va hasta el 25 de abril, para los meses siguientes  va del día 25 de cada mes al 25 del siguiente mes.
Cuando el evento de capacitación  pertenezca al componente de competencia HACER,  y tenga una duración igual o mayor a 6 horas se debe realizar la evaluación de eficacia al finalizar el evento para verificar la apropiacion de conocimientos.
Es obligación del área o responsable del evento, la aplicación de las evaluaciones de eficacia.
Se toman todas las evaluaciones de eficacia realizadas una vez se cierre el curso virtual.
En caso de no presentarse evaluaciones de eficacia en el Periodo se reportara N.A. No aplica.</t>
  </si>
  <si>
    <t>Porcentaje de eficacia de la  capacitación</t>
  </si>
  <si>
    <t>La información del indicador debe cargarse los primeros 5 días habiles del mes siguiente al corte en el repositorio.
En caso de que la Regional no cargue la información respectiva el indicador se reportará como N.R. No Reporta lo que es igual al 0% Critico.</t>
  </si>
  <si>
    <t xml:space="preserve">Inspección de seguridad: consisten en la observación detallada de áreas o puestos de trabajo ubicados dentro del ICBF, para identificar problemas que pueden afectar el desarrollo normal del mismo y coordinar su corrección.
La inspección de seguridad es una técnica utilizada internamente como parte de la prevención de accidentes y consiste en el análisis detallado de las condiciones de trabajo a fin de detectar los riesgos existentes debido a condiciones inseguras.
Areas a Inspeccionar:
Todas las áreas dentro las instalaciones del ICBF son susceptibles de ser inspeccionadas incluyendo:   • Zonas de almacenamiento temporal como bodegas, almacenes, cuartos de productos químicos, etc. • Áreas de archivo Talleres de mantenimiento • Zonas de circulación y áreas comunes • Sitios destinados a comidas • Oficinas • Parqueaderos • Áreas verdes. 
Temas de Inspecciones a realizar:
* Condiciones de Seguridad*vehiculos*biomecanicos*extintores y gabinetes de emergencia*botiquines y estaciones de emergencia.
Condición insegura: Cualquier situación o condicion física o ambiental,  capaz de producir un accidente de trabajo y/o enfermedad profesional. </t>
  </si>
  <si>
    <t>Auto Cuidado: Conjunto de actitudes y conductas que desarrolla una persona orientada a regular aspectos internos o externos que afectan o puedan comprometer su salud y bienestar físico y mental.
Encuesta: herramienta que recoge información sobre los habitos de los colaboradores en su lugar de trabajo.</t>
  </si>
  <si>
    <t>Colaborador: Persona natural vinculada con el ICBF mediante contrato de prestación de servicios y/o servidor público de planta (carrera, provisional, supernumerario, libre nombramiento)
Enfermedad común:  De acuerdo al artículo 12 del Decreto 1295 de 1994 es “Toda enfermedad o patología, accidente o muerte, que no hayan sido clasificados o calificados como de origen profesional"
Enfermedad laboral: De acuerdo al artículo  4° de la Ley 1562 de 2012 es enfermedad laboral la contraída como resultado de la exposición a factores de riesgo inherentes a la actividad laboral o del medio en el que el trabajador se ha visto obligado a trabajar. El Gobierno Nacional, determinará, en forma periódica, las enfermedades que se consideran como laborales y en los casos en que una enfermedad no figure en la tabla de enfermedades laborales, pero se demuestre la relación de causalidad con los factores de riesgo ocupacional será reconocida como enfermedad laboral, conforme lo establecido en las normas legales vigentes.
Accidente de trabajo: De acuerdo al artículo 3° de la Ley 1562 de 2012 es accidente de trabajo todo suceso repentino que sobrevenga por causa o con ocasión del trabajo, y que produzca en el trabajador una lesión orgánica, una perturbación funcional o psiquiátrica, una invalidez o la muerte.</t>
  </si>
  <si>
    <t>Planta permanente: Número de cargos permanentes aprobados para el funcionamiento de la Entidad.
Provisión: Son las distintas formas de ocupar un cargo de planta.</t>
  </si>
  <si>
    <t>Las etapas que deben ejecutar los PAE son:
1. Capacitación y sensibilización sobre el PAE (15%)
 2.Conformación PAE (20%)
3. Desarrollo de los PAE (40%)
4. Evaluación (25%)</t>
  </si>
  <si>
    <t>El proyecto de aprendizaje en equipo (PAE), es un conjunto de acciones programadas y desarrolladas por un grupo de empleados con diferentes experiencias que trabajan juntos para realizar proyectos relacionados con su realidad, solucionar problemas y construir nuevos conocimientos para resolver necesidades de aprendizaje y aportar soluciones a los problemas de su contexto laboral.</t>
  </si>
  <si>
    <t xml:space="preserve">Gestión  </t>
  </si>
  <si>
    <t>MPA1-P1</t>
  </si>
  <si>
    <t xml:space="preserve">Medir el porcentaje de ejecución de los  proyectos de aprendizaje en equipo </t>
  </si>
  <si>
    <t>C-310-300-2</t>
  </si>
  <si>
    <t>Número de etapas ejecutadas para la implementación de los Proyectos de Aprendizaje en Equipo en el período / Número de etapas programadas para la implementación de los Proyectos de Aprendizaje en Equipo en el período</t>
  </si>
  <si>
    <t>Número de etapas ejecutadas para la implementación de los Proyectos de Aprendizaje en Equipo en el período</t>
  </si>
  <si>
    <t>Número de etapas programadas para la implementación de los Proyectos de Aprendizaje en Equipo en el período</t>
  </si>
  <si>
    <t xml:space="preserve">Informe trimestral sobre los Proyectos de Aprendizaje en Equipo                                                                                        </t>
  </si>
  <si>
    <t>Cronograma de ejecución Proyectos de Aprendizaje en Equipo</t>
  </si>
  <si>
    <t>Medir el porcentaje de cargos  en la planta global del ICBF provistos.</t>
  </si>
  <si>
    <t>Número de cargos provistos en la planta global por periodo / Número total de cargos en planta global</t>
  </si>
  <si>
    <t>Número de cargos provistos en la planta global por periodo</t>
  </si>
  <si>
    <t>Número total de cargos en planta global</t>
  </si>
  <si>
    <t>Informe Registro y Control - Planta Global del ICBF con corte Trimestral</t>
  </si>
  <si>
    <t>Planta permanente  2/1/2015</t>
  </si>
  <si>
    <t>Porcentaje de colaboradores incapacitados por enfermedad común, laboral y/o accidente de trabajo</t>
  </si>
  <si>
    <t>Número de colaboradores incapacitados (enfermedad común, enfermedad laboral y/o accidente de trabajo) en el periodo  / No. Total de colaboradores de la Regional (personal de planta de y contrato directo)</t>
  </si>
  <si>
    <t xml:space="preserve">Número de colaboradores incapacitados (enfermedad común, enfermedad laboral y/o accidente de trabajo) en el periodo </t>
  </si>
  <si>
    <t>No. Total de colaboradores de la Regional (personal de planta de y contrato directo)</t>
  </si>
  <si>
    <t>Base de datos de la planta global, temporal y de contratistas.</t>
  </si>
  <si>
    <t>Medir el porcentaje de  colaboradores que han apropiado habitos de autocuidado en las actividades rutinarias de su trabajo, de acuerdo a los resultados de las encuestas de autocuidado diligenciadas</t>
  </si>
  <si>
    <t>Número de encuestas de autocuidado en colaboradores con resultados bueno y excelente / Número de encuestas de autocuidado diligenciadas</t>
  </si>
  <si>
    <t>Número de encuestas de autocuidado en colaboradores con resultados bueno y excelente</t>
  </si>
  <si>
    <t>Número de encuestas de autocuidado diligenciadas</t>
  </si>
  <si>
    <t>Consolidado de Encuestas de autocuidado</t>
  </si>
  <si>
    <t>Medir la proporción de condiciones no seguras corregidas derivadas de las inspecciones realizadas</t>
  </si>
  <si>
    <t>No. total de condiciones inseguras corregidas derivadas de las inspecciones realizadas / No. Total de condiciones identificadas en las inspecciones realizadas</t>
  </si>
  <si>
    <t>No. total de condiciones inseguras corregidas derivadas de las inspecciones realizadas</t>
  </si>
  <si>
    <t>No. Total de condiciones identificadas en las inspecciones realizadas</t>
  </si>
  <si>
    <t>Anexos PP3.MPA1.P1 Programa de Inspecciones de Seguridad v4</t>
  </si>
  <si>
    <t>Medir el Avance en el diseño y la implementación del Plan Estratégico de Gestión Humana</t>
  </si>
  <si>
    <t>LP3</t>
  </si>
  <si>
    <t>Gestión del talento humano</t>
  </si>
  <si>
    <t>LP3-C1</t>
  </si>
  <si>
    <t>Plan Estratégico de Recursos Humanos</t>
  </si>
  <si>
    <t>Informes trimestrales Plan Estratégico de Gestión Humana</t>
  </si>
  <si>
    <t>Plan Estratégico de Gestión Humana</t>
  </si>
  <si>
    <t>Medir la eficacia de las capacitaciones realizadas</t>
  </si>
  <si>
    <t>Sumatoria de los promedios de las  evaluaciones  de eficacia de las capacitaciones realizadas</t>
  </si>
  <si>
    <t>F1.PR2.MPA1.P1 Formato de seguimiento PIC  +  Datos escuela virtual</t>
  </si>
  <si>
    <t>Medir la proporción de servidores que se han capacitado durante el periodo</t>
  </si>
  <si>
    <t>LP3-C3</t>
  </si>
  <si>
    <t>Capacitación</t>
  </si>
  <si>
    <t>Número de servidores capacitados (sin repetidos) /  Número servidores</t>
  </si>
  <si>
    <t>Número de servidores capacitados (sin repetidos)</t>
  </si>
  <si>
    <t xml:space="preserve"> Número servidores</t>
  </si>
  <si>
    <t>F1.PR2.MPA1.P1 Formato de seguimiento PIC + datos de la escuela virtual.</t>
  </si>
  <si>
    <t>Planta Global ICBF 30/12/2014</t>
  </si>
  <si>
    <t xml:space="preserve"> Porcentaje de vacantes en la planta global provista</t>
  </si>
  <si>
    <t>Medir el porcentaje de vacantes provistas de la planta global del ICBF.</t>
  </si>
  <si>
    <t>LP3-C2</t>
  </si>
  <si>
    <t>Plan Anual de Vacantes</t>
  </si>
  <si>
    <t>Número de vacantes (30/12/2014) en la planta global provistas / Número total de cargos vacantes en la planta global (30/12/2014)</t>
  </si>
  <si>
    <t>Número de vacantes (30/12/2014) en la planta global provistas</t>
  </si>
  <si>
    <t>Número total de cargos vacantes en la planta global (30/12/2014)</t>
  </si>
  <si>
    <t>Informe provisión vacantes del Grupo de Registro y Control</t>
  </si>
  <si>
    <t>Planta Global con corte 30/12/2014</t>
  </si>
  <si>
    <t>Medir la proporción de servidores que se han participado en las actividades de bienestar durante el periodo</t>
  </si>
  <si>
    <t>LP3-C4</t>
  </si>
  <si>
    <t>Bienestar e Incentivos</t>
  </si>
  <si>
    <t>Número Servidores que participaron en las actividades de bienestar por periodo (sin repetidos) / Número total de servidores</t>
  </si>
  <si>
    <t>Número Servidores que participaron en las actividades de bienestar por periodo (sin repetidos)</t>
  </si>
  <si>
    <t>Número total de servidores</t>
  </si>
  <si>
    <t>F2 PR1 MPA1 P1 Formato Matriz de Seguimiento v8</t>
  </si>
  <si>
    <t>Planta Global + Planta Temporal ICBF</t>
  </si>
  <si>
    <t>Medir la satisfacción de los servidores en las actividades de Bienestar desarrolladas dentro del Plan de bienestar</t>
  </si>
  <si>
    <t>Sumatoria de las calificaciones de las encuestas de satisfacción en el período</t>
  </si>
  <si>
    <t>F2 PR1 MPA1 P1 Formato Matriz de Seguimiento v7</t>
  </si>
  <si>
    <t>Medir el porcentaje de cumplimiento de las actividades del Sistema de Gestión de la Seguridad y Salud en el Trabajo  SG-SST</t>
  </si>
  <si>
    <t>Número actividades ejecutadas en el periodo / No. actividades programadas en el  periodo</t>
  </si>
  <si>
    <t>Número actividades ejecutadas en el periodo</t>
  </si>
  <si>
    <t>No. actividades programadas en el  periodo</t>
  </si>
  <si>
    <t>F2 PR15 MPA1 P1 Reporte Indicador Cobertura Eje SYSO v1.xls</t>
  </si>
  <si>
    <t>Plan anual del SG-SST + Plan Anual ARL Positiva</t>
  </si>
  <si>
    <t>Gestión Financiera</t>
  </si>
  <si>
    <t>Programa Anual Mensualizado de Caja – PAC</t>
  </si>
  <si>
    <t>Porcentaje de ejecución de los obligaciones presupuestales establecidos en la vigencia</t>
  </si>
  <si>
    <t>Gestión Control interno Disciplinario</t>
  </si>
  <si>
    <t>Indicadores y metas de Gobierno</t>
  </si>
  <si>
    <t>Porcentaje de quejas discipliarias de vigencias anteriores tramitadas</t>
  </si>
  <si>
    <t xml:space="preserve">Porcentaje de quejas disciplinarias de la vigencia actual tramitadas </t>
  </si>
  <si>
    <t>Porcentaje de decisiones de Fondo en los procesos disciplinarios</t>
  </si>
  <si>
    <t>Porcentaje de decisiones de Fondo en procesos verbales</t>
  </si>
  <si>
    <t>dar tramite a quejas recibidas de las vigencias iguales a anteriores al 31/12/2014</t>
  </si>
  <si>
    <t>MPA1-P3</t>
  </si>
  <si>
    <t>Total de quejas rezagadas de los años 2013 y 2014</t>
  </si>
  <si>
    <t xml:space="preserve">Aplicativo SCAD  y expedientes físicos </t>
  </si>
  <si>
    <t>Aplicativo SCAD  y expedientes físicos</t>
  </si>
  <si>
    <t>Citaciones a Audiencias falladas</t>
  </si>
  <si>
    <t>Aplicativo (SCAD) y Expedientes</t>
  </si>
  <si>
    <t>Adelantar, gestionar e impulsar las actuaciones que cursan para proferir decisiones de fondo</t>
  </si>
  <si>
    <t>Sumatoria de las decisiones de fondo (Archivos + ID + Cargos + Fallos)</t>
  </si>
  <si>
    <t xml:space="preserve">Dar tramite al 20% de las quejas recibidas durante la vigencia 2015, teniendo en cuenta que existe un rezago de quejas de las vigencias 2013 y 2014 y de acuerdo a la Ley estas quejas deben ser tramitadas en orden de llegada </t>
  </si>
  <si>
    <t xml:space="preserve">Aplicativo SCAD y expedientes </t>
  </si>
  <si>
    <t>Registrar el total de las decisiones confirmadas y el total de las decisiones recurridas durante la vigencia 2015</t>
  </si>
  <si>
    <t>Total de decisiones confirmadas  / Total de decisiones recurridas</t>
  </si>
  <si>
    <t xml:space="preserve">Total de decisiones confirmadas </t>
  </si>
  <si>
    <t>Total de decisiones recurridas</t>
  </si>
  <si>
    <t>Gestión Abastecimiento</t>
  </si>
  <si>
    <t>ESTRATEGIA : es un conjunto de acciones planificadas sistemáticamente en el tiempo que se llevan a cabo para lograr un determinado fin o misión. 
COMPRA LOCAL: Es toda adquisición de bienes o servicios, cuya producción u origen, para el caso de bienes, o cuya residencia, para el caso del talento humano, se localice en el mismo ámbito geográfico de consumo</t>
  </si>
  <si>
    <t>Se realizará modelo de costos a las modalidades cuya información para la elaboración del modelo ha sido entregada por parte de la respectiva dirección misional a la Dirección de Abastecimiento</t>
  </si>
  <si>
    <t>Modelo de costos: Documento que contiene el ejercicio de estimación monetaria a partir de las cantidades y recursos requeridos para entregar un bien o brindar un servicio de acuerdo con las especificaciones técnicas exigidas por la Entidad, contempladas en la Ficha de Condiciones Técnicas Esenciales para la prestación del servicio y/o entrega del bien (FCT), lineamientos o estándares de la respectiva modalidad o programa de atención.</t>
  </si>
  <si>
    <t>Teniendo en cuenta que el sistema de información PACCO maneja fechas de registro específicas, con las Regionales y áreas de la Sede de la Dirección General, el reporte del indicador a la Subdirección de Evaluación se realizará entre los días 13 y 16 de cada mes, a partir del mes de abril, de acuerdo con las particularidades que se presenten.
El reporte del mes de diciembre se realizará el 16 de febrero de la siguiente vigencia.</t>
  </si>
  <si>
    <t>Recursos contratados y reportados en el Plan Anual de Adquisiciones:  Son los recursos que han sido contratado por las Regionales y áreas de la Sede de la Dirección General, y que se encuentran reportados en el sistema PACCO.
Recursos contratados por el ICBF con registro presupuestal en financiera: Es el valor de los contratos registrados por el ICBF en la base de datos de la Dirección Financiera y con Registro Presupuestal, suministrado al grupo PACCO por la Dirección de Información y Tecnología</t>
  </si>
  <si>
    <t xml:space="preserve">El primer reporte del indicador está sujeto a la contratación del operador logístico de eventos para el año 2015. </t>
  </si>
  <si>
    <t>Estudio de sector y costos: Documento en el cual se presenta de manera estructurada del análisis de la información recolectada durante la investigación de mercado o sector. La investigación de mercado o sector consiste en la recolección, clasificación y análisis sistemático de la información respecto a todos los factores relevantes que influencian la compra de bienes y servicios requeridos por la Entidad, de acuerdo con las especificaciones técnicas determinadas por las áreas solicitantes contempladas en la  Ficha de Condiciones Técnicas Esenciales para la prestación del servicio y/o entrega del bien (FCT), lineamientos y/o estándares.</t>
  </si>
  <si>
    <t>Valor alcanzado en la evaluación de los registros de las Regionales y/o áreas de la Sede de la Dirección General en el sistema de información PACCO:  Corresponde a la sumatoria de los valores obtenidos por las Regionales y áreas de la Sede de la Dirección General, en los criterios de evaluación para la gestión en el Sistema de información PACCO.
Valor total de los criterios evaluados en el sistema PACCO: Corresponde a la sumatoria del valor definido para cada uno de los criterios evaluados para la gestión en el Sistema de Información PACCO.
Criterios de Evaluación: Son los ítems definidos para evaluar la gestión realizada por las Regionales y áreas de la Sede de la Dirección General, frente al registro de  información sobre programación, contratación y ejecución de recursos, en el sistema de información PACCO.</t>
  </si>
  <si>
    <t xml:space="preserve"> Identificar las Regionales donde se implementa la Estrategia de Compras Locales y Compras Eficientes </t>
  </si>
  <si>
    <t>MPA1-P4</t>
  </si>
  <si>
    <t>Número de Regionales que implementan la Estrategia de Compras Locales y Compras Eficientes / Regionales programadas en acuerdo de gestión</t>
  </si>
  <si>
    <t>Regionales programadas en acuerdo de gestión</t>
  </si>
  <si>
    <t>Cantidad de Regionales con información y soportes de la implementación de la Estrategia de Compras Locales y Compras Eficientes</t>
  </si>
  <si>
    <t>Acuerdo de gestión formalizado con la Secretaria General</t>
  </si>
  <si>
    <t>Porcentaje de cumplimiento de la Gestión registrada en el Sistema de Información PACCO</t>
  </si>
  <si>
    <t>Realizar el seguimiento a los recursos programados, contratados y ejecutados en el sistema de información PACCO, en relación a los recursos definidos para realizar la contratación, programables en PACCO, de las Regionales y áreas de la Sede de la Dirección General.</t>
  </si>
  <si>
    <t>Cumplimiento de criterios de evaluación de los registros de las Regionales y/o áreas de la Sede de la Dirección General / Valor total de los criterios definidos para evaluar el registro de la información en PACCO.</t>
  </si>
  <si>
    <t>Cumplimiento de criterios de evaluación de los registros de las Regionales y/o áreas de la Sede de la Dirección General</t>
  </si>
  <si>
    <t>Valor total de los criterios definidos para evaluar el registro de la información en PACCO.</t>
  </si>
  <si>
    <t>Módulo de reportes - Sistema de Información PACCO</t>
  </si>
  <si>
    <t>Guia para evaluación de los avances de PACCO.</t>
  </si>
  <si>
    <t>Determinar si los estudios de sector y costos solicitados por las diferentes áreas de la Sede de la Dirección General,  son entregados oportunamente, de acuerdo con su complejidad.</t>
  </si>
  <si>
    <t>Número de estudios de sector y costos entregados a tiempo, de acuerdo con su complejidad, durante el mes / Número de estudios de sector y costos entregados en el mes</t>
  </si>
  <si>
    <t>Número de estudios de sector y costos entregados a tiempo, de acuerdo con su complejidad, durante el mes</t>
  </si>
  <si>
    <t>Número de estudios de sector y costos entregados en el mes</t>
  </si>
  <si>
    <t>Matriz de seguimiento de Estudios de Sector y Costos</t>
  </si>
  <si>
    <t>Medir el nivel de satisfacción del área solicitante del evento, por medio de un encuesta</t>
  </si>
  <si>
    <t>Sumatoria de la ponderación de los resultados de las encuestas realizadas en el mes / Valor total de los criterios evaluados en la encuesta de satisfacción</t>
  </si>
  <si>
    <t>Sumatoria de la ponderación de los resultados de las encuestas realizadas en el mes</t>
  </si>
  <si>
    <t>Valor total de los criterios evaluados en la encuesta de satisfacción</t>
  </si>
  <si>
    <t>Formato F4.PR3.MPA1.P4  Seguimiento de eventos v1</t>
  </si>
  <si>
    <t>Procedimiento PR3-MPA1-P4-Solicitud-y-Ejecución-de-Eventos-v1</t>
  </si>
  <si>
    <t>Realizar el seguimiento a los recursos contratados y reportados en el sistema PACCO, frente a los recursos contratos por el ICBF y con registro financiero.</t>
  </si>
  <si>
    <t xml:space="preserve">Total recursos contratados y reportados en el Plan Anual de Adquisiciones / Total recursos contratados por el ICBF con registro presupuestal en financiera </t>
  </si>
  <si>
    <t>Total recursos contratados y reportados en el Plan Anual de Adquisiciones</t>
  </si>
  <si>
    <t xml:space="preserve">Total recursos contratados por el ICBF con registro presupuestal en financiera </t>
  </si>
  <si>
    <t>Módulo de reportes PACCO - Contratos registrados en el sistema</t>
  </si>
  <si>
    <t>Reporte de la Dirección de Información y Tecnología</t>
  </si>
  <si>
    <t>Determinar la cantidad de modalidades de atención del ICBF que cuentan con modelos de costos.</t>
  </si>
  <si>
    <t>Porcentaje de satisfacción frente al desarrollo del evento</t>
  </si>
  <si>
    <t xml:space="preserve">El 100% del diseño e implementación de PLAN MAESTRO DE INFRAESTRUCTURA, se realizará a lo largo del cuatrienio, pero en 2015 se tiene previsto un avance del 25% del mismo, que corresponde a la primera  fase del diseño, la segunda fase con un porcentaje del 25% se llevará a cabo en el 2016. El 50 % restante corresponde a la fase de implementación y se llevará cabo entre 2017 y 2018.
</t>
  </si>
  <si>
    <t>El plan maestro de infraestructura 2015-2018 es un documento en el cúal se plasma la estrategia a mediano plazo (cuatrienio) del ICBF de forma cuantitativa, manifiesta y temporal, que a su vez debe implementarse en ese periodo para cumplir los objetivos institucionales y dando alcance a los objetivos del Plan Nacional de Desarrollo en materia de infraestructura.</t>
  </si>
  <si>
    <t>El 100% del diseño e implementación del Modelo de Gestión Administrativa, se realizará a lo largo del cuatrienio, pero en 2015 se tiene previsto un avance del 25% del mismo, que corresponde a la  fase del diseñ. . El 75 % restante corresponde a la fase de implementación y se llevará cabo entre 2016 y 2018.</t>
  </si>
  <si>
    <t>El Modelo de Gestión Administrativa comprende un proceso de reingeniería estratégica de la Dirección Administrativa a travéz de la conformación de macroregiones funcionales desde las cuales se ejecutan los procesos de soporte del ICBF.</t>
  </si>
  <si>
    <t>Efectividad</t>
  </si>
  <si>
    <t>El 100% es equivalente al cumplimiento de las metas de cada período respecto a lo establecido en el mapa estratégico</t>
  </si>
  <si>
    <t>Las Intervenciones en Infraestrudtura se entienden como aquellas acciones que comprenden; ampliaciones (construccion o apropiacion de espacios), adecuaciones(señalización,  saneamiento básico), reparaciones y/o mantenimientos ( preventivos y/o correctivos sobre los bienes) en las instalaciones donde opera el ICBF.</t>
  </si>
  <si>
    <t>El indicador para la vigencia 2015 solo se medirá en la sede central</t>
  </si>
  <si>
    <t>Legalización hace referencia a el registro de los soportes contables del valor de los bienes inmuebles o muebles (consumibles o devolutivos) o costos de los convenios en el sistema para tal fin.</t>
  </si>
  <si>
    <t>Bienes ingresados al patrimonio hace referencia al registro en instrumentos públicos de la sentencia judicial proferida por el respectivo juez civil que declare la propiedad de bien en cabeza del ICBF.</t>
  </si>
  <si>
    <t>La Estrategia cero Papel, obedece a los lineamientos de la politica de eficiencia administrativa dispuestos en las directivas presidenciales 04 de 2012  y 06 de 2014 para tal efecto se retomarán las orientaciones de la guía "Como comenzar una estrategia cero papel en su entidad" que señala un conjunto de pasos que las entidades pueden desarrollar para lograr incluir las buenas prácticas en la entidad y que deben ser afianzadas en el ICBF para cumplir la meta de reducir el consumo de papel en un 30%.</t>
  </si>
  <si>
    <t>La medicion de la ejecucion del presupuesto asignado a la Sede de la Direccion General y de las Regionales corresponderan al cumplimiento de las actividades de los Planes de Gestion Ambiental.</t>
  </si>
  <si>
    <t xml:space="preserve">La medicion de la ejecucion del presupuesto asignado a la Sede de la Direccion General y de las Regionales corresponderan al cumplimiento de las actividades de los Planes de Gestion Ambiental.
Gestion Ambiental: es el conjunto de actividades y acciones normativa, administrativas y operativas orientadas a controlar, mitigar y/o prevenir los aspectos ambientales, con el proposito de lograr un desarrollo con sustentabilidad ambiental.
Planes de Gestion Ambiental PGA: documento que incluye diagnostico ambiental y acciones para la Gestion de los aspectos e impactos ambientales en una Regional o Sede de la Direccion General.
El formato de seguimiento presupuestal ambiental: es manejado por los Coordinadores Administrativos de las Regionales  </t>
  </si>
  <si>
    <t>Cuatrimestral</t>
  </si>
  <si>
    <t>Medir el consumo del recurso energético en las Regionales y Sede de la Dirección
General del ICBF, frente a los estándares de consumo fijados para cada una.</t>
  </si>
  <si>
    <t xml:space="preserve"> Consumo de energia en Regionales y Sede de la Dirección General del Periodo establecido. / Estándar de consumo de energia de Cada Regional y Sede de la Dirección General.</t>
  </si>
  <si>
    <t xml:space="preserve"> Consumo de energia en Regionales y Sede de la Dirección General del Periodo establecido.</t>
  </si>
  <si>
    <t>Estándar de consumo de energia de Cada Regional y Sede de la Dirección General.</t>
  </si>
  <si>
    <t>F01 PA03 M Valija Servicios Publicos</t>
  </si>
  <si>
    <t>Medir el consumo de agua en la Sede de la Dirección General y las Regionales del ICBF, frente a los estándares de consumo fijados,  para establecer el ahorro en el consumo de agua.</t>
  </si>
  <si>
    <t>Consumo de agua de la Sede de la Dirección General y Regionales en el Periodo establecido. / Estándar de consumo de agua de Cada Regional y Sede de la Dirección General.</t>
  </si>
  <si>
    <t>Consumo de agua de la Sede de la Dirección General y Regionales en el Periodo establecido.</t>
  </si>
  <si>
    <t>Estándar de consumo de agua de Cada Regional y Sede de la Dirección General.</t>
  </si>
  <si>
    <t xml:space="preserve">F01 PA03 M Valija Servicios Publicos </t>
  </si>
  <si>
    <t>Realizar seguimiento y evaluación a la aplicación de los procesos técnicos de organización de archivos en soporte físico a los expedientes en gestión.</t>
  </si>
  <si>
    <t>Metros Lineales de Archivos en Soporte Físico Organizados / Metros lineales de archivos en soporte físico proyectados para Organización</t>
  </si>
  <si>
    <t>Metros Lineales de Archivos en Soporte Físico Organizados</t>
  </si>
  <si>
    <t>Metros lineales de archivos en soporte físico proyectados para Organización</t>
  </si>
  <si>
    <t>Matriz trimestral en donde se reportan los metros lineales organizados en soporte físico por Regional incluyendo los Centros Zonales</t>
  </si>
  <si>
    <t>Proyección de la producción documental física y crecimiento de los archivos de gestión (6000 ml)</t>
  </si>
  <si>
    <t>Realizar seguimiento al cumplimiento de los Planes de Gestión Ambiental</t>
  </si>
  <si>
    <t xml:space="preserve">Número de actividades desarrolladas del plan de Gestión Ambiental  / Actividades programadas en los Planes de Gestión Ambiental </t>
  </si>
  <si>
    <t xml:space="preserve">Número de actividades desarrolladas del plan de Gestión Ambiental </t>
  </si>
  <si>
    <t xml:space="preserve">Actividades programadas en los Planes de Gestión Ambiental </t>
  </si>
  <si>
    <t xml:space="preserve">Informes de seguimiento a las actividades de los Planes de Gestion Ambiental </t>
  </si>
  <si>
    <t xml:space="preserve">Planes de Gestion Ambiental </t>
  </si>
  <si>
    <t xml:space="preserve">Realizar seguimiento al presupuesto asignado para la ejecución de los Planes de Gestión Ambiental </t>
  </si>
  <si>
    <t xml:space="preserve">Presupuesto asignado para la implementación del plan de Gestión Ambiental </t>
  </si>
  <si>
    <t xml:space="preserve">Formato de seguimiento al presupuesto de Gestion Ambiental del rubro C 123300-1-112 </t>
  </si>
  <si>
    <t xml:space="preserve">Resolución de asignación de presupuesto  de Gestion Ambiental </t>
  </si>
  <si>
    <t>Realizar seguimiento a los bienes inmuebles del Instituto que son objeto de comodatos</t>
  </si>
  <si>
    <t>Número de bienes en Comodato suscritos y registrados / Número de bienes objeto de comodato</t>
  </si>
  <si>
    <t>Número de bienes en Comodato suscritos y registrados</t>
  </si>
  <si>
    <t>Número de bienes objeto de comodato</t>
  </si>
  <si>
    <t>Porcentaje de verificación del estado de los bienes inmuebles.</t>
  </si>
  <si>
    <t>Inspeccionar el estado real, material y jurídico de los bienes inmuebles registrados en el inventario de la entidad y que presentan circunstancias especiales como desocupados o invadidos</t>
  </si>
  <si>
    <t>Número de bienes con informe de visita de verificación de estado / Número de bienes reportados como desocupados o invadidos</t>
  </si>
  <si>
    <t>Número de bienes con informe de visita de verificación de estado</t>
  </si>
  <si>
    <t>Número de bienes reportados como desocupados o invadidos</t>
  </si>
  <si>
    <t>Informes de visitas de verificación del estado real, material y jurídico de los bienes inmuebles del grupo de bienes</t>
  </si>
  <si>
    <t>Cronograma de visitas de verificación del estado real, material y jurídico de los bienes inmuebles  reportados como desocupados o invadidos del grupo de bienes</t>
  </si>
  <si>
    <t>Evidenciar la gestión respecto los procesos de legalización adelantados sobre las obras recibidas del grupo de infraestructura</t>
  </si>
  <si>
    <t>Número de conceptos de procesos de legalización de obras emitidos / Número de procesos de legalizacion de obra iniciados</t>
  </si>
  <si>
    <t>Número de conceptos de procesos de legalización de obras emitidos</t>
  </si>
  <si>
    <t>Número de procesos de legalizacion de obra iniciados</t>
  </si>
  <si>
    <t>Hacer seguimiento al direccionamiento oportuno de comunicaciones recibidas a través de la unidad de correspondencia</t>
  </si>
  <si>
    <t>Número de comunicaciones direccionadas oportunamente a través de la unidad de correspondencia / Número total de comunicaciones recibidas a través de la unidad de correspondencia durante el periodo</t>
  </si>
  <si>
    <t>Número de comunicaciones direccionadas oportunamente a través de la unidad de correspondencia</t>
  </si>
  <si>
    <t>Número total de comunicaciones recibidas a través de la unidad de correspondencia durante el periodo</t>
  </si>
  <si>
    <t xml:space="preserve">Planilla de registro de entrega de comunicaciones a cada dependencia, planilla corra de envios a regionales </t>
  </si>
  <si>
    <t>Reporte de comunicaciones recibidas y radicadas a través del aplicativo SIGA</t>
  </si>
  <si>
    <t xml:space="preserve"> Medir la efectividad en las intervenciones de adecuación, ampliación, reparación y/o mantenimiento requeridos en las distintas Sedes regionales ubicadas en el territorio nacional.</t>
  </si>
  <si>
    <t>Número de Intervenciones en Sedes Regionales y centros zonales realizadas durante el periodo / Número total de intervenciones sobre Sedes regionales y centros zonales programadas o requeridas durante el año</t>
  </si>
  <si>
    <t>Número de Intervenciones en Sedes Regionales y centros zonales realizadas durante el periodo</t>
  </si>
  <si>
    <t>Número total de intervenciones sobre Sedes regionales y centros zonales programadas o requeridas durante el año</t>
  </si>
  <si>
    <t xml:space="preserve">Informe de finalización de la intervención en Regionales y Centros Zonales. </t>
  </si>
  <si>
    <t>Programación de intervenciones del grupo de infraestructura y solicitudes de intervencion de las Direcciones Regionales</t>
  </si>
  <si>
    <t xml:space="preserve">Porcentaje de archivos transferidos en soporte físico al Archivo Central Unificado del ICBF </t>
  </si>
  <si>
    <t>Medir las transferencias de los expedientes correspondiente a los Archivos Centrales Regionales, Históricos y de Fondos Acumulados a la bodega del Archivo Central Único del ICBF.</t>
  </si>
  <si>
    <t>cuatrimestral</t>
  </si>
  <si>
    <t>LP4</t>
  </si>
  <si>
    <t>Eficiencia administrativa</t>
  </si>
  <si>
    <t>Metros lineales transferidos  al archivo central unificado durante 2015</t>
  </si>
  <si>
    <t xml:space="preserve">Reporte en la matriz mensual en donde se evidencien los metros lineales transferidos </t>
  </si>
  <si>
    <t xml:space="preserve">Programa de transferencias del grupo de Gestión Documental </t>
  </si>
  <si>
    <t>efectividad</t>
  </si>
  <si>
    <t>Hacer seguimiento a las distintas etapas de redefinición e implementación de la estrategia cero papel.</t>
  </si>
  <si>
    <t>Número de actividades de la Estrategia Cero Papel ejecutadas / Número de actividades de la Estrategia Cero Papel programadas</t>
  </si>
  <si>
    <t>Número de actividades de la Estrategia Cero Papel ejecutadas</t>
  </si>
  <si>
    <t>Número de actividades de la Estrategia Cero Papel programadas</t>
  </si>
  <si>
    <t>Cronograma de actividades para la implementación de la estrategia cero papel</t>
  </si>
  <si>
    <t>Plan de implementación de la estrategia cero papel</t>
  </si>
  <si>
    <t>Medir la efectividad en las intervenciones de adecuación, ampliación, reparación y/o mantenimiento requeridos en la infraestructura dispuesta para atención a la primera infancia ubicada en el territorio nacional.</t>
  </si>
  <si>
    <t>Número de Intervenciones en infraestructura para la atención a la primera infancia  realizadas durante el periodo / Número total de intervenciones sobre infraestructura para la atención a la primera infancia programadas</t>
  </si>
  <si>
    <t>Número de Intervenciones en infraestructura para la atención a la primera infancia  realizadas durante el periodo</t>
  </si>
  <si>
    <t>Número total de intervenciones sobre infraestructura para la atención a la primera infancia programadas</t>
  </si>
  <si>
    <t>Actas de verificación emitidas por el grupo de Infraestructura</t>
  </si>
  <si>
    <t>Programación de intervenciones del grupo de infraestructura y solicitudes de intervencion de las áreas misionales</t>
  </si>
  <si>
    <t>Hacer seguimiento al proceso de Estudios y Diseños de las obras de infraestructura hasta la obtención de licencias.</t>
  </si>
  <si>
    <t>Número de Estudios y diseños concluidos durante el periodo / Número de estudios y diseños contratados durante el periodo</t>
  </si>
  <si>
    <t>Número de Estudios y diseños concluidos durante el periodo</t>
  </si>
  <si>
    <t>Número de estudios y diseños contratados durante el periodo</t>
  </si>
  <si>
    <t>Licencias radicadas</t>
  </si>
  <si>
    <t>Contratos de estudios y diseños suscritos</t>
  </si>
  <si>
    <t>medir el cumplimiento de las distintas etapas del nuevo modelo de gestión administrativa por macro regiones.</t>
  </si>
  <si>
    <t>Número de actividades correspondientes al diseño del modelo de gestión administrativa ejecutadas / Número de actividades correspondientes al diseño del modelo de gestión administrativa programadas</t>
  </si>
  <si>
    <t>Número de actividades correspondientes al diseño del modelo de gestión administrativa ejecutadas</t>
  </si>
  <si>
    <t>Número de actividades correspondientes al diseño del modelo de gestión administrativa programadas</t>
  </si>
  <si>
    <t xml:space="preserve"> Informe de avances en el diseño del modelo de gestión administrativa</t>
  </si>
  <si>
    <t>Modelo de gestión administrativa</t>
  </si>
  <si>
    <t>Porcentaje de avance de la gestión para la realización de Estudios y Diseños</t>
  </si>
  <si>
    <t>Porcentaje de avance en la emisión de conceptos para legalización de obras</t>
  </si>
  <si>
    <t xml:space="preserve">Porcentaje de avance en la ejecución presupuestal de Gestión Ambiental </t>
  </si>
  <si>
    <t>Porcentaje de avance en el cumplimiento del Plan de Gestión Ambiental</t>
  </si>
  <si>
    <t>Gestión Contratación</t>
  </si>
  <si>
    <t>Para la medición de Febrero: % de Contratos Liquidados, de los pendientes por liquidar a 31 de Diciembre de 2014
Para la medición de Abril: % de Contratos Liquidados, de los pendientes por liquidar a 28 de Febrero de 2015
Para la medición de Junio: % de Contratos Liquidados, de los pendientes por liquidar a 30 de Abril de 2015
Para la medición de Agosto: % de Contratos Liquidados, de los pendientes por liquidar a 30 de Junio de 2015
Para le medición de Octubre: % de Contratos Liquidados, de los pendientes por liquidar a 30 de Junio de 2015
Para la medición de Diciembre: % de Contratos Liquidados, de los pendientes por liquidar a 30 de Junio de 2015</t>
  </si>
  <si>
    <t>MPA1-P6-01</t>
  </si>
  <si>
    <t>Porcentaje de Liquidación de contratos</t>
  </si>
  <si>
    <t>Identificar de avance en la revision, actualización y aplicación del proceso de Gestión de Contratación.</t>
  </si>
  <si>
    <t>MPA1-P6</t>
  </si>
  <si>
    <t>Numero de actividades de la actualización y documentación del proceso desarrolladas en la vigencia / Numero de actividades de la actualización y documentación del proceso programadas en la vigencia</t>
  </si>
  <si>
    <t>Numero de actividades de la actualización y documentación del proceso desarrolladas en la vigencia</t>
  </si>
  <si>
    <t>Numero de actividades de la actualización y documentación del proceso programadas en la vigencia</t>
  </si>
  <si>
    <t>Reporte de seguimiento de las actividades programadas para la actualización y documentación del proceso de gestión contractual</t>
  </si>
  <si>
    <t>Plan de las actividades programadas de la actualización y documentación del proceso de gestión contractual</t>
  </si>
  <si>
    <t>Identificar el porcentaje de contratos liquidados de la Sede de la Dirección Nacional y Direcciones Regionales.</t>
  </si>
  <si>
    <t>Numero de contratos Liquidados / Numero de Contratos por Liquidar</t>
  </si>
  <si>
    <t>Numero de contratos Liquidados</t>
  </si>
  <si>
    <t>Numero de Contratos por Liquidar</t>
  </si>
  <si>
    <t>INTERVENCIONES JUDICIALES: La intervención judicial es la actuación procesal de un apoderado en defensa de los intereses del ICBF.  Para ello debe garantizar que se intervenga en todas las etapas procesales que autoriza la Ley. 
TERMINO PARA CONTESTAR DEMANDAS:
- Procesos Abreviados: Diez (10) días – Articulo 409 C.P.C.
- Procesos Ordinario de mayor cuantía (20)
- Procesos ordinarios de menor cuantía (10)
- Procesos verbales de mayor cuantía (20)
- Procesos verbales de menor cuantía (10).
- Procesos Verbales Sumarios: Cuatro (4) días. Articulo 436 C.P.C
- Procesos Jurisdicción Contencioso Administrativo: Treinta (30) días – Articulo 172 Nuevo Código de Procedimiento Administrativo y de lo Contencioso.</t>
  </si>
  <si>
    <t>Las solicitudes de conceptos que no han cumplido los términos de Ley en el período actual, se sumarán en el siguiente.
Instrucciones de calculo Numerador: Sumatoria de solicitudes tramitadas dentro del tiempo legal (30 dias hábiles desde la fecha de solicitud del concepto hasta la fecha de respuesta).
Instrucciones de calculo Denominador: Sumatoria del total de solicitudes recibidas en el periodo evaluado. (Base de datos reparto recibido)</t>
  </si>
  <si>
    <t>CONSULTAS, Art. 13 y siguientes del CPA-CA: El derecho de petición incluye el de formular consultas escritas o verbales a las autoridades, en relación con las materias a su cargo, y sin perjuicio de lo que dispongan normas especiales. Estas consultas deberán tramitarse con economía, celeridad, eficacia e imparcialidad y resolverse en un plazo máximo de treinta (30) días. 
Las respuestas en estos casos no comprometerán la responsabilidad de las entidades que las atienden, ni serán de obligatorio cumplimiento o ejecución.</t>
  </si>
  <si>
    <t>1. El Comité de Defensa Judicial y Conciliación dejará nota en las Actas correspondientes, sobre casos que ameriten recomendación con acción de mejora registrado en  Isolución.
2. Cada una de las áreas que reciban la recomendación del Comité,  es responsable de ingresar la acción de mejora en el aplicativo Isolución y darle el trámite pertinente en los términos previstos.</t>
  </si>
  <si>
    <t>DECRETO 1716 DE 2009, Artículo 21. Indicador de gestión. La prevención del daño antijurídico será considerada como un indicador de gestión y con fundamento en él se asignarán las responsabilidades en el interior de cada entidad. 
Daño Antijurídico: Lesión  o puesta en peligro del bien jurídico de la Administración Pública.
Bien Jurídico: Hace referencia a los bienes, tanto materiales como inmateriales, que son efectivamente protegidos por el Derecho, es decir, son valores legalizados: la salud, la vida, et</t>
  </si>
  <si>
    <t>El 100% del diseño e implementación del modelo eficiente de prevencion del daño antijuridico se realizará a lo largo del cuatrienio. 
En 2015 se tiene previsto un avance del 50% del mismo, que corresponde a la fase completa del diseño. El 50% restante corresponde a las fases de implementación, evaluación y seguimiento que se llevará cabo entre 2016 y 2018.</t>
  </si>
  <si>
    <t>DECRETO 1716 DE 2009, Artículo 21. Indicador de gestión. La prevención del daño antijurídico será considerada como un indicador de gestión y con fundamento en él se asignarán las responsabilidades en el interior de cada entidad. 
Daño Antijurídico: Lesión  o puesta en peligro del bien jurídico de la Administración Pública.
Bien Jurídico: Hace referencia a los bienes, tanto materiales como inmateriales, que son efectivamente protegidos por el Derecho, es decir, son valores legalizados: la salud, la vida, etc.</t>
  </si>
  <si>
    <t>Matriz de programación y seguimiento de actividades para el Diseño del modelo.</t>
  </si>
  <si>
    <t>Cruce de información de: Base de datos de LITIGOB de la ANDJE, Portal Siglo XXI de la Rama Judicial del CSJ y Herramienta de seguimiento y vigilancia procesal ICBF</t>
  </si>
  <si>
    <t>La medición empezará a partir del segundo trimestre del 2015 (Abril-junio), dado que se debe socializar y realizar acciones para que este cruce de información nos permita hacer el seguimiento y sacar resultados porcentuales.</t>
  </si>
  <si>
    <t>Porcentaje de avance en el diseño e implementacion de un modelo eficiente de prevencion del daño antijuridico.</t>
  </si>
  <si>
    <t>Fortalecer las herramientas juridicas tendientes a la prevención del daño antijurídico.</t>
  </si>
  <si>
    <t>Número de actividades realizadas para el diseño del modelo eficiente de prevencion del daño antijuridico. / Total de actividades programadas para el diseño del modelo eficiente de prevencion del daño antijuridico.</t>
  </si>
  <si>
    <t>Número de actividades realizadas para el diseño del modelo eficiente de prevencion del daño antijuridico.</t>
  </si>
  <si>
    <t>Total de actividades programadas para el diseño del modelo eficiente de prevencion del daño antijuridico.</t>
  </si>
  <si>
    <t>Promover acciones tendientes a mitigar los riegos en la producción de daño antijurídico para la generación de soluciones institucionales</t>
  </si>
  <si>
    <t xml:space="preserve">Estatico </t>
  </si>
  <si>
    <t>Número de casos con recomendaciones del Comité de Defensa Judicial y Conciliación con Plan de mejora en Isolución. / Número de casos de daño antijurídico con recomendación del Comité de Defensa Judicial y Conciliación.</t>
  </si>
  <si>
    <t>Número de casos con recomendaciones del Comité de Defensa Judicial y Conciliación con Plan de mejora en Isolución.</t>
  </si>
  <si>
    <t>Número de casos de daño antijurídico con recomendación del Comité de Defensa Judicial y Conciliación.</t>
  </si>
  <si>
    <t>Aplicativo Isolución</t>
  </si>
  <si>
    <t xml:space="preserve">Base de datos de recomendaciones sobre prevención del daño antijurídico. </t>
  </si>
  <si>
    <t>Porcentaje de Conceptos juridicos elaborados oportunamente</t>
  </si>
  <si>
    <t>Medir el tiempo de respuesta o de elaboración de conceptos jurídicos solicitados a la Oficina Asesora Jurídica de la Dirección General.</t>
  </si>
  <si>
    <t>Número de solicitudes de conceptos tramitadas dentro del término legal.  / Total de solicitudes recibidas en el periodo</t>
  </si>
  <si>
    <t xml:space="preserve">Número de solicitudes de conceptos tramitadas dentro del término legal. </t>
  </si>
  <si>
    <t>Total de solicitudes recibidas en el periodo</t>
  </si>
  <si>
    <t>Consolidado de conceptos juridicos emitidos por la Oficina Asesora Jurídica</t>
  </si>
  <si>
    <t>Base de datos de Reparto Oficina Asesora Jurídica</t>
  </si>
  <si>
    <t>Conocer la oportunidad en el cumplimiento de términos e intervenciones de los apoderados judiciales que representan al ICBF en los procesos judiciales.</t>
  </si>
  <si>
    <t>Número de incumplimientos e intervenciones en procesos judiciales / Total de cumplimientos de términos de Ley en los procesos judiciales</t>
  </si>
  <si>
    <t>Número de incumplimientos e intervenciones en procesos judiciales</t>
  </si>
  <si>
    <t>Total de cumplimientos de términos de Ley en los procesos judiciales</t>
  </si>
  <si>
    <t>Para la vigencia 2015, se definió una etapa que comprende 3 actividades.</t>
  </si>
  <si>
    <t>Actividades definidas para la etapa I del 2015: 
1. Apoyar el diseño de agenda regional, modelo de asistencia técnica y flujos de información. Cada una de las estrategias tienen igual peso porcentual en el cumplimiento de la actividad.
2. Apoyar la implementación de  agenda regional, modelo de asistencia técnica y flujos de información.  Cada una de las estrategias tienen igual peso porcentual en el cumplimiento de la actividad.
3. Presentar propuesta de modelo unificado de modelo acompañamiento, seguimiento y control a las regionales.</t>
  </si>
  <si>
    <t>Para la medición del indicador se compara el resultado del tablero de control regional del período actual, frente al resultado del tablero de control regional del mes inmediatamente anterior
El indicador se trabajará con las Direcciones Regionales priorizadas.  Se reportará, una vez la Dirección de Planeación haya publicado el tablero de control, ya que es la fuente del indicador.</t>
  </si>
  <si>
    <t>Mejora: Se entiende como mejora aquellas regionales que, estando en un rango de valoración determinado, alcanzan y mantienen un  rango de valoración superior.</t>
  </si>
  <si>
    <t>MPA3-02</t>
  </si>
  <si>
    <t>Porcentaje de regionales priorizadas que mejoraron su gestión</t>
  </si>
  <si>
    <t>Medir el avance del diseño e implementación del modelo de acompañamiento.</t>
  </si>
  <si>
    <t>Número de etapas logradas en la vigencia / Número de etapas definidas para la vigencia</t>
  </si>
  <si>
    <t>Número de etapas logradas en la vigencia</t>
  </si>
  <si>
    <t>Número de etapas definidas para la vigencia</t>
  </si>
  <si>
    <t>Documento para el diseño e implementación del modelo</t>
  </si>
  <si>
    <t xml:space="preserve"> Porcentaje de regionales priorizadas que mejoraron su gestión.</t>
  </si>
  <si>
    <t>Medir la mejora en la gestión de las regionales priorizadas.</t>
  </si>
  <si>
    <t xml:space="preserve">Número de regionales priorizadas que mejoraron su resultado de gestión en el tablero de control regional / Número de regionales priorizadas </t>
  </si>
  <si>
    <t>Número de regionales priorizadas que mejoraron su resultado de gestión en el tablero de control regional</t>
  </si>
  <si>
    <t xml:space="preserve">Número de regionales priorizadas </t>
  </si>
  <si>
    <t>Subdirección de Monitoreo y Evaluación - Resultado Tablero de Control Regional</t>
  </si>
  <si>
    <t>Los valores en los rangos de evaluación estan dados en unidades y será el Jefe de la Oficina de Cooperación y Convenios quien realizará la revisión interna de las alianzas obtenidas en cada período.</t>
  </si>
  <si>
    <t xml:space="preserve">DERECHO A LA FELICIDAD: Estrategia institucional que tiene como objetivo mmotivar al sector empresarial para  que incluya en su programa de Responsabilidad Social o sostenibilidad iniciativas orientadas a la garantía y promoción de los derechos  de la Primera Infancia, la Niñez y  la Adolescencia, y a beneficie a las familias. Esta estrategia favorece la generación de  ventajas competitivas y de sostenibilidad para las empresas. 
ALIANZA: Una alianza es toda relación de cooperación y colaboración entre el ICBF y una organización privada o pública, nacional e internacional que apunte a las necesidades institucionales. Una alianza no necesariamente necesita que esté mediada por un documento de formalización jurídica de la relación. 
GESTIÓN DE COOPERACIÓN: Identificación y consolidación de nuevos proyectos de Cooperación que se busquen para apoyar al ICBF en sus líneas programáticas, con especial énfasis en los programas priorizados por los macro procesos misionales, los cuales se encuentran en el Portafolio de Cooperación.                                                                                           
COOPERACIÓN: es un concepto global que comprende todas las modalidades concesionales de ayuda que fluyen hacia los países de menor desarrollo relativo, entre empresas y sector público, con organismos internacionales y nacionales.  La cooperación comprende diferentes modalidades concesionales de ayuda como son: cooperación técnica.                          
COOPERANTE: Entidades con las cuales se tiene convenios (empresas y/o fundaciones empresariales y/u  organismos nacionales o internacionales).
COOPERACIÓN TÉCNICA: intercambio de conocimientos (técnicas, tecnologías, habilidades o experiencias) que hacen parte de la asistencia técnica de países, organizaciones no gubernamentales u organizaciones multilaterales, tendientes a mejorar y aumentar las capacidades humanas e institucionales para promover el desarrollo.
COOPERACIÓN FINANCIERA: Es ofrecida por algunas fuentes mediante la asignación de recursos financieros, con el objeto de apoyar proyectos de desarrollo. Se divide en reembolsable y no reembolsable. La Cooperación Financiera Reembolsable, aunque consiste en créditos blandos, se desarrolla bajo condiciones de interés y de tiempo más favorables. La Cooperación Financiera No Reembolsable es la cooperación ofrecida por algunas fuentes mediante la asignación de recursos en efectivo, con el objeto de apoyar proyectos o actividades de desarrollo. 
SICO: Sistema de información para la cooperación.           
PROYECTO: “Un proyecto es un conjunto de acciones interrelacionadas y dirigidas a lograr unos  resultados para transformar o mejorar una situación, en un plazo limitado y con  recursos presupuestados” .
ACUERDO: En el marco de la cooperación- “ACUERDO” se entiende como pacto, tratado, proyecto o propuesta de las   organizaciones nacionales e internacionales,  empresas públicas o privadas, el cual se materializa por medio de un memorando de entendimiento y/o convenio de cooperación y/o convenios de aporte.                                                                        
PROYECTO: “Un proyecto es un conjunto de acciones interrelacionadas y dirigidas a lograr unos  resultados para transformar o mejorar una situación, en un plazo limitado y con  recursos presupuestados” .
PROPUESTA: Idea que se presenta a una persona para que la acepte.
FORMALIZAR: Nacimiento a la vida jurídica de las diferentes figuras, con las cuales se legalizan los acuerdos, siguiendo las directrices contractuales del ICBF. </t>
  </si>
  <si>
    <t>Recursos</t>
  </si>
  <si>
    <t>*cifras en millones de pesos</t>
  </si>
  <si>
    <t>Medir la gestión de recursos de cooperación técnica y financiera ante organizaciones nacionales e internacionales, públicas y privadas.</t>
  </si>
  <si>
    <t>Recursos obtenidos por cooperación en la vigencia / Recursos de cooperación programados para la vigencia</t>
  </si>
  <si>
    <t>Recursos obtenidos por cooperación en la vigencia</t>
  </si>
  <si>
    <t>Recursos de cooperación programados para la vigencia</t>
  </si>
  <si>
    <t>Sistema de información de Cooperación SICO</t>
  </si>
  <si>
    <t>Medir el nuevo número servicios prestados a   NNA en PARD, con la estrategia del Derecho a La Felicidad</t>
  </si>
  <si>
    <t>Servicios prestados a través de la estrategia del Derecho a La Felicidad / Número de servicios programados a través de la estrategia del Derecho a La Felicidad para la vigencia</t>
  </si>
  <si>
    <t>Número de servicios programados a través de la estrategia del Derecho a La Felicidad para la vigencia</t>
  </si>
  <si>
    <t>Número de alianzas con el sector privado realizadas en 2015</t>
  </si>
  <si>
    <t>Medir el nuevo número de  alianzas privadas realizadas en 2015</t>
  </si>
  <si>
    <t>Número de alianzas privadas realizadas durante la vigencia / Número de alianzas privadas realizadas programadas para la vigencia</t>
  </si>
  <si>
    <t>Número de alianzas privadas realizadas durante la vigencia</t>
  </si>
  <si>
    <t>Número de alianzas privadas realizadas programadas para la vigencia</t>
  </si>
  <si>
    <t>Numero de servicios prestados a través de la estrategia del Derecho a La Felicidad</t>
  </si>
  <si>
    <t>Aplicaciones para Medir la Satisfacción: instrumentos de investigación de mercados para obtener información de las personas, mediante el uso de cuestionarios u otros medios diseñados en forma previa, para la obtención de información específica.
NIVEL DE SATISFACCION: percepción del ciudadano sobre el grado en que se han cumplido sus requisitos y expectativas</t>
  </si>
  <si>
    <t>QUEJAS: Cuando la petición pone en conocimiento del ICBF conductas irregulares de los servidores y ex -servidores públicos del ICBF en el ejercicio de sus funciones, sin importar su cargo o posición.
RECLAMOS: Cuando el peticionario pone en conocimiento del Instituto la suspensión injustificada o la prestación deficiente de cualquiera de los programas y servicios a cargo del ICBF.
SUGERENCIA. Son propuestas relacionadas con el mejoramiento en la prestación de servicios del ICBF.</t>
  </si>
  <si>
    <t>Se entenderá como periodo a las peticiones registradas en el aplicativo del día 1  del mes al 30 o 31 del mes que se este evaluando. (Para efectos de la generación del reporte en el SIM, deben escoger un día posterior al requerido para la medición)</t>
  </si>
  <si>
    <t>Denuncia PRD (Proceso de Restablecimiento de Derechos): Cuando se pone en conocimiento del ICBF cualquier situación de maltrato, abuso o explotación de niños, niñas o adolescentes, en la cual se vulneren o se ponga en riesgo su integridad física, psicológica o emocional.</t>
  </si>
  <si>
    <t>Proceso de Restablecimiento de Derechos – Asuntos Conciliables: Cuando la petición requiere de las actividades desarrolladas por el Defensor de Familia y su equipo interdisciplinario, en situaciones susceptibles de conciliación entre las partes, defendiendo acciones de mutuo acuerdo en beneficio de los intereses del niño, niña o adolescente, encaminadas a obtener la garantía de los derechos de los mismos a través del mecanismo de la conciliación.
Art. 82 Funciones del Defensor de Familia. No. 8 y 9 Ley 1098 de 2006</t>
  </si>
  <si>
    <t>Medir el grado de satisfacción de los usuarios – beneficiarios, con relación a los programas y servicios que presta el Instituto Colombiano de Bienestar Familiar en todo el territorio nacional.</t>
  </si>
  <si>
    <t>Anual</t>
  </si>
  <si>
    <t>LP2</t>
  </si>
  <si>
    <t>Transparencia, participación y servicio al ciudadano</t>
  </si>
  <si>
    <t>Resultado  obtenido en la aplicación de las encuestas de satisfacción / Encuestas aplicadas durante el periodo</t>
  </si>
  <si>
    <t>Resultado  obtenido en la aplicación de las encuestas de satisfacción</t>
  </si>
  <si>
    <t>Encuestas aplicadas durante el periodo</t>
  </si>
  <si>
    <t>Informe general de encuesta de satisfacción de los usuarios del ICBF en el territorio nacional</t>
  </si>
  <si>
    <t>Expresar la oportunidad en la atención de citas por peticiones de asuntos conciliables</t>
  </si>
  <si>
    <t>Total de Citas (conciliables) atendidas en  término en el periodo /  Total de Peticiones (conciliables) registradas en el periodo</t>
  </si>
  <si>
    <t>Total de Citas (conciliables) atendidas en  término en el periodo</t>
  </si>
  <si>
    <t xml:space="preserve"> Total de Peticiones (conciliables) registradas en el periodo</t>
  </si>
  <si>
    <t>Expresar el porcentaje de denuncias constatadas oportunamente.</t>
  </si>
  <si>
    <t>Total de Denuncias Constatadas Oportunamente en el Periodo / Total de Denuncias Recibidas en el Periodo</t>
  </si>
  <si>
    <t>Total de Denuncias Constatadas Oportunamente en el Periodo</t>
  </si>
  <si>
    <t>Total de Denuncias Recibidas en el Periodo</t>
  </si>
  <si>
    <t>Expresar el porcentaje de quejas y sugerencias cerradas y reclamos gestionados oportunamente.</t>
  </si>
  <si>
    <t>Total de quejas y sugerencias cerradas y reclamos gestionados oportunamente en el periodo* / Total de quejas, sugerencias y reclamos recibidos en el periodo</t>
  </si>
  <si>
    <t>Total de quejas y sugerencias cerradas y reclamos gestionados oportunamente en el periodo*</t>
  </si>
  <si>
    <t>Total de quejas, sugerencias y reclamos recibidos en el periodo</t>
  </si>
  <si>
    <t xml:space="preserve">Medir el porcentaje de Implementación del Modelo de Atención Presencial y la puesta en funcionamiento de la  Línea 106 en las 33 Regionales del ICBF en el país, con el fin de garantizar la estandarización del proceso de servicios y atención y la asistencia a los NNA de nuestro país, escuchando su voz. </t>
  </si>
  <si>
    <t>Número de  regionales aplicando el modelo de atención presencial y puesta en funcionamiento de la  Línea 106, realizadas a la fecha de corte / Número de Regionales del ICBF</t>
  </si>
  <si>
    <t xml:space="preserve">Porcentaje de Satisfacción de atención al cliente </t>
  </si>
  <si>
    <t>Porcentaje de Implementación del Modelo de Atención Presencial y Puesta en funcionamiento de la Línea 106 en las 33 Regionales del ICBF en el país</t>
  </si>
  <si>
    <t>SIM / Modulo de atención al ciudadano</t>
  </si>
  <si>
    <t>Gestión de Tecnologías de información</t>
  </si>
  <si>
    <t>Implementacion del plan estrategico de desarrollo informatico y tecnologico del ICBF</t>
  </si>
  <si>
    <t>2015: Definición de alternativas de integración, suscripción de convenio de interoperabilidad con una entidad y construcción de un servicio WEB de intercambio de información. Meta 20%
2016: Ejecución de la alternativa de integración de sistemas, suscripción de convenio de interoperabilidad con una entidad y construcción de un servicio WEB de intercambio de información. Meta 20%
2017: ejecución de la alternativa de integración de sistemas, suscripción de convenio de interoperabilidad con una entidad y construcción de un servicio WEB de intercambio de información. Meta 30%.
2018:  mantenimiento de la alternativa de integración de sistemas, suscripción de convenio de interoperabilidad con una entidad y construcción de dos servicios WEB de intercambio de información. Meta 30%
Los pesos porcentuales asignados a cada actividad serán definidos al inicio de cada vigencia.
La medición de este indicador iniciará a partir del segundo cuatrimestre, teniendo en cuenta que las actividades que abarcan los planes de trabajo definidos, tienen fechas de cumplimiento a partir de este periodo.</t>
  </si>
  <si>
    <t>Los pesos porcentuales asignados a cada actividad serán definidos al inicio de cada vigencia.
Observación 2: este indicador se genera en respuesta a la política de eficiencia administrativa la cual está orientada a identificar, racionalizar, simplificar y automatizar trámites, procesos, procedimientos y servicios, así como optimizar el uso de recursos, con el propósito de contar con organizaciones modernas, innovadoras, flexibles y abiertas al entorno, con capacidad de transformarse, adaptarse y responder en forma ágil y oportuna a las demandas y necesidades de la comunidad, para el logro de los objetivos del Estado. Incluye, entre otros, los temas relacionados con gestión de calidad, eficiencia administrativa y cero papel, racionalización de trámites, modernización institucional, gestión de tecnologías de información y gestión documental.</t>
  </si>
  <si>
    <t>Porcentaje de avanace en la implementación del Plan Estrategico de Desarrollo Informatico y Tecnologico del ICBF</t>
  </si>
  <si>
    <t>Incidente de seguridad de la Información: Interrupción no planificada de una reducción en la calidad de la confidencialidad, integridad o disponibilidad de la Información.
Confidencialidad: Asegurar que sólo quienes estén autorizados pueden acceder a la información.
Disponibilidad: Asegurar que los usuarios autorizados tienen acceso a la información y a sus activos asociados cuando lo requieran.
Integridad: Asegurar que la información y sus métodos de proceso son exactos y completos.
Acción de Mitigación: Acciones que eliminan de manera efectiva la vulnerabilidad solucionando de manera definitiva el incidente de seguridad de la Información reportado.
Acción de Control: Acciones que reducen la vulnerabilidad y atenúan el incidente de seguridad de la Información, es una acción alternativa mientras se da tratamiento definitiva al mismo.
SRT: Subdirección de Recursos Tecnológicos</t>
  </si>
  <si>
    <t xml:space="preserve">Porcentaje de Incidentes de seguridad atendidos  oportunamente </t>
  </si>
  <si>
    <t xml:space="preserve">La base de casos de uso / novedades se establecerá de acuerdo a  la priorización que se defina.
En el primer trimestre el rango se establece teniendo en cuenta que la operación se ve afectada por los procesos de contratación de personal.
La meta del  indicador contempla las posibles afectaciones que se puedan presentar durante la atención del requerimiento: cambios de personal, asignación de recursos por parte del funcional, fallas técnicas, entre otros.
Para los sistemas SEVEN / Isolucion y KACTUS la medición se realizará sobre el soporte que se brinda a través de los casos reportados en la mesa de servicio.
Los sistemas de apoyo corresponden a las demas soluciones que no hacen parte de los misionales denominados Cuéntame y SIM. 
Para el desarrollo (in-house/ tercerizado) de nuevos sistemas, o Comprados/ Licenciados o en arriendo de Nuevos Sistemas,  se contabilizarán dentro la medición de este indicador, aplicando la siguiente fórmula: 
Desarrollados In-House/ tercerizados: (((sumatoria de casos de uso y, o, novedades atendidos) +(sumatoria de casos de uso y,ó novedades atendidos sistema Nuevo) / total de casos de uso y,ó novedades priorizados)) + (sumatoria de casos atendidos en mesa de servicio/ casos reportados en mesa de servicio))/2)*100 
Comprados/ Licenciados o en arriendo: (((sumatoria de casos de uso y, o, novedades atendidos) +(sumatoria de casos de uso y,ó novedades y/o actas de aceptación atendidos sistema Nuevo)) / total de casos de uso y,ó novedades y/o actas de aceptación funcional priorizados)) + ((sumatoria de casos atendidos en mesa de servicio/ casos reportados en mesa de servicio))/2)*100. 
Nota: Para el reporte en el SUIFP el resultado de este indicador se realizará conjuntamente con los identificados como sistemas de apoyo  y acuerdo con la meta diferencial por vigencia que cubre el horizonte del proyecto de tecnología.
</t>
  </si>
  <si>
    <t>La base de casos de uso / novedades se establecerá de acuerdo a  la priorización que se defina.
En el primer trimestre el rango se establece teniendo en cuenta que la operación se ve afectada por los procesos de contratación de personal.
La meta del  indicador contempla las posibles afectaciones que se puedan presentar durante la atención del requerimiento: cambios de personal, asignación de recursos por parte del funcional, fallas técnicas, entre otros.
Para el desarrollo (in-house/ tercerizado) de nuevos sistemas, o Comprados/ Licenciados o en arriendo de Nuevos Sistemas,  se contabilizarán dentro la medición de este indicador, aplicando la siguiente fórmula: 
Desarrollados In-House/ tercerizados: ((sumatoria de casos de uso y, o, novedades atendidos Cuéntame) + (sumatoria de casos de uso y,ó novedades atendidos SIM)+(sumatoria de casos de uso y,ó novedades atendidos sistema Nuevo)) / total de casos de uso y,ó novedades priorizados)*100. 
Comprados/ Licenciados o en arriendo: ((sumatoria de casos de uso y, ó novedades atendidos Cuéntame) + (sumatoria de casos de uso y,ó novedades SIM)+(sumatoria de casos de uso y,ó novedades ó Actas de Aceptación Funcional de los sistemas Nuevos)) / total de casos de uso y,ó novedades y/o actas de aceptación funcional priorizados)*100.
Nota: Para el reporte en el SUIFP el resultado de este indicador se realizará conjuntamente con los identificados como sistemas de misionales  y acuerdo con la meta diferencial por vigencia que cubre el horizonte del proyecto de tecnología.</t>
  </si>
  <si>
    <t>Observación 1: Se mantiene la Linea Base del año 2014, dado que de acuerdo al seguimiento del indicador,  mientras los usuarios se apropian del sistema  se presenta una etapa de concientización y uso del sistema, que de alguna manera afecta el uso de los sistemas.
Observación 2: Los sistemas de información y los porcentajes de participación en el cálculo de la formula pueden variar por vigencia, entre otras razones porque entran a producción nuevos sistemas o se prioriza el conocimiento y uso de otros.
Observción 3: el resultado de numerador y denominador se obtiene de realizar la siguiente operación:
Consideraciones:
a = No. De usuarios que utilizan SIM * 0.5
b = No. De usuarios que utilizan ERP * 0.20
c = No. De Usuarios que utilizan Kactus * 0.20
d = No. de usuarios que utilizan CUENTAME *0.1
e = No. de usuarios creados para utilizar  SIM
f = No. de usuarios creados utilizar ERP
g = No. de usuarios creados utilizar KACTUS
h = No. de usuario creados CUENTAME
Numerador:
Nº de servidores públicos y contratistas que utilizan sistemas de información
Numerador = a.f.g.h +  b.e.g.h + c.e.f.h + d.e.f.g
Denominador =  e.f.g.h 
La siguiente fórmula es otra alternativa de llegar al mismo resultado:
((a/e)*0,5+(b/f)*0,2+(c/g)*0,2+(d/h)*0,1)</t>
  </si>
  <si>
    <t xml:space="preserve">Kactus:  Solución para la administración del talento humana, soporta el proceso de Gestión Humana
SEVEN: Enterprise resource planning, o sistemas de planificación de recursos empresariales. Para el ICBF orientado al proceso de gestión administrativo.
SIM: Sistema de Información misional del ICBF -Protección-.
CUENTAME:  Sistema de Información misional del ICBF -Prevención-.solución para el Registro de los Beneficiarios de primera infancia, así como la información de contratos y unidades de servicio asociadas con las modalidades. </t>
  </si>
  <si>
    <t>MPA6-07</t>
  </si>
  <si>
    <t xml:space="preserve">Porcentaje de avance en la definción e implementación de integración e interoperabilidad de los sistemas de información </t>
  </si>
  <si>
    <t xml:space="preserve">Medir el porcentaje de avance en la definición e implementación de la integración e interoperabilidad de los sistemas de información. </t>
  </si>
  <si>
    <t>creciente</t>
  </si>
  <si>
    <t>LP4-C5</t>
  </si>
  <si>
    <t>C-223-300-1</t>
  </si>
  <si>
    <t>(% de avance actividad 1 * Peso asignado) + (% de avance actividad 2 * Peso asignado )+ (% de avance actividad n * Peso asignado) * meta por vigencia</t>
  </si>
  <si>
    <t>Planes de trabajo para la definción e implementación de integración e interoperabilidad de los sistemas de información de la Subdirección de Sistemas Integrados de Información</t>
  </si>
  <si>
    <t>Evaluar que todos los servidores públicos y contratistas, que hacen parte de los procesos acordes con la dependencia del nivel regional, usen los sistemas de información definidos por el ICBF.</t>
  </si>
  <si>
    <t>Nº de servidores públicos y contratistas que utilizan las tecnologías de información / Nº de servidores públicos y contratistas programados para utilizar tecnologías de información.</t>
  </si>
  <si>
    <t>Nº de servidores públicos y contratistas que utilizan las tecnologías de información</t>
  </si>
  <si>
    <t>Nº de servidores públicos y contratistas programados para utilizar tecnologías de información.</t>
  </si>
  <si>
    <t>Nacional:
SIM – SEVEN – KACTUS - CUENTAME
Regional:
Reporte generado por la Subdirección de Sistemas Integrados de Información</t>
  </si>
  <si>
    <t>Medir el avance en el desarrollo de los sistemas de información misionales del ICBF,  con alcance evolutivo y adaptativo, programados para la vigencia.</t>
  </si>
  <si>
    <t>((sumatoria de casos de uso y,ó novedades atendidos Cuéntame) + (sumatoria de casos de uso y,ó novedades atendido SIM)) / total de casos de uso y,ó novedades priorizados)*100</t>
  </si>
  <si>
    <t>Tablero de control de requerimientos</t>
  </si>
  <si>
    <t>Medir el avance en el soporte de los sistemas de información de apoyo del ICBF,  con alcance evolutivo y adaptativo, programados para la vigencia.</t>
  </si>
  <si>
    <t>(((sumatoria de casos de uso y,ó novedades atendidos / total de casos de uso y,ó novedades priorizados)+(sumatoria de casos atendidos en mesa de servicio/ casos reportados en mesa de servicio))/2)*100</t>
  </si>
  <si>
    <t>Tablero de control de requerimientos
Base de datos de mesa de servicio</t>
  </si>
  <si>
    <t xml:space="preserve">Herramienta de mesa de servicio </t>
  </si>
  <si>
    <t>Medir el porcentaje de avance en la implementación del plan estratégico de desarrollo informático y tecnológico del del ICBF.</t>
  </si>
  <si>
    <t xml:space="preserve">(% de avance actividad 1 * Peso asignado) + (% de avance actividad 2 * Peso asignado )+ (% de avance actividad n * Peso asignado) </t>
  </si>
  <si>
    <t>Planes de trabajo para  la implementación del plan estratégico de desarrollo informático y tecnológico del ICBF</t>
  </si>
  <si>
    <t>Número de campañas desarrolladas que alcanzan cobertura nacional y cumplen con el plan de medios programado</t>
  </si>
  <si>
    <t>Medir el alcance de las campañas realizadas por la Oficina Asesora de Comunicaciones a nivel nacional dando cumplimiento al plan de medios programado.</t>
  </si>
  <si>
    <t>Número de campañas que  llegan a las 33 regionales y cumplen con el plan de medios programado. / Número de campañas programadas</t>
  </si>
  <si>
    <t>Número de campañas que  llegan a las 33 regionales y cumplen con el plan de medios programado.</t>
  </si>
  <si>
    <t>Número de campañas programadas</t>
  </si>
  <si>
    <t>Análisis del Informe ibope e informe del plan de medios.</t>
  </si>
  <si>
    <t>Plan de medios desarrollado por la Oficina Asesora de Comunicaciones</t>
  </si>
  <si>
    <t>Número de noticias con valoración positiva en monitoreo de prensa</t>
  </si>
  <si>
    <t xml:space="preserve">Medir la visibilidad de la gestión institucional ante los medios de interes. </t>
  </si>
  <si>
    <t>Número de noticias monitoreadas con valoración positiva / Número total de noticias monitoreadas</t>
  </si>
  <si>
    <t>Número de noticias monitoreadas con valoración positiva</t>
  </si>
  <si>
    <t>Número total de noticias monitoreadas</t>
  </si>
  <si>
    <t>Número de visitas a la información publicada por la Oficina Asesora de Comunicaciones en la pagina web.</t>
  </si>
  <si>
    <t>Evaluar la información publicada por la  Oficina Asesora de Comunicaciones en la pagina web con  relación a su contenido, diseño y eficacia de la información.</t>
  </si>
  <si>
    <t>Número de visitas a la información publicada por La Oficina Asesora de comunicaciones  en la pagina web. / Número de visitas  a la página web durante el periodo</t>
  </si>
  <si>
    <t>Número de visitas a la información publicada por La Oficina Asesora de comunicaciones  en la pagina web.</t>
  </si>
  <si>
    <t xml:space="preserve">Estadísticas página web </t>
  </si>
  <si>
    <t>Número de visitas a la página web durante el periodo</t>
  </si>
  <si>
    <t>Informes trimestrales de monitoreo de medios</t>
  </si>
  <si>
    <t>MPM1-10</t>
  </si>
  <si>
    <t>Medir el porcentaje de cumplimiento de los compromisos presupuestales de la meta presidencial de cada vigencia para cada una de las áreas ejecutoras como gerentes de los rubros presupuestales</t>
  </si>
  <si>
    <t>LP5</t>
  </si>
  <si>
    <t>Recursos Comprometidos / Meta Mensual de Compromisos</t>
  </si>
  <si>
    <t>Recursos Comprometidos</t>
  </si>
  <si>
    <t>Meta Mensual de Compromisos</t>
  </si>
  <si>
    <t>Reportes de Ejecucion Presupuestal SIIF</t>
  </si>
  <si>
    <t>Acuerdo de Desempeño con Presidencia</t>
  </si>
  <si>
    <t>Diseñar un modelo de distribución presupuestal para el ICBF</t>
  </si>
  <si>
    <t>Economia</t>
  </si>
  <si>
    <t>Actividades realizadas del Plan de Trabajo / Actividades totales programadas del Plan de Trabajo</t>
  </si>
  <si>
    <t>Actividades realizadas del Plan de Trabajo</t>
  </si>
  <si>
    <t>Actividades totales programadas del Plan de Trabajo</t>
  </si>
  <si>
    <t>Realizar un seguimiento, control y mejoras a la programación presupuestal inicial con los traslados solicitados por las áreas gerentes de los recursos para cada uno de los proyecto, e implementar un sistema de minimización y mejoras a los traslados solicitados.</t>
  </si>
  <si>
    <t>Numero de Solicitudes de Traslados aprobados por resolución, acumulados a la fecha / Numero de Solicitudes de Traslados aprobados por resolución, acumulados al mes de corte de la vigencia anterior</t>
  </si>
  <si>
    <t>Numero de Solicitudes de Traslados aprobados por resolución, acumulados a la fecha</t>
  </si>
  <si>
    <t>Numero de Solicitudes de Traslados aprobados por resolución, acumulados al mes de corte de la vigencia anterior</t>
  </si>
  <si>
    <t>Disminuir la tasa de solicitudes de vigencias expiradas</t>
  </si>
  <si>
    <t>Contratos para pago de pasivos exigibles por Proyectos, remitidos a la Dirección de Planeación y Control de Gestión / Histórico de Contratos Tramitados por Proyecto en la modalidad de Vigencia Expirada</t>
  </si>
  <si>
    <t>Contratos para pago de pasivos exigibles por Proyectos, remitidos a la Dirección de Planeación y Control de Gestión</t>
  </si>
  <si>
    <t>Histórico de Contratos Tramitados por Proyecto en la modalidad de Vigencia Expirada</t>
  </si>
  <si>
    <t>Integrar cada uno los modelos de costos definitivos de las modalidades de servicio que presta el ICBF a la programación presupuestal para cada vigencia.</t>
  </si>
  <si>
    <t>Modalidades de Atención con Modelo de costos definido y ajustado / Totalidad de Modalidades en Oferta Institucional</t>
  </si>
  <si>
    <t>Modalidades de Atención con Modelo de costos definido y ajustado</t>
  </si>
  <si>
    <t>Totalidad de Modalidades en Oferta Institucional</t>
  </si>
  <si>
    <t>Medir el porcentaje de cumplimiento de las obligaciones presupuestales de la meta presidencial de cada vigencia para cada una de las áreas ejecutoras como gerentes de los rubros presupuestales.</t>
  </si>
  <si>
    <t>Recursos Obligados / Meta Mensual de Obligaciones</t>
  </si>
  <si>
    <t>Recursos Obligados</t>
  </si>
  <si>
    <t>Meta Mensual de Obligaciones</t>
  </si>
  <si>
    <t>Porcentaje de cumplimiento a la proyección de ejecución presupuestal de compromisos</t>
  </si>
  <si>
    <t>MPM2-05</t>
  </si>
  <si>
    <t>MPM3-01</t>
  </si>
  <si>
    <t>MPM4-09</t>
  </si>
  <si>
    <t>MPM5-P1-10</t>
  </si>
  <si>
    <t>MPA1-P1-10</t>
  </si>
  <si>
    <t>MPA1-P5-12</t>
  </si>
  <si>
    <t>MPA4-01</t>
  </si>
  <si>
    <t>MPA5-P2-03</t>
  </si>
  <si>
    <t>MPA6-05</t>
  </si>
  <si>
    <t>MPE3-01</t>
  </si>
  <si>
    <t>MPA7-01</t>
  </si>
  <si>
    <t>MPE1-01</t>
  </si>
  <si>
    <t>MPA2-04</t>
  </si>
  <si>
    <r>
      <t xml:space="preserve">Instrucciones de calculo Numerador:
Aplicativo Isolucion - modulo Mejoramiento 
Paso 1: Ingrese al modulo mejoramiento y seleccione la opción "filtro" en acciones correctivas 
Paso 2: en la columna "Fecha de cierre" en "hasta" seleccione la fecha final del corte, ejemplo mensual comprende del 1 enero  a 31 de enero  entonces  seleccione estas fechas
Paso 3: Ahora seleccione en la columna "Estado" las cerradas
Paso 4: Luego seleccione en la columna "Regional/Centro Zonal" su regional
Paso 5: Verificar y hacer el conteo de las acciones cerradas eficazmente del "total de las cerradas"
</t>
    </r>
    <r>
      <rPr>
        <b/>
        <sz val="10"/>
        <rFont val="Calibri Light"/>
        <family val="2"/>
        <scheme val="major"/>
      </rPr>
      <t>Instrucciones de calculo Denominador:</t>
    </r>
    <r>
      <rPr>
        <sz val="10"/>
        <rFont val="Calibri Light"/>
        <family val="2"/>
        <scheme val="major"/>
      </rPr>
      <t xml:space="preserve">
Paso 1: Ingrese nuevamente al modulo mejoramiento y seleccione la opción "filtro" en acciones correctivas 
Paso 2: Seleccione en la columna "Estado" las vencidas
Paso 3: Ahora seleccione de la columna "Fecha prevista de cierre" en la opción "Hasta" la ultima fecha del mes, ejemplo:31 de enero
Paso 4: Luego seleccione en la columna "Regional/Centro Zonal" su regional
Paso 5: Realice el conteo de las acciones vencidas 
Paso 6: Ahora sume el  "total de las cerradas" mas las vencidas resultado del paso anterior 
Nota 1: Esto aplica para realizar el calculo del ultimo día del mes, si  se realiza post   erior al ultimo día del mes, debe realizar el siguiente filtro:
Paso 6:  seleccione en la columna "  Fecha prevista de cierre"  en "hasta" seleccione la fecha final del corte.
paso 7: seleccione en la columna" Estado "cerradas 
paso 8: seleccione  fecha de cierre " en hasta" seleccione  el día  posterior al corte, estas acciones cerradas posterior a la fecha de corte contaran como vencidas 
Nota 2:  Las acciones correctivas direccionas a los dueños de macro proceso/ procesos de la (sede) que se encuentra vencidas, no se contaran en  el reporte de la  regional  y estas se incluirán como vencidas  en el reporte del indicador de  la sede.
Denominador: Acciones correctivas cerradas contepla  las acciones correctivas cerradas eficazmente + No. De Acciones vencidas a la fecha de corte</t>
    </r>
  </si>
  <si>
    <t>Calidad (33 regionales y Sede Nacional)
Ambiental (15 regionales y Sede Nacional)
SGSST (15 regionales y Sede Nacional): 
SGSI(0 regionales y Sede Nacional): esto equivale a 66 certificados</t>
  </si>
  <si>
    <t xml:space="preserve">Certificado: Es el resultado de un proceso por el cual el ente certificador examinan  la  conformidad del producto  o sistema de gestión de una organización de acuerdo   a los requisitos de la norma. </t>
  </si>
  <si>
    <t>Premios Nacionales a la Calidad, la Excelencia y la Innovación: Reconoce a las organizaciones que han alcanzado altos de niveles de madurez en sus sistemas de gestión a través de los Premios a la Calidad, la Excelencia y la Innovación en Gestión. Estos Modelos son referentes prácticos que ayudan a las organizaciones a identificar el grado de desarrollo o madurez en que se encuentran en el camino hacia la excelencia; identificando las brechas que pueden existir para alcanzarla. Así mismo, sirven como una excelente herramienta de diagnóstico elevando los niveles de competitividad y sostenibilidad de las organizaciones a nivel nacional e internacional.</t>
  </si>
  <si>
    <r>
      <rPr>
        <b/>
        <sz val="10"/>
        <rFont val="Calibri Light"/>
        <family val="2"/>
        <scheme val="major"/>
      </rPr>
      <t>Nota1 :</t>
    </r>
    <r>
      <rPr>
        <sz val="10"/>
        <rFont val="Calibri Light"/>
        <family val="2"/>
        <scheme val="major"/>
      </rPr>
      <t xml:space="preserve"> para el reporte del indicador se tendrá en cuenta los servicios que no se han gestionado  es decir que no cuenta con tratamiento y que fueron generados en los meses anteriores del reporte del indicador. 
</t>
    </r>
    <r>
      <rPr>
        <b/>
        <sz val="10"/>
        <rFont val="Calibri Light"/>
        <family val="2"/>
        <scheme val="major"/>
      </rPr>
      <t xml:space="preserve">Nota 2: </t>
    </r>
    <r>
      <rPr>
        <sz val="10"/>
        <rFont val="Calibri Light"/>
        <family val="2"/>
        <scheme val="major"/>
      </rPr>
      <t xml:space="preserve">pasos para calcular el numerador en el aplicativo Isolución
Paso 1: Ingrese al modulo mejoramiento y seleccione la opción "filtro" de servicios no conformes 
Paso 2: en la columna "Fecha de cierre" en "hasta" seleccione la fecha final del corte, ejemplo mensual comprende del 1 enero  a 31 de enero  entonces  seleccione estas fechas
Paso 3: Ahora seleccione en la columna "Estado" los cerradas
Paso 4: Luego seleccione en la columna "Regional/Centro Zonal" 
</t>
    </r>
    <r>
      <rPr>
        <b/>
        <sz val="10"/>
        <rFont val="Calibri Light"/>
        <family val="2"/>
        <scheme val="major"/>
      </rPr>
      <t>Nota 3:</t>
    </r>
    <r>
      <rPr>
        <sz val="10"/>
        <rFont val="Calibri Light"/>
        <family val="2"/>
        <scheme val="major"/>
      </rPr>
      <t xml:space="preserve"> pasos para calcular el denominador en el aplicativo Isolución
Paso 1: Ingrese nuevamente al modulo mejoramiento y seleccione la opción "filtro" en servicios no conformes
Paso 2: Seleccione en la columna "Estado" abiertos 
Paso 4: Luego seleccione en la columna "Regional/Centro Zonal" su regional
Paso 5: Realice el conteo de los servicios no conformes 
Paso 6: Ahora sume el  "total de las cerradas " mas  las que están pendiente de Cierre
</t>
    </r>
  </si>
  <si>
    <t>Servicio No conforme: toda situación que afecte la calidad del servicio y a la cual se plantea o aplica una corrección para solucionar de forma inmediata dicha situación</t>
  </si>
  <si>
    <r>
      <t xml:space="preserve">Mapa de Riesgo del nivel regional o sede por Macro procesos/proceso 
</t>
    </r>
    <r>
      <rPr>
        <b/>
        <sz val="10"/>
        <rFont val="Calibri Light"/>
        <family val="2"/>
        <scheme val="major"/>
      </rPr>
      <t xml:space="preserve">Instrucciones de calculo Numerador: </t>
    </r>
    <r>
      <rPr>
        <sz val="10"/>
        <rFont val="Calibri Light"/>
        <family val="2"/>
        <scheme val="major"/>
      </rPr>
      <t xml:space="preserve">Identifique la cantidad de riesgos que en la fecha de corte, tenían previsto terminar todo el tratamiento (acciones), identifique el número de acciones previstas,  luego identifique cuantas de las actividades previstas cumplieron, registe el número de cada una de ellas en la tabla que esta adjunta a este hoja de vida. Es importante aclarar que además de actividades cumplidas, estas deben ser eficaces, es decir cumplir con el objetivo previsto que es controlar el riesgo o el que la Regional haya definido. 
La forma de calcular el numerador es: Si se cumplieron con todas las actividades previstas y estas fueron eficaces se registra 1, en caso de que no se haya cumplido una o mas se registra cero.  (columna calculo del numerador) 
Es importante hacer el análisis  en caso de no cumplimiento y contar con la evidencia de la implementación del tratamiento definido. 
Por último el reporte para cuando no existen controles (acciones) para la fecha de corte es 0 (cero) en cada columna y en la columna calculo del numerador es NA (se aclara que esto no castiga la gestión de la Regional para efectos de ningún reporte) 
</t>
    </r>
    <r>
      <rPr>
        <b/>
        <sz val="10"/>
        <rFont val="Calibri Light"/>
        <family val="2"/>
        <scheme val="major"/>
      </rPr>
      <t>Instrucciones de calculo Denominador:</t>
    </r>
    <r>
      <rPr>
        <sz val="10"/>
        <rFont val="Calibri Light"/>
        <family val="2"/>
        <scheme val="major"/>
      </rPr>
      <t xml:space="preserve"> Sume la cantidad de riesgos que en la fecha de corte, tenían previsto mitigar </t>
    </r>
  </si>
  <si>
    <r>
      <rPr>
        <b/>
        <sz val="10"/>
        <rFont val="Calibri Light"/>
        <family val="2"/>
        <scheme val="major"/>
      </rPr>
      <t>Instrucciones de calculo Numerador:</t>
    </r>
    <r>
      <rPr>
        <sz val="10"/>
        <rFont val="Calibri Light"/>
        <family val="2"/>
        <scheme val="major"/>
      </rPr>
      <t xml:space="preserve">
Aplicativo Isolucion - modulo Mejoramiento 
Paso 1: Ingrese al modulo mejoramiento y seleccione la opción "filtro" en acciones Preventivas
Paso 2: en la columna "Fecha de cierre" en "hasta" seleccione la fecha final del corte, ejemplo mensual comprende del 1 enero  a 31 de enero  entonces  seleccione estas fechas
Paso 3: Ahora seleccione en la columna "Estado" las cerradas
Paso 4: Luego seleccione en la columna "Regional/Centro Zonal" su regional
Paso 5: Verificar y hacer el conteo de las acciones cerradas eficazmente del "total de las cerradas"
</t>
    </r>
    <r>
      <rPr>
        <b/>
        <sz val="10"/>
        <rFont val="Calibri Light"/>
        <family val="2"/>
        <scheme val="major"/>
      </rPr>
      <t>Instrucciones de calculo Denominador:</t>
    </r>
    <r>
      <rPr>
        <sz val="10"/>
        <rFont val="Calibri Light"/>
        <family val="2"/>
        <scheme val="major"/>
      </rPr>
      <t xml:space="preserve">
Paso 1: Ingrese nuevamente al modulo mejoramiento y seleccione la opción "filtro" en acciones Preventivas 
Paso 2: Seleccione en la columna "Estado" las vencidas
Paso 3: Ahora seleccione de la columna "Fecha prevista de cierre" en la opción "Hasta" la ultima fecha del mes, ejemplo: del 1 al 31 de enero
Paso 4: Luego seleccione en la columna "Regional/Centro Zonal" su regional
Paso 5: Realice el conteo de las acciones vencidas 
Paso 6: Ahora sume el  "total de las cerradas" mas las vencidas resultado del paso anterior 
</t>
    </r>
    <r>
      <rPr>
        <b/>
        <sz val="10"/>
        <rFont val="Calibri Light"/>
        <family val="2"/>
        <scheme val="major"/>
      </rPr>
      <t>Nota 1</t>
    </r>
    <r>
      <rPr>
        <sz val="10"/>
        <rFont val="Calibri Light"/>
        <family val="2"/>
        <scheme val="major"/>
      </rPr>
      <t xml:space="preserve">: Esto aplica para realizar el calculo del ultimo día del mes, si  se realiza posterior al ultimo día del mes, debe realizar el siguiente filtro:
Paso 6:  seleccione en la columna "  Fecha prevista de cierre"  en "hasta" seleccione la fecha final del corte.
paso 7: seleccione en la columna" Estado "cerradas 
paso 8: seleccione  fecha de cierre " en hasta" seleccione  el día  posterior al corte, estas acciones cerradas posterior a la fecha de corte contaran como vencidas 
</t>
    </r>
    <r>
      <rPr>
        <b/>
        <sz val="10"/>
        <rFont val="Calibri Light"/>
        <family val="2"/>
        <scheme val="major"/>
      </rPr>
      <t xml:space="preserve">Nota 2: </t>
    </r>
    <r>
      <rPr>
        <sz val="10"/>
        <rFont val="Calibri Light"/>
        <family val="2"/>
        <scheme val="major"/>
      </rPr>
      <t xml:space="preserve"> Las acciones preventivas  direccionas a los dueños de macro proceso/ procesos de la (sede) que se encuentra vencidas, no se contaran en  el reporte de la  regional  y estas se incluirán como vencidas  en el reporte del indicador de  la sede.
</t>
    </r>
    <r>
      <rPr>
        <b/>
        <sz val="10"/>
        <rFont val="Calibri Light"/>
        <family val="2"/>
        <scheme val="major"/>
      </rPr>
      <t>Denominador:</t>
    </r>
    <r>
      <rPr>
        <sz val="10"/>
        <rFont val="Calibri Light"/>
        <family val="2"/>
        <scheme val="major"/>
      </rPr>
      <t xml:space="preserve"> Acciones preventivas cerradas contepla unicamente las acciones preventivas cerradas eficazmente + No. De Acciones vencidas a la fecha de corte</t>
    </r>
  </si>
  <si>
    <t>N° certificados otorgados en la vigencia / Número de certificados programados para ser otrogados durante la vigencia</t>
  </si>
  <si>
    <t>N° certificados otorgados en la vigencia</t>
  </si>
  <si>
    <t>Número de certificados programados para ser otrogados durante la vigencia</t>
  </si>
  <si>
    <t>Informe de auditoria entregado por el ente certificador</t>
  </si>
  <si>
    <t>Proyección realizada por la subdirección de Mejoramiento para el cuatrenio.</t>
  </si>
  <si>
    <t>Medir la eficacia de las acciones Preventivas que  contribuyen  a la mejora de los Macro procesos/procesos</t>
  </si>
  <si>
    <t>N° de  acciones  Preventivas cerradas  eficaces / No de Acciones preventivas  cerradas al corte</t>
  </si>
  <si>
    <t>N° de  acciones  Preventivas cerradas  eficaces</t>
  </si>
  <si>
    <t>No de Acciones preventivas  cerradas al corte</t>
  </si>
  <si>
    <t xml:space="preserve">Aplicativo Isolucion - modulo Mejoramiento </t>
  </si>
  <si>
    <t xml:space="preserve">Aplicativo Isolucion - modulo Mejoramiento 
</t>
  </si>
  <si>
    <t>Optimizar  la operación de los macro proceso/procesos a través de la simplificación, estandarización o eliminación de procedimientos.</t>
  </si>
  <si>
    <t>N° Macro procesos con evidencia de racionalización de procedimientos. / N° total número de Macro procesos.</t>
  </si>
  <si>
    <t>N° Macro procesos con evidencia de racionalización de procedimientos.</t>
  </si>
  <si>
    <t>N° total número de Macro procesos.</t>
  </si>
  <si>
    <t>Actualización de la Documentación del SIG mensual  (repositorio SMO)</t>
  </si>
  <si>
    <t>Mapa de Macro procesos</t>
  </si>
  <si>
    <t xml:space="preserve">Identificar el porcentaje de riesgos que fueron mitigados mediante la ejecución de actividades formuladas a partir de la más reciente valoración de riesgos </t>
  </si>
  <si>
    <t xml:space="preserve">Número de riesgos que se mitigaron / Total Riesgos que tenían previsto mitigar  a la fecha de corte </t>
  </si>
  <si>
    <t>Número de riesgos que se mitigaron</t>
  </si>
  <si>
    <t xml:space="preserve">Total Riesgos que tenían previsto mitigar  a la fecha de corte </t>
  </si>
  <si>
    <t>Mapa de riesgos nivel regional y Sede de la Dirección General</t>
  </si>
  <si>
    <t>Medir el  porcentaje de cierre de los servicios no conformes para la mejora de los procesos</t>
  </si>
  <si>
    <t>Nª de  servicios no conformes cerrados / Total de servicios no conformes generados</t>
  </si>
  <si>
    <t>Nª de  servicios no conformes cerrados</t>
  </si>
  <si>
    <t>Total de servicios no conformes generados</t>
  </si>
  <si>
    <t xml:space="preserve">
Aplicativo Isolucion - modulo Mejoramiento 
</t>
  </si>
  <si>
    <t>Medir la eficacia de las acciones correctivas que  contribuyen  a la mejora de los Macro procesos/procesos</t>
  </si>
  <si>
    <t>N° de  acciones correctivas  cerradas eficazmente  / No de Acciones Correctivas cerradas al corte</t>
  </si>
  <si>
    <t xml:space="preserve">N° de  acciones correctivas  cerradas eficazmente </t>
  </si>
  <si>
    <t>No de Acciones Correctivas cerradas al corte</t>
  </si>
  <si>
    <t xml:space="preserve">
Aplicativo Isolucion - modulo Mejoramiento </t>
  </si>
  <si>
    <t>Medir la racionalización de los trámites y/o procedimientos en el portal SUIT.</t>
  </si>
  <si>
    <t>Numero de trámites y/o procedimientos administrativos  racionalizados y actualizados en el portal SUIT / Numero de trámites y/o procedimientos administrativos  racionalizados y actualizados en el Portal SUIT  programados</t>
  </si>
  <si>
    <t>Numero de trámites y/o procedimientos administrativos  racionalizados y actualizados en el Portal SUIT  programados</t>
  </si>
  <si>
    <t xml:space="preserve"> Portal SUIT </t>
  </si>
  <si>
    <t xml:space="preserve">Medir el avance de la gestión institucional para lograr la postulación al Premio Colombiano a la Calidad de la Gestión
para ser una entidad reconocida por la Excelencia de la Gestión y Promover la Autoevaluación y la focalización hacia la satisfacción de las necesidades y expectativas del cliente y de las partes interesadas. </t>
  </si>
  <si>
    <t>N° de fases implementadas / N° de fases programadas al corte</t>
  </si>
  <si>
    <t>N° de fases implementadas</t>
  </si>
  <si>
    <t>N° de fases programadas al corte</t>
  </si>
  <si>
    <t>Plan operativo para postulación al Premio Colombiano a la Calidad de la Gestión</t>
  </si>
  <si>
    <t>Conocer las innovaciones realizadas en la entidad a través de la bitácora</t>
  </si>
  <si>
    <t>Número de bitácoras de innovaciones  implementadas / Bitácoras de innovacion programadas a implementar durante la vigencia</t>
  </si>
  <si>
    <t>Número de bitácoras de innovaciones  implementadas</t>
  </si>
  <si>
    <t>Bitácoras de innovacion programadas a implementar durante la vigencia</t>
  </si>
  <si>
    <t xml:space="preserve">Isolucion  Modulo de Mejoramiento y/o Base de datos Bitacoras </t>
  </si>
  <si>
    <t>Número de certificados en sistemas de Gestión de Calidad, Ambiental, Seguridad y Salud en el Trabajo y Seguridad de la Información otorgados a las  Regionales y sede de la Dirección General.</t>
  </si>
  <si>
    <t xml:space="preserve">Número de certificados en sistemas de Gestión de Calidad, Ambiental, Seguridad y Salud en el Trabajo y Seguridad de la Información otorgados a las  Regionales y sede de la Dirección General.  </t>
  </si>
  <si>
    <t xml:space="preserve">Medir la implementación del sistema integrado de gestión en Calidad, Ambiental, Seguridad y Salud en el Trabajo y Seguridad de la Información </t>
  </si>
  <si>
    <t xml:space="preserve">SUIT: Sistema Único de Información de Trámites, es un sistema electrónico de administración de información de trámites y servicios de la Administración Pública Colombiana que opera a través del Portal del Estado Colombiano, administrado por el DAFP por mandato legal, en alianza estratégica con el Ministerio de Comunicaciones - Programa Gobierno en Línea. 
Este sistema permite integrar la información y actualización de los trámites y servicios de las entidades de la administración pública para facilitar a los ciudadanos la consulta de manera centralizada y en línea.
Racionalización de tramite: proceso que permite reducir los tramites, con el menor esfuerzo y costo para el usuario a través de estrategias jurídicas administrativas o tecnológicas que implican: simplificación, estandarización, eliminación, automatización, adecuación o eliminación normativa, optimización del servicio, interoperabilidad de información publica y procedimientos administrativos orientados a facilitar la acción del ciudadano frente al estado </t>
  </si>
  <si>
    <t>Porcentaje de Acciones correctivas eficaces</t>
  </si>
  <si>
    <t>* Eficacia: Grado en el que se realizan las actividades planificadas y se alcanzan los resultados planificados. La medición de la eficacia se denomina en la Ley 872/03 como una medición de resultado.  La eficacia debe contribuir en la mejora de indicadores, inclusión o ajuste a algún procedimiento, reducción de tiempos o ahorro de recursos.
* Acción Correctiva (AC): Conjunto de acciones tomadas para eliminar la(s) causa(s) de una no conformidad detectada u otra situación no deseable. Es decir, la acción correctiva actúa sobre las causas de no conformidades que han ocurrido.</t>
  </si>
  <si>
    <t>Porcentaje de cierre de Servicios no conforme</t>
  </si>
  <si>
    <t>Porcentaje de Macro procesos con evidencia de racionalización de procedimientos.</t>
  </si>
  <si>
    <t>* Racionalización: Es aplicar estrategias efectivas de simplificación, automatización y optimización  para la operación de los procesos 
* Automatización del proceso: uso de tecnologías de información y comunicación, para apoyar y optimizar los procesos.
* Procedimiento: Es un conjunto de acciones u operaciones que tienen que realizarse de la misma forma, para obtener siempre el mismo resultado bajo las mismas circunstancias
* Macro Proceso: Agrupación definida por el instituto de un proceso o conjunto de procesos con el objeto de caracterizar su tipología (estratégicos, misionales, apoyo y evaluación).  Conjunto de procesos relacionados con características similares que mutuamente generan valor.</t>
  </si>
  <si>
    <t xml:space="preserve">* Eficacia: Grado en el que se realizan las actividades planificadas y se alcanzan los resultados planificados. La medición de la eficacia se denomina en la Ley 872/03 como una medición de resultado.  La eficacia debe contribuir en la mejora de indicadores, inclusión o ajuste a algún procedimiento, reducción de tiempos o ahorro de recursos.
* Acción Preventiva (AC): Conjunto de acciones tomadas para eliminar la(s) causa(s) de una no conformidad  potencial detectada u otra situación no deseable. </t>
  </si>
  <si>
    <t>Consejo de Política social (CPS): Escenario privilegiado para la Fórmulacòn, concertación, seguimiento y evaluación de las poltíticas públicas en Municipios y municipios, convocado de manera obligatoria e indelegable por Gobernadores y Alcaldes, con la asistencia de los integrantes del sistema Nacional de Bienestar Familiar
Sistema de Monitoreo a Consejos de Política Social (SMCPS): Sistema de Monitoreo diseñado por el Sistema Nacional de Bienestar Familiar para hacer seguimiento a la eficiencia de los Consejos de Política Social en Municipios y Municipios.
Monitoreo: Implica la acción de hacer seguimiento a la realización o no del Consejo de Política Social, como a que este organismo posea o no plan de acción con enfoque en políticas públicas de Niños, Niñas, Adolescentes y Familias. Se entenderá hecho el reporte de monitoreo cuando quiera que se establezca que el Consejo de Politica Social sesionó o no en el trimestre.</t>
  </si>
  <si>
    <t>(Número Municipios asistidos técnicamente en el ciclo de gestión de la Política Pública de primera Infancia, Infancia Adolescencia y fortalecimiento a la Familia) + (Número Departamentos asistidos técnicamente en el ciclo de gestión de la Política Pública de primera Infancia, Infancia Adolescencia y fortalecimiento a la Familia) / Número total de municipio y departamentos programados para asistencia técnica en el ciclo de gestión de la Política Pública de primera Infancia, Infancia Adolescencia y fortalecimiento a la Familia</t>
  </si>
  <si>
    <t>(Número Municipios asistidos técnicamente en el ciclo de gestión de la Política Pública de primera Infancia, Infancia Adolescencia y fortalecimiento a la Familia) + (Número Departamentos asistidos técnicamente en el ciclo de gestión de la Política Pública de primera Infancia, Infancia Adolescencia y fortalecimiento a la Familia)</t>
  </si>
  <si>
    <t>Número total de municipio y departamentos programados para asistencia técnica en el ciclo de gestión de la Política Pública de primera Infancia, Infancia Adolescencia y fortalecimiento a la Familia</t>
  </si>
  <si>
    <t>Plan de Asistencia Técnica</t>
  </si>
  <si>
    <t xml:space="preserve">Medir los avances en la gestión de proyectos de inversión elaborados y socializado con entidades del orden nacional y/o territorial. </t>
  </si>
  <si>
    <t>Número total de proyectos programados en la vigencia</t>
  </si>
  <si>
    <t xml:space="preserve"> Medir los avances en Consolidación del Sistema de monitoreo y seguimiento de la situación de los Derechos de Primera Infancia, Infancia, Adolescencia.</t>
  </si>
  <si>
    <t>Número total de indicadores del SUIN</t>
  </si>
  <si>
    <t>SUIN</t>
  </si>
  <si>
    <t>Medir los avances en el proceso de construcción, validación, implementación, monitoreo y evaluación del plan de acción nacional del SNBF para el periodo 2015 - 2018.</t>
  </si>
  <si>
    <t>Número de actividades ejecutadas en la construcción del Plan de Acción del SNBF 2015-2018 / Número total de actividades programadas para la construcción del Plan De Acción del SNBF 2015-2015</t>
  </si>
  <si>
    <t>Número de actividades ejecutadas en la construcción del Plan de Acción del SNBF 2015-2018</t>
  </si>
  <si>
    <t>Número total de actividades programadas para la construcción del Plan De Acción del SNBF 2015-2015</t>
  </si>
  <si>
    <t>Cronograma de actividades de construcción del Plan de Acción del SNBF 2015-2018</t>
  </si>
  <si>
    <t xml:space="preserve">  Medir los avances en el fortalecimiento en la coordinación de las instancias de decisión, operación, desarrollo técnico y participación del SNBF en los ámbitos nacional y territorial.</t>
  </si>
  <si>
    <t>(Municipios monitoreados en la operación de los Consejos de Política Social) + (Departamentos monitoreados en la operación de los Consejos de Política Social) / Número total de municipio y departamentos programados para ser monitoreados en la operación de los Consejos de Política Social</t>
  </si>
  <si>
    <t>(Municipios monitoreados en la operación de los Consejos de Política Social) + (Departamentos monitoreados en la operación de los Consejos de Política Social)</t>
  </si>
  <si>
    <t>Número total de municipio y departamentos programados para ser monitoreados en la operación de los Consejos de Política Social</t>
  </si>
  <si>
    <t>Informe regional de seguimiento y monitoreo a los Consejos de Política Social
Módulo de segumiento a Consejos de Política Social del SUIN</t>
  </si>
  <si>
    <t>Resolución ICBF 11404 de 2014</t>
  </si>
  <si>
    <t>EVALUACIÓN DE IMPACTO: Evaluación ex-post, posterior a la ejecución del programa, es un tipo de evaluación que se utiliza para medir el impacto o efecto de un programa en un grupo de individuos, hogares o instituciones y examinar si esos efectos son atribuibles específicamente a la intervención del programa. (Baker, 2000).
EVALUACIÓN DE OPERACIONES: Permite hacer un análisis riguroso en términos de los macro y micro procesos sobre los cuales se realiza una intervención; analizando para esto los diferentes actores, tal que se puedan hacer recomendaciones en términos de la dinámica operativa y organizacional del programa.
EVALUACIÓN DE RESULTADOS: Evaluación que se utiliza para estudiar los cambios en las condiciones de los beneficiarios como consecuencia (directa o indirecta, atribuible o no) de os productos entregados por una intervención en un horizonte de corto y mediano plazo.
INVESTIGACIÓN SOCIAL PARTICIPATIVA (ISP): Metodología de investigación adoptada por el ICBF para generar espacios de producción de conocimiento a nivel local (regionales y centros zonales) con el fin de lograr insumos que permitan orientar la toma de decisiones que busquen el mejoramiento de la calidad de vida de estas poblaciones Las Regionales son responsables del proceso contractual y ejecución de los recursos, una vez la sede nacional transfiere los recursos a nivel regional.
ENCUESTAS POBLACIONALES: Actividad de recolección de datos de forma organizada y metódica sobre las características de interés de algunas de las unidades de una población utilizando conceptos, métodos y procedimientos bien definidos, así como la compilación de la información en formatos de resumen. (INEGI-Glosario de estadística básica)</t>
  </si>
  <si>
    <t>SIMEI: Sistema Integral de Monitoreo y Evaluación Institucional</t>
  </si>
  <si>
    <t>Se desarrollarán 102 informes durante la vigencia los cuales serán reportados de la siguiente manera:
  a. 33 informes a nivel regional y 1 informe a nivel nacional corte primer trimestre publicados en el mes de mayo
  b. 33 informes a nivel regional y 1 informe a nivel nacional corte primer semestre publicados en el mes de agosto
  b. 33 informes a nivel regional y 1 informe a nivel nacional corte tercer trimestre publicados en el mes de noviembre</t>
  </si>
  <si>
    <t>MPEV1-P2-01</t>
  </si>
  <si>
    <t>Porcentaje de ejecución programa auditoria SIGE</t>
  </si>
  <si>
    <t>MPEV1-P2-02</t>
  </si>
  <si>
    <t>Porcentaje de Informes de cumplimiento realizados de funciones asignadas por normas internas y externas</t>
  </si>
  <si>
    <t xml:space="preserve">Los Dueños de Macroprocesos /Procesos reportan a la Oficina de Control Interno  del plan de mejoramiento, durante los 5 (cinco) primeros días de cada mes a traves del formato establecido. 
La Oficina de Control Interno recibe reportes, consolida, analiza, retroalimenta a Regional, presenta Informes a Cómite Estrategico  y envia los informes establecidos a la CGR.  
La Oficina de Control Interno Consolida, analiza y reporta los resultados del indicador.   </t>
  </si>
  <si>
    <t>MPEV1-P2-04</t>
  </si>
  <si>
    <t>Porcentaje  de avance al Plan de Mejoramiento de la Contraloría</t>
  </si>
  <si>
    <t>Este indicador permite medir los avances de cada una de las etapas para el desarrollo de las investigaciones y evaluaciones realizadas por el ICBF conjuntamente con otras Entidades proveedoras de investigación (universidades, consultoras, centros de investigacióin, fundaciones, entre otras) para la vigencia,  estas etapas son: i) Realizar el diseño y alcance; ii) Apoyar la contratación; iii) Realizar el seguimiento a la ejecución tecnica y presupuesta y iv) Prompover la divulgación y uso de resultados. 
para este año se programaron: i) ENSIN 2015; ii) la ENSANI (priorizara otros pueblos indigenas); ii) 6 proyectos de ISP y iii) dos (2) evaluciones a programas.</t>
  </si>
  <si>
    <t>Medir la eficacia del proceso de investigaciones y evaluaciones para la vigencia</t>
  </si>
  <si>
    <t>Numero de evaluaciones e investigaciones realizadas / Numero de evaluaciones e investigaciones programadas para la vigencia</t>
  </si>
  <si>
    <t>Numero de evaluaciones e investigaciones realizadas</t>
  </si>
  <si>
    <t>Numero de evaluaciones e investigaciones programadas para la vigencia</t>
  </si>
  <si>
    <t>Contratos y convenios suscritos entre el ICBF y la entidad ejecutora (Universidades, Firmas Consultoras, Centros de Investigación y Fundaciones)</t>
  </si>
  <si>
    <t>Agenda de Evaluaciones e Investigaciones 2015</t>
  </si>
  <si>
    <t>Porcentaje de Avance del Plan de Mejoramiento de la CGR</t>
  </si>
  <si>
    <t>Evidenciar el avance al plan de mejoramiento suscrito con la CGR de las Regionales y los Macro procesos /Procesos de la Sede de la Dirección General</t>
  </si>
  <si>
    <t>Total Puntaje logrado por las metas propuestas / Total tiempo en semanas propuesto</t>
  </si>
  <si>
    <t>Total Puntaje logrado por las metas propuestas</t>
  </si>
  <si>
    <t>Total tiempo en semanas propuesto</t>
  </si>
  <si>
    <t>Informe de avance  del Plan de Mejoramiento del Macroproceso /proceso y Regional suscrito con la CGR</t>
  </si>
  <si>
    <t>Porcentaje de informes generados en cumplimiento de funciones asignadas por normas internas y externas</t>
  </si>
  <si>
    <t>Cumplir con los tiempos de entrega de los informes requeridos por normas internas y externas</t>
  </si>
  <si>
    <t>No. de informes entregados / No. de informes programados a la fecha de corte.</t>
  </si>
  <si>
    <t>No. de informes entregados</t>
  </si>
  <si>
    <t>No. de informes programados a la fecha de corte.</t>
  </si>
  <si>
    <t>Informes de cumplimiento de funciones asignadas por normas internas y externas.</t>
  </si>
  <si>
    <t>Establecer el grado de cumplimiento en la ejecución de Auditorias del Sistema de Gestión de Calidad a  los Macro procesos/procesos de la Sede de la Dirección General.</t>
  </si>
  <si>
    <t xml:space="preserve"> (No. Auditoria Ejecutadas a la fecha de corte a Macro procesos/Procesos de la Sede de la Dirección General  / total de Auditorias Programadas a Macro procesos/Procesos de la Sede de la Dirección General) *100 )</t>
  </si>
  <si>
    <t xml:space="preserve"> (No. Auditoria Ejecutadas a la fecha de corte a Macro procesos/Procesos de la Sede de la Dirección General </t>
  </si>
  <si>
    <t>total de Auditorias Programadas a Macro procesos/Procesos de la Sede de la Dirección General) *100 )</t>
  </si>
  <si>
    <t>Informes de Auditoria del Sistema de Gestión de Calidad a Macroprocesos/Procesos de la Sede de la Dirección General</t>
  </si>
  <si>
    <t>Programa de Auditorias Aprobado</t>
  </si>
  <si>
    <t xml:space="preserve"> Porcentaje de Ejecución de Auditoria del Sistema de Gestión de Calidad a Regionales </t>
  </si>
  <si>
    <t xml:space="preserve">Establecer el grado de cumplimiento en la ejecución de Auditorias del Sistema de Gestión de Calidad a Regionales. </t>
  </si>
  <si>
    <t>No. Auditoria Ejecutadas a la fecha de corte a Regionales / Total de Auditorias Programadas a Regionales</t>
  </si>
  <si>
    <t>No. Auditoria Ejecutadas a la fecha de corte a Regionales</t>
  </si>
  <si>
    <t>Total de Auditorias Programadas a Regionales</t>
  </si>
  <si>
    <t>Informes de Auditoria del Sistema de Gestión de Calidad a Regionales</t>
  </si>
  <si>
    <t>Porcentaje de avance de Informes realizados sobre monitoreo institucional a nivel nacional y regional</t>
  </si>
  <si>
    <t>Medir el desarrollo de informes de monitoreo institucional generados por la Subdirección de Monitoreo y Evaluación a nivel nacional y regional</t>
  </si>
  <si>
    <t>Numero de informes de monitoreo realizados a nivel nacional y regional / Numero de informes de monitoreo programados a realizar a nivel nacional y regional</t>
  </si>
  <si>
    <t>Numero de informes de monitoreo realizados a nivel nacional y regional</t>
  </si>
  <si>
    <t>Numero de informes de monitoreo programados a realizar a nivel nacional y regional</t>
  </si>
  <si>
    <t>Informes de monitoreo publicados en la intranet</t>
  </si>
  <si>
    <t>Programación de informes de monitoreo establecida para la vigencia</t>
  </si>
  <si>
    <t>Medir la gestión del proceso de investigaciones y evaluaciones de la vigencia</t>
  </si>
  <si>
    <t>Numero de etapas para el desarrollo de investigaciones y evaluaciones realizadas / Numero de etapas para el desarrollo de investigaciones y evaluaciones programadas</t>
  </si>
  <si>
    <t>Numero de etapas para el desarrollo de investigaciones y evaluaciones realizadas</t>
  </si>
  <si>
    <t>Numero de etapas para el desarrollo de investigaciones y evaluaciones programadas</t>
  </si>
  <si>
    <t>Hacer seguimiento a los compromisos adquiridos en los eventos de rendición de cuentas y mesas públicas con el fin de garantizar que se dé respuestas a los requerimientos y ante todo se incentive verdaderos procesos participativos con incidencia en la cualificación del servicio público de bienestar familiar.</t>
  </si>
  <si>
    <t>Numero de compromisos realizados que se formularon en mesas publicas y rendición de cuentas / Numero de compromisos formulados en mesas publicas y rendición de cuentas</t>
  </si>
  <si>
    <t>Numero de compromisos realizados que se formularon en mesas publicas y rendición de cuentas</t>
  </si>
  <si>
    <t>Numero de compromisos formulados en mesas publicas y rendición de cuentas</t>
  </si>
  <si>
    <t>Guia 3 de cumplimiento a compromisos</t>
  </si>
  <si>
    <t>Medir el avance del desarrollo y puesta en marcha del sistema de seguimiento al tablero de control</t>
  </si>
  <si>
    <t>Numero de etapas desarrolladas del sistema de seguimiento a tablero de control durante la vigencia / Numero de etapas programadas para el desarrollo del sistema de seguimiento a tablero de control durante la vigencia</t>
  </si>
  <si>
    <t>Numero de etapas desarrolladas del sistema de seguimiento a tablero de control durante la vigencia</t>
  </si>
  <si>
    <t>Numero de etapas programadas para el desarrollo del sistema de seguimiento a tablero de control durante la vigencia</t>
  </si>
  <si>
    <t>Módulos implementados en la herramienta de seguimiento a tablero de control (SIMEI)</t>
  </si>
  <si>
    <t>Módulos programados a desarrollar en la herramienta de seguimiento a tablero de control (SIMEI)</t>
  </si>
  <si>
    <t>Rendición de cuentas</t>
  </si>
  <si>
    <t>LP2-C4</t>
  </si>
  <si>
    <t xml:space="preserve">Rendición pública de cuentas (RPC): Un proceso mediante el cual  se informa, se dialoga  sobre la gestión y decisiones, sustentando en público la efectividad o no de la gestión institucional. Presentación explicita y normalmente por escrito de los resultados obtenidos por una institución durante un periodo de gestión.
Mesas Públicas: Encuentros presenciales de interlocución, dialogo abierto y comunicación de doble vía  en la  Región con los ciudadanos, para tratar temas puntuales que tienen que ver con el cabal  funcionamiento del servicio público de bienestar familiar (SPBF), detectando anomalías, proponiendo correctivos y propiciando escenarios de prevención , cualificación y mejoramiento del mismo.   
Diálogo: Se refiere a las estrategias que se deben generar para fomentar el diálogo participativo y de doble vía  entre la rama ejecutiva y los ciudadanos, a fin de  discutir, evaluar, sustentar  y tener incidencia en las acciones y decisiones, que dan cuenta de la gestión pública.
Incentivos: Son todos aquellos mecanismos de motivación  a los grupos poblacionales e institucionales  frente a la participación en la cultura de rendición de cuentas 
Información: Se refiere a la disponibilidad, exposición y difusión de los datos, estadísticas, documentos, informes, etc., sobre las funciones a cargo de la institución o servidor público, desde el momento de la planeación hasta las fases de control y evaluación.  </t>
  </si>
  <si>
    <t>Evaluación de la Calidad de los Servicios Misionales del ICBF</t>
  </si>
  <si>
    <t>Acciones de Inspección, Vigilancia y Control: Proceso realizado para obtener evidencias objetivas que permitan determinar el fundamento de las peticiones que lleven a inferir presunta vulneración a los derechos de los niños, niñas, adolescentes  y familias, o, irregularidad en la prestación del servicio. Lo anterior, para establecer la contundencia sobre las condiciones en que un operador presta el servicio público de bienestar familiar y tomar las decisiones que den a lugar; en cumplimiento Decreto 987 de 2012 artículo 5 numeral 13.</t>
  </si>
  <si>
    <t xml:space="preserve">Auditoría de calidad: Proceso que hace una o varias personas del ICBF, con el fin de obtener evidencia objetiva que permita determinar la calidad en la prestación del Servicio Público de Bienestar Familiar. </t>
  </si>
  <si>
    <t>Los términos son establecidos por el Procedimiento PR6.MPEV2.P1 Licencias de Funcionamiento Prog de Adopción y Casas de Madres Gestantes</t>
  </si>
  <si>
    <t xml:space="preserve">Licencia de Funcionamiento: Es el acto administrativo por medio del cual el ICBF otorga a una persona jurídica de derecho privado, autorización para que  preste el Servicio Público de Bienestar Familiar en los programas o modalidades de protección, sin perjuicio de las finalidades de las condiciones de eficiencia y calidad del servicio. Este permiso significa que el ICBF, como ente rector y articulador del Sistema Nacional de Bienestar Familiar, da certeza que la institución asume el compromiso de prestar servicio público autorizado y ofrece las garantías y condiciones legales, financieras y técnico administrativas para desarrollar el proceso de atención a los niños, niñas y adolescentes y familias. </t>
  </si>
  <si>
    <t>Asistencia Técnica a los Actores del Macro Proceso Aseguramiento de la Calidad de los Servicios Misionales del ICBF</t>
  </si>
  <si>
    <t xml:space="preserve">Durante el primer trimestre del 2015, la Oficina de Aseguramiento de la Calidad enfoca sus esfuerzos en la actualización de la Norma Técnica de Empresa NTE ICBF-001:2015 </t>
  </si>
  <si>
    <t>1.Institución : Persona jurídica que presta el Servicio Público de Bienestar Familiar  en Prevención o Protección. 
2. Servicio: Conjunto de actividades desarrolladas por la organización y los responsables del servicio, orientadas a garantizar el cumplimiento de los objetivos de la modalidad.
3. Servicio Público de Bienestar Familiar : Conjunto de actividades del Estado encaminadas a satisfacer en forma permanente y obligatoria las necesidades de la Sociedad Colombiana relacionadas con la integración y realización armónica de la familia, la protección preventiva y especial de niños, niñas y adolescentes, y la garantía de sus derechos.
4. Calidad: Grado en que un conjunto de características inherentes cumplen con unos requisitos</t>
  </si>
  <si>
    <t>Verificar la ejecución de Visitas de Inspección, Vigilancia y Control realizadas a instituciones prestadoras del Servicio Público  de Bienestar Familiar de acuerdo con la meta establecida para la vigencia</t>
  </si>
  <si>
    <t>MPEV2-P1</t>
  </si>
  <si>
    <t>Ejecución de Visitas de Inspección, Vigilancia y Control realizadas a instituciones prestadoras del Servicio Público  de Bienestar Familiar / Numero de visitas programadas para inspección a realizar a instituciones prestadoras del Servicio Público  de Bienestar Familiar</t>
  </si>
  <si>
    <t>Ejecución de Visitas de Inspección, Vigilancia y Control realizadas a instituciones prestadoras del Servicio Público  de Bienestar Familiar</t>
  </si>
  <si>
    <t>Numero de visitas programadas para inspección a realizar a instituciones prestadoras del Servicio Público  de Bienestar Familiar</t>
  </si>
  <si>
    <t>Numero de Instituciones prestadoras del Servicio Público de Bienestar Familiar, con requisitos validados en la Norma Técnica de Empresa- ICBF - NTE 001</t>
  </si>
  <si>
    <t>Verificar las Instituciones prestadoras del Servicio Público de Bienestar Familiar que reciben asistencia técnica para validar los requisitos de la NTE ICBF:001 de acuerdo con la meta establecida para la vigencia</t>
  </si>
  <si>
    <t>MPEV2-P2</t>
  </si>
  <si>
    <t xml:space="preserve">
Instituciones prestadoras del Servicio Público de Bienestar Familiar que reciben asistencia técnica para validar los requisitos de la NTE ICBF:001 / N/A</t>
  </si>
  <si>
    <t>Informe de asistencia técnica sobre las Instituciones prestadoras del Servicio Público de Bienestar Familiar que reciben asistencia técnica para validar los requisitos de la NTE ICBF:001</t>
  </si>
  <si>
    <t>Porcentaje de Regionales fortalecidas en la aplicación  y normatividad vigente para los procedimientos de personerías jurídicas y licencias de funcionamiento</t>
  </si>
  <si>
    <t>Fortalecer a los equipos interdisciplinarios de las regionales en la verificación de los requisitos establecidos en la normatividad vigente y los procedimientos de personerías jurídicas y licencias de funcionamiento</t>
  </si>
  <si>
    <t>Total de regionales fortalecidas en la aplicación  de la normatividad vigente para los procedimientos de personerías jurídicas y licencias de funcionamiento / Total de Regionales ICBF</t>
  </si>
  <si>
    <t>Total de regionales fortalecidas en la aplicación  de la normatividad vigente para los procedimientos de personerías jurídicas y licencias de funcionamiento</t>
  </si>
  <si>
    <t>Total de Regionales ICBF</t>
  </si>
  <si>
    <t>Acta de memorias de retroalimentaión realizadas en las regionales con los equipos interdisciplinariosencargados de la verificación de requisitos de personerias jurídicas y licencias de funcionamiento</t>
  </si>
  <si>
    <t>Numero de auditorías selectivas de calidad realizadas a instituciones prestadoras del Servicio Público  de Bienestar Familiar.</t>
  </si>
  <si>
    <t>Verificar la ejecución de auditorías selectivas de calidad realizadas a instituciones prestadoras del Servicio Público de Bienestar Familiar de acuerdo con la meta establecida para la vigencia</t>
  </si>
  <si>
    <t>Total de auditorías selectivas de calidad realizadas a instituciones prestadoras del Servicio Público de Bienestar Familiar durante el trimestre / Total de auditorías selectivas de calidad proyectadas a realizar a instituciones prestadoras del Servicio Público de Bienestar Familiar durante el trimestre</t>
  </si>
  <si>
    <t>Total de auditorías selectivas de calidad realizadas a instituciones prestadoras del Servicio Público de Bienestar Familiar durante el trimestre</t>
  </si>
  <si>
    <t>Total de auditorías selectivas de calidad proyectadas a realizar a instituciones prestadoras del Servicio Público de Bienestar Familiar durante el trimestre</t>
  </si>
  <si>
    <t>Formato "Programa de Auditorias de Calidad"</t>
  </si>
  <si>
    <t>Gestión Administrativa</t>
  </si>
  <si>
    <t>Subdirección General</t>
  </si>
  <si>
    <t>MPE1-02</t>
  </si>
  <si>
    <t>Número de regionales con la implementación del modelo de enfoque diferencial</t>
  </si>
  <si>
    <t>Número de regionales con el modelo implementado / Número de regionales programadas para la implementación del modelo</t>
  </si>
  <si>
    <t>Número de regionales con el modelo implementado</t>
  </si>
  <si>
    <t>Número de regionales programadas para la implementación del modelo</t>
  </si>
  <si>
    <t>Documento del modelo de enfoque diferencial del ICBF</t>
  </si>
  <si>
    <t>N</t>
  </si>
  <si>
    <t>R</t>
  </si>
  <si>
    <t>Z</t>
  </si>
  <si>
    <t>PA</t>
  </si>
  <si>
    <t>PI</t>
  </si>
  <si>
    <t>Alineación</t>
  </si>
  <si>
    <t>x</t>
  </si>
  <si>
    <t>Plan de trabajo Oficina de Cooperación y Convenios 2015</t>
  </si>
  <si>
    <t>Matriz en Excel del plan de trabajo del Derecho a la Felicidad</t>
  </si>
  <si>
    <t>Sistema de Información de Cooperación SICO</t>
  </si>
  <si>
    <t>Plan de trabajo de la Oficina de cooperación y Convenios 2015</t>
  </si>
  <si>
    <t>Implementar el enfoque diferencial (genero, discapacidad y étnico) en la ejecución y formulación de políticas, lineamientos, programas y servicios del ICBF.</t>
  </si>
  <si>
    <t>Formato de seguimiento a la implementación del plan de acción del modelo de enfoque diferencial del ICBF</t>
  </si>
  <si>
    <t>Indicador</t>
  </si>
  <si>
    <t>PND</t>
  </si>
  <si>
    <t>Número de estrategias de articulación con cooperación implementadas en territorio  / Número de estrategias programadas a implementar en territorio durante la vigencia</t>
  </si>
  <si>
    <t>Informes trimestral consolidado de visita a los territorios</t>
  </si>
  <si>
    <t>Documento de priorización de territorios con la estrategia de articulación de la cooperación a implementar en la vigencia.</t>
  </si>
  <si>
    <t>Número de departamentos con la "estrategia de articulación con la cooperación" implementada</t>
  </si>
  <si>
    <t>Medir el avance de la implementación de la estrategia de la articulación con la cooperación en los departamentos</t>
  </si>
  <si>
    <t xml:space="preserve">Número de departamentos con la estrategia de articulación con la cooperación implementada </t>
  </si>
  <si>
    <t>Número de departamentos priorizados para implementar la estrategias en territorio durante la vigencia</t>
  </si>
  <si>
    <t>Meta 2015</t>
  </si>
  <si>
    <t xml:space="preserve">Numero de victimas NNA vinculados a Programas de Prevención </t>
  </si>
  <si>
    <t>Beneficiarios</t>
  </si>
  <si>
    <t>Porcentaje de niños y niñas que recuperaron su estado Nutricional que se encuentran en la modalidad de Centros de Recuperación Nutricional - CRN</t>
  </si>
  <si>
    <t>Porcentaje de niños y niñas que mejoraron su estado Nutricional que se encuentran en la modalidad Recuperación Nutricional con Énfasis en los Primeros 1.000 Días - RN1.000</t>
  </si>
  <si>
    <t xml:space="preserve">Porcentaje de niños y niñas que nacen con peso adecuado para la edad gestacional, hijos de mujeres con bajo peso durante la gestación que recibieron atención en la modalidad de Recuperación Nutricional con Énfasis en los Primeros 1.000 días. </t>
  </si>
  <si>
    <t xml:space="preserve">Porcentaje de bitacoras de innovaciones implementadas </t>
  </si>
  <si>
    <t>Ampliar cobertura y mejorar calidad en la atención integral a la Primera Infancia.</t>
  </si>
  <si>
    <t>Promover los derechos de los NNA y prevenir los riesgos o amenazas de vulneración de los mismos</t>
  </si>
  <si>
    <t>Fortalecer en las familias y comunidades étnicas capacidades que promuevan su desarrollo, fortalezcan sus vínculos de cuidado mutuo y prevengan la violencia intrafamiliar y de género.</t>
  </si>
  <si>
    <t>Promover la seguridad alimentaria y nutricional en el desarrollo de la primera infancia, los NNA y la familia.</t>
  </si>
  <si>
    <t>Garantizar la protección integral de los NNA en coordinación con las instancias del SNBF.</t>
  </si>
  <si>
    <t>Lograr una adecuada y eficiente gestión institucional a través de la articulación entre servidores, áreas y niveles territoriales; el apoyo administrativo a los procesos misionales, la apropiación de una cultura de la evaluación y la optimización del uso de los recursos</t>
  </si>
  <si>
    <t>Objetivo Insitucional</t>
  </si>
  <si>
    <t>Promover condiciones laborales que hagan del ICBF el mejor lugar para trabajar.</t>
  </si>
  <si>
    <t>Reducir los impactos ambientales generados por nuestra actividad.</t>
  </si>
  <si>
    <t>Impulsar una cultura de gestión de la calidad y el mejoramiento continuo.</t>
  </si>
  <si>
    <t>Gestionar el conocimiento institucional, con sistemas de información confiables, integrados y disponibles.</t>
  </si>
  <si>
    <t>Linea Politica</t>
  </si>
  <si>
    <t>Gestión de Adopciones</t>
  </si>
  <si>
    <t>MPA1-P2</t>
  </si>
  <si>
    <t>Plan Anual de Adquisiciones (PAA)</t>
  </si>
  <si>
    <t>MPA1-P5</t>
  </si>
  <si>
    <t>Modernización institucional</t>
  </si>
  <si>
    <t>Eficiencia administrativa y cero papel</t>
  </si>
  <si>
    <t>Gestión documental</t>
  </si>
  <si>
    <t>MPA5-P1</t>
  </si>
  <si>
    <t>Gestión Servicio a Beneficiarios</t>
  </si>
  <si>
    <t>Servicio al ciudadano</t>
  </si>
  <si>
    <t>MPA5-P2</t>
  </si>
  <si>
    <t>Gestión Atención PQR y sugerencias</t>
  </si>
  <si>
    <t>Transparencia y acceso a la información pública</t>
  </si>
  <si>
    <t>Programación y ejecución presupuestal</t>
  </si>
  <si>
    <t>Gestión de la calidad</t>
  </si>
  <si>
    <t>Racionalización de trámites</t>
  </si>
  <si>
    <t>MPEV1-P1</t>
  </si>
  <si>
    <t>Evaluación y Monitoreo de la Gestión</t>
  </si>
  <si>
    <t>MPEV1-P2</t>
  </si>
  <si>
    <t>Evaluación Independiente</t>
  </si>
  <si>
    <t>Formulación y seguimiento a Proyectos de Inversión</t>
  </si>
  <si>
    <t>Participación Ciudadana en la Gestión</t>
  </si>
  <si>
    <t>LP5-C2</t>
  </si>
  <si>
    <t>LP5-C4</t>
  </si>
  <si>
    <t>LP4-C4</t>
  </si>
  <si>
    <t>LP4-C2</t>
  </si>
  <si>
    <t>LP4-C6</t>
  </si>
  <si>
    <t>LP2-C5</t>
  </si>
  <si>
    <t>LP2-C1</t>
  </si>
  <si>
    <t>LP5-C1</t>
  </si>
  <si>
    <t>LP5-C3</t>
  </si>
  <si>
    <t>LP4-C1</t>
  </si>
  <si>
    <t>LP4-C3</t>
  </si>
  <si>
    <t>LP2-C3</t>
  </si>
  <si>
    <t>Cod</t>
  </si>
  <si>
    <t>Objetivos</t>
  </si>
  <si>
    <t>Mapa de macroprocesos</t>
  </si>
  <si>
    <t>SIGE</t>
  </si>
  <si>
    <t>Lineas de politica DAFP</t>
  </si>
  <si>
    <t>Indicadores</t>
  </si>
  <si>
    <t>MPEV2-P1-01</t>
  </si>
  <si>
    <t xml:space="preserve"> Porcentaje de cumplimiento en el diseño e implementación del PLAN MAESTRO DE INFRAESTRUCTURA </t>
  </si>
  <si>
    <t>Hacer seguimiento a las distintas etapas de diseño e implementación del Plan Maestro de Infraestructura para el periodo 2015-2018</t>
  </si>
  <si>
    <t>Número de actividades correspondientes al diseño del modelo del Plan Maestro de Infraestructura ejecutadas. / Número de actividades correspondientes al diseño del Plan Maestro de Infraestructura programadas</t>
  </si>
  <si>
    <t>Número de actividades correspondientes al diseño del modelo del Plan Maestro de Infraestructura ejecutadas.</t>
  </si>
  <si>
    <t>Número de actividades correspondientes al diseño del Plan Maestro de Infraestructura programadas</t>
  </si>
  <si>
    <t xml:space="preserve"> Informe de avances en el diseño del Plan Maestro de Infraestructura</t>
  </si>
  <si>
    <t xml:space="preserve"> Plan de acción del diseño e implementacion del PLAN MAESTRO DE INFRAESTRUCTURA PENDIENTE</t>
  </si>
  <si>
    <t>Aplicativo SIIF NACION-Ministerio de Hacienda y Crédito Publico 
Reporte Dirección Financiera</t>
  </si>
  <si>
    <t>Medir el porcentaje de ejecución presupuestal que la Regional logra en el periodo evaluado</t>
  </si>
  <si>
    <t>Valor compromisos / Apropiación vigente</t>
  </si>
  <si>
    <t>Valor compromisos</t>
  </si>
  <si>
    <t>Apropiación vigente</t>
  </si>
  <si>
    <t>Aplicativo SIIF NACION- EPG - REPORTE EJECUCION PRESUPUESTAL AGREGADA</t>
  </si>
  <si>
    <t>Medir la efectividad de la programación, distribución y ejecución del PAC - RECURSOS PROPIOS asignado para el pago de compromiso.</t>
  </si>
  <si>
    <t>Pagos efectivos-PROPIOS acumulados  / PAC RECURSOS PROPIOS acumulado aprobado a la misma fecha</t>
  </si>
  <si>
    <t xml:space="preserve">Pagos efectivos-PROPIOS acumulados </t>
  </si>
  <si>
    <t>PAC RECURSOS PROPIOS acumulado aprobado a la misma fecha</t>
  </si>
  <si>
    <t>Aplicativo SIIF  NACION</t>
  </si>
  <si>
    <t>Medir la efectividad de la programación, distribución y ejecución del PAC - RECURSOS NACION asignado para el pago de compromiso.</t>
  </si>
  <si>
    <t>Pagos efectivos-NACION acumulados / PAC NACION acumulado aprobado a la misma fecha</t>
  </si>
  <si>
    <t>Pagos efectivos-NACION acumulados</t>
  </si>
  <si>
    <t>PAC NACION acumulado aprobado a la misma fecha</t>
  </si>
  <si>
    <t>Porcentaje de Informes generados en cumplimiento de funciones asignadas por normas internas y externas</t>
  </si>
  <si>
    <t>TABLERO DE CONTROL 2015
INSTITUTO COLOMBIANO DE BIENESTAR FAMILIAR</t>
  </si>
  <si>
    <t>RESUMEN HOJAS DE VIDA TABLERO DE CONTROL 2015</t>
  </si>
  <si>
    <t>N: Nacional; R: Regional; Z: Zonal
PA: Plan de Acción; PI: Plan Indicativo
PND: Plan Nacional de Desarrollo</t>
  </si>
  <si>
    <t>Número de entidades territoriales con acompañamiento para la implementación de la ruta integral de atenciones.</t>
  </si>
  <si>
    <t>Número de municipios y departamentos que recibieron la orientación técnica en la apropiación e implementación de la ruta integral de atenciones. / Total de municipios y departamentos focalizados en la vigencia para recibir las orientaciones técnicas en la apropiación e implementación de la ruta integral de atenciones.</t>
  </si>
  <si>
    <t>Informes trimestrales de Inspección, Vigilancia y Control</t>
  </si>
  <si>
    <t>Consolidado histórico de auditorias selectivas realizadas en años anteriores</t>
  </si>
  <si>
    <t>Consolidado histórico de análisis tendencial de visitas</t>
  </si>
  <si>
    <t>Mediana en meses de la duración de lactancia materna exclusiva en la modalidad FAMI y CDI Modalidad Familiar</t>
  </si>
  <si>
    <t>Número de Municipios y departamentos que recibieron la orientación técnica en la apropiación e implementación de la ruta integral de atenciones.</t>
  </si>
  <si>
    <t>Municipios y departamentos que reciben orientaciones técnicas en la apropiación e implementación de la ruta integral de atenciones.</t>
  </si>
  <si>
    <t>Conocer el numero de familias atendidas por  la  modalidad "Territorios Étnicos con Bienestar" frente  a las familias programadas en la vigencia</t>
  </si>
  <si>
    <t xml:space="preserve"> </t>
  </si>
  <si>
    <t xml:space="preserve">Numero de casos en los cuales se ha realizado gestión para la activación de ruta de restablecimiento de derechos por parte de operador / Numero de casos de derechos  vulnerados, inobservados o amenazados identificados mediante diagnostico de derechos </t>
  </si>
  <si>
    <t>Numero de casos en los cuales se ha realizado gestión para la activación de ruta de restablecimiento de derechos por parte de operador</t>
  </si>
  <si>
    <t>Porcentaje del diseño e implementación de la ruta integral de atención de infancia y adolescencia.</t>
  </si>
  <si>
    <t>Número de Municipios priorizados con la implementación de la estrategia de prevención de embarazo en la adolescencia</t>
  </si>
  <si>
    <t xml:space="preserve">Sumatoria del número de niños, niñas y adolescentes participantes del Programa Generaciones con Bienestar en todas sus modalidades identificados como victimas / Sumatoria del total de niños, niñas y adolescentes identificados como victimas participantes del Programa Generaciones con Bienestar en todas sus modalidades programados  </t>
  </si>
  <si>
    <t xml:space="preserve">Sumatoria del número de niños, niñas y adolescentes participantes del Programa Generaciones con Bienestar en todas sus modalidades identificados como victimas </t>
  </si>
  <si>
    <t>Sumatoria del total de niños, niñas y adolescentes identificados como victimas participantes del Programa Generaciones con Bienestar en todas sus modalidades programados</t>
  </si>
  <si>
    <t>NA</t>
  </si>
  <si>
    <t>proteccion</t>
  </si>
  <si>
    <t>soporte</t>
  </si>
  <si>
    <t>servicio</t>
  </si>
  <si>
    <t>evaluacion</t>
  </si>
  <si>
    <t>calidad</t>
  </si>
  <si>
    <t>misional</t>
  </si>
  <si>
    <t>transparencia</t>
  </si>
  <si>
    <t>talento</t>
  </si>
  <si>
    <t>admon</t>
  </si>
  <si>
    <t>Gestión financiera</t>
  </si>
  <si>
    <t>financiera</t>
  </si>
  <si>
    <t>Transparencia y Acceso a la Información Pública</t>
  </si>
  <si>
    <t>Plan Anticorrupción y de Atención al Ciudadano</t>
  </si>
  <si>
    <t>LP2-C2</t>
  </si>
  <si>
    <t>Rendición de Cuentas</t>
  </si>
  <si>
    <t>Servicio al Ciudadano</t>
  </si>
  <si>
    <t>Gestión de la Calidad</t>
  </si>
  <si>
    <t>Eficiencia Administrativa y Cero Papel</t>
  </si>
  <si>
    <t>Racionalización de Trámites</t>
  </si>
  <si>
    <t>Modernización Institucional</t>
  </si>
  <si>
    <t>Gestión Documental</t>
  </si>
  <si>
    <t>Soporte Institucional</t>
  </si>
  <si>
    <t>LP4-C7</t>
  </si>
  <si>
    <t>Programación y Ejecución Presupuestal</t>
  </si>
  <si>
    <t>identificar la participación de los Niños, Niñas y Adolescentes entre los 6 y 17 años en programas y estrategias de prevención y promoción de derechos implementadas</t>
  </si>
  <si>
    <t>Niños y Niñas con Atención Integral a la Primera Infancia</t>
  </si>
  <si>
    <t>E-01</t>
  </si>
  <si>
    <t>SIGE1</t>
  </si>
  <si>
    <t>SIGE2</t>
  </si>
  <si>
    <t>SIGE3</t>
  </si>
  <si>
    <t>SIGE4</t>
  </si>
  <si>
    <t>SIGE5</t>
  </si>
  <si>
    <t>SIGE6</t>
  </si>
  <si>
    <t>SIGE7</t>
  </si>
  <si>
    <t>SIGE8</t>
  </si>
  <si>
    <t>SIGE9</t>
  </si>
  <si>
    <t>SIGE10</t>
  </si>
  <si>
    <t>E-04</t>
  </si>
  <si>
    <t xml:space="preserve">Nuevos agentes educativos vinculados a procesos de formación en el modelo de atención integral </t>
  </si>
  <si>
    <t>E-03</t>
  </si>
  <si>
    <t xml:space="preserve">Niños y Niñas atendidos en hogares ICBF que brindan educación inicial, cuidado y nutrición </t>
  </si>
  <si>
    <t xml:space="preserve">Niños y niñas atendidos integralmente que cuentan con registro civil </t>
  </si>
  <si>
    <t>Niños y niñas atendidos por el programa de complementación nutricional -DIA</t>
  </si>
  <si>
    <t>Medir el número de niños y niñas atendidos por el programa de complementación nutricional "-DIA-"</t>
  </si>
  <si>
    <t>Niños y niñas en primera infancia en familias que participan en procesos de formación</t>
  </si>
  <si>
    <t xml:space="preserve">Porcentaje de niños y niñas de la Red Unidos con Atencion a la Primera Infancia de acuerdo a criterios ANSPE de atención integral </t>
  </si>
  <si>
    <t>Porcentaje de niños y niñas víctimas de conflicto armado  atendidos en las difentes modalidades de atención a la primera infancia.</t>
  </si>
  <si>
    <t>Documento soporte del desarrollo de la politica y la  ruta integral de atención de infancia y adolescencia</t>
  </si>
  <si>
    <t xml:space="preserve">Numero de  municipios con la implementación de la estrategia de Prevención de Embarazo en Adolescentes </t>
  </si>
  <si>
    <t xml:space="preserve">Numero de  municipios con la implementación de la estrategia de Prevención de Embarazo en Adolescentes  / Número de municipios   programados para  la implementación de la  estrategia de Prevención de Embarazo en Adolescentes </t>
  </si>
  <si>
    <t>E-07</t>
  </si>
  <si>
    <t>Agentes educativos, institucionales y comunitarios de Programas del ICBF formados en derechos sexuales y reproductivos y prevención del embarazo en la adolescencia</t>
  </si>
  <si>
    <t xml:space="preserve">Reporte de regionalización + lineamiento técnico de Programa Generaciones con bienestar </t>
  </si>
  <si>
    <t>Sumatoria del total de Agentes educativos  institucionales y comunitarios de Programas del ICBF</t>
  </si>
  <si>
    <t>Número de  agentes educativos institucionales y comunitarios de Programas del ICBF formados en derechos sexuales y reproductivos y prevención del embarazo adolescente en el periodo de medición / Sumatoria del total de Agentes educativos  institucionales y comunitarios de Programas del ICBF</t>
  </si>
  <si>
    <t>E-05</t>
  </si>
  <si>
    <t>Niños, niñas y adolescentes vinculados a programas de prevención</t>
  </si>
  <si>
    <t>Convención sobre los derechos del niño:
Artículo 12. Se reconoce el derecho de niños, niñas y adolescentes, que están en condiciones de formarse un juicio propio, a expresar libremente sus opiniones en todos los asuntos que les afecten, y a tomarlas en cuenta en función de su edad y madurez.
Constitución Política de Colombia: 
Artículo 2. El Estado debe facilitar la participación de todas las personas
en las decisiones que los afectan en la vida económica, política, administrativa y cultural de la nación.
Artículo 40. Consagra el derecho de todos los ciudadanos a participar en la formación, ejercicio y control del poder político.
Artículo 44. Define como uno de los derechos fundamentales de niños, niñas y adolescentes la libre expresión de su opinión y asigna al Estado, la sociedad y la familia la obligación de concurrir en su garantía.
Ley 1098 de 2006: Artículo 31. Derecho a la participación. Niños, niñas y adolescentes tienen derecho a participar en las actividades que se realicen en la familia, las instituciones educativas, las asociaciones, los programas estatales, departamentales, distritales y municipales que sean de su interés. El Estado y la sociedad propiciarán su participación activa en organismos públicos y privados que tengan a cargo la protección, cuidado y educación de la infancia y la adolescencia.
Artículo 32. Derecho de asociación y reunión. Niños, niñas y adolescentes tienen derecho de reunión y asociación con fines sociales, culturales, deportivos, recreativos, religiosos, políticos o de cualquier otra índole, sin más limitación de las que impone la ley, las buenas costumbres, la salubridad física o mental y el bienestar del menor.
Artículo 34. Derecho a la información. Niños, niñas y adolescentes tienen derecho a buscar, recibir y difundir información e ideas a través de los distintos medios de comunicación de que dispongan.
Decreto  936 de 2014: Por el cual se reorganiza el Sistema Nacional de Bienestar Familiar
Artículo 8°. INSTANCIAS DEL SISTEMA NACIONAL DE BIENESTAR FAMILIAR. En el marco de la necesaria articulación y coordinación, el Sistema Nacional de Bienestar Familiar organizará su funcionamiento a través de las siguientes instancias de decisión y orientación, de operación, de desarrollo técnico y de participación.
En los municipios y distritos, las instancias del Sistema Nacional de Bienestar Familiar son:
…(4) Instancias de participación: cada municipio/distrito deberá definir la mesa de participación de niños, niñas y adolescentes correspondiente, con el liderazgo de la Mesa de Infancia, Adolescencia y Familia o quien haga sus veces. 
Ley Estatutaria de Veedurías Ciudadanas, ley 850 de 2003: Define la veeduría como el mecanismo de participación ciudadana mediante el cual se ejerce el control social responsable a las actividades del Estado en sus diferentes niveles</t>
  </si>
  <si>
    <t>Reporte CDI's entregados emitido por el Grupo de Infraestructura de la Dirección Administrativa</t>
  </si>
  <si>
    <t xml:space="preserve">Numero de horas de encuentros vivenciales realizadas en el  Programa "Generaciones con Bienestar"  </t>
  </si>
  <si>
    <t>Medir la  efectividad de  las  gestiones  realizadas por  el  operador  en los  casos en los cuales habiendo identificado vulneración, amenaza o inobservancia de derechos de los NNA a través de los diagnósticos  de derechos, se adelantaron desde el Programa gestiones con las entidades del Sistema Nacional de Bienestar Familiar para activar rutas de restablecimiento de derechos.</t>
  </si>
  <si>
    <t>Herramienta de seguimiento mensual del Programa Generaciones con Bienestar. (enlace regional)</t>
  </si>
  <si>
    <t xml:space="preserve">Porcentaje de casos de vulneración, amenaza o inobservancia de derechos identificados por diagnostico de derechos, con gestiones realizadas por el operador para la activación de ruta de restablecimiento </t>
  </si>
  <si>
    <t>Porcentaje de casos de vulneracion, amenaza o inobservancia de derechos identificados en el programa de Generaciones con Bienestar, con gestiones realizadas</t>
  </si>
  <si>
    <r>
      <rPr>
        <b/>
        <sz val="8"/>
        <rFont val="Calibri Light"/>
        <family val="2"/>
        <scheme val="major"/>
      </rPr>
      <t>Población Sujeto de Atención:</t>
    </r>
    <r>
      <rPr>
        <sz val="8"/>
        <rFont val="Calibri Light"/>
        <family val="2"/>
        <scheme val="major"/>
      </rPr>
      <t xml:space="preserve"> La población que atiende esta modalidad  son las familias  y comunidades pertenecientes a grupos étnicos reconocidos por la legislación Colombiana, como son: Pueblos Indígenas, Comunidades Negras, Afrocolombianas, Raizales, Palenqueros y Pueblo Gitano o Rrom.
</t>
    </r>
    <r>
      <rPr>
        <b/>
        <sz val="8"/>
        <rFont val="Calibri Light"/>
        <family val="2"/>
        <scheme val="major"/>
      </rPr>
      <t>Pueblos indígenas:</t>
    </r>
    <r>
      <rPr>
        <sz val="8"/>
        <rFont val="Calibri Light"/>
        <family val="2"/>
        <scheme val="major"/>
      </rPr>
      <t xml:space="preserve"> El Artículo 2º del Decreto 2164 de 1995, define a la comunidad o parcialidad indígena como el grupo o conjunto de familias de ascendencia amerindia, que tienen conciencia de identidad y comparten valores, rasgos, usos o costumbres de su cultura, así como formas de gobierno, gestión, control social o sistemas normativos propios que la distinguen de otras comunidades, tengan o no títulos de propiedad, o que no puedan acreditarlos legalmente, o que sus resguardos fueron disueltos, divididos o declarados vacantes. 
Comunidades Negras:
En Colombia se emplean dos categorías para referirse a las poblaciones de origen africano que llegaron a América por las rutas de la esclavitud: comunidades negras o afrocolombianos. Una comunidad negra, según la Ley 70 de 1993, es: “el conjunto de familias de ascendencia afrocolombiana que poseen una cultura propia, comparten una historia y tienen sus propias tradiciones y costumbre dentro de la relación campo-poblado, que revelan y conservan conciencia de identidad que las distinguen de otros grupos étnicos”. Esta misma ley establece que la forma de organización social y política de las  comunidades negras se da a partir de Consejos Comunitarios. 
</t>
    </r>
    <r>
      <rPr>
        <b/>
        <sz val="8"/>
        <rFont val="Calibri Light"/>
        <family val="2"/>
        <scheme val="major"/>
      </rPr>
      <t>Afrocolombianos:</t>
    </r>
    <r>
      <rPr>
        <sz val="8"/>
        <rFont val="Calibri Light"/>
        <family val="2"/>
        <scheme val="major"/>
      </rPr>
      <t xml:space="preserve"> La categoría “afrocolombiano”, se refiere al conjunto de personas con ancestro africano que habitan en el país y se auto-reconocen como tales. Dentro de este grupo no sólo están las comunidades negras que describe la Ley 70 de 1993, sino que comparte este origen común y no necesariamente vive de forma colectiva.  
</t>
    </r>
    <r>
      <rPr>
        <b/>
        <sz val="8"/>
        <rFont val="Calibri Light"/>
        <family val="2"/>
        <scheme val="major"/>
      </rPr>
      <t>Palenquera:</t>
    </r>
    <r>
      <rPr>
        <sz val="8"/>
        <rFont val="Calibri Light"/>
        <family val="2"/>
        <scheme val="major"/>
      </rPr>
      <t xml:space="preserve"> Los Palenqueros habitan en San Basilio de Palenque, municipio de Mahates, Bolívar. San Basilio de Palenque es recordado en la historia por haber sido el primer pueblo libre de América, pues sus ancestros, esclavos cimarrones, se rebelaron ante la corona española bajo el liderazgo del legendario Benkos Biohó. Actualmente los Palenqueros cuentan con un título colectivo, una organización social y familiar que revela huellas de africana y una lengua propia que mezcla raíces africanas con el castellano. 
</t>
    </r>
    <r>
      <rPr>
        <b/>
        <sz val="8"/>
        <rFont val="Calibri Light"/>
        <family val="2"/>
        <scheme val="major"/>
      </rPr>
      <t>Raizales del Archipiélago de San Andrés y Providencia:</t>
    </r>
    <r>
      <rPr>
        <sz val="8"/>
        <rFont val="Calibri Light"/>
        <family val="2"/>
        <scheme val="major"/>
      </rPr>
      <t xml:space="preserve"> Según el Ministerio de Cultura, “la población raizal es la población nativa de las islas de San Andrés, Providencia y Santa Catalina, que para evitar confusión con la denominación de “nativos” dada a los indígenas, se hacen llamar “raizales” y son el producto del mestizaje entre indígenas, españoles, franceses, ingleses, holandeses y africanos, primando la cultura británica que fue la que colonizó de manera más fuerte las islas del Caribe.”
</t>
    </r>
    <r>
      <rPr>
        <b/>
        <sz val="8"/>
        <rFont val="Calibri Light"/>
        <family val="2"/>
        <scheme val="major"/>
      </rPr>
      <t>Pueblos Rrom o Gitano:</t>
    </r>
    <r>
      <rPr>
        <sz val="8"/>
        <rFont val="Calibri Light"/>
        <family val="2"/>
        <scheme val="major"/>
      </rPr>
      <t xml:space="preserve"> El pueblo Rrom o gitano, como se les conoce, es un pueblo de origen noríndico y transnacional que habita en todos los rincones del planeta. A pesar de sus origines (Europa y Asia), han hecho parte de la historia del país, incluso desde tiempos coloniales.  El Estado Colombiano los reconoció como un grupo étnico de este país, por medio de la resolución 022 del 2 de Septiembre de 1999 expedida por el Ministerio del Interior. En el año de 2010 se expidió el Decreto 2957, que define el marco normativo para la protección de los derechos del pueblo Gitano o Rrom. </t>
    </r>
  </si>
  <si>
    <t>1.024 familias por atender mediante formas innovadoras de intervención</t>
  </si>
  <si>
    <t xml:space="preserve">Mide el número de agentes del ICBF formados en derechos sexuales y reproductivos, de acuerdo con lo establecido en la estrategia nacional de Prevención de Embarazo en Adolescentes </t>
  </si>
  <si>
    <t>Actividades desarrolladas en el diseño e implementación del modelo de enfoque conceptual</t>
  </si>
  <si>
    <t>Actividades programadas por desarrollar en el diseño e implementación del modelo de enfoque conceptual</t>
  </si>
  <si>
    <t>Porcentaje de niños y niñas entre dos y cinco años reportados al Sistema de Seguimiento Nutricional (excluyendo FAMI, RN, RNEC) con desnutrición aguda que mejoraron su estado Nutricional.</t>
  </si>
  <si>
    <t>Porcentaje de niños de 0-2 años reportados al Sistema de Seguimiento Nutricional – SSN pertenecientes al programa FAMI y CDI Modalidad Familiar, con desnutrición global  que mejoran su estado nutricional.</t>
  </si>
  <si>
    <t>Duración en meses de la lactancia materna exclusiva en la modalidad FAMI y CDI Modalidad Familiar</t>
  </si>
  <si>
    <t>Porcentaje de niños y niñas atendidos en la modalidad FAMI y CDI Modalidad Familiar con lactancia materna exclusiva</t>
  </si>
  <si>
    <t xml:space="preserve">Porcentaje de niños, niñas, adolescentes y jóvenes con estudios de bachillerato terminado que estén vinculados a procesos de formación. </t>
  </si>
  <si>
    <t>E-08</t>
  </si>
  <si>
    <t>Porcentaje de niños, niñas y adolescentes menores de 18 años en protección con auto de apertura de investigación con situación legal dentro de los 120 días definidos por la ley</t>
  </si>
  <si>
    <t>E-14</t>
  </si>
  <si>
    <t>E-19</t>
  </si>
  <si>
    <t>Porcentaje de niños, niñas y adolescentes víctimas de reclutamiento ilícito que se desvinculan de los grupos armados organizados al margen de la ley, que egresan del programa especializado cumpliendo los objetivos del mismo.</t>
  </si>
  <si>
    <t>E-18</t>
  </si>
  <si>
    <t>Identificar el número de niños, niñas y adolescentes víctimas del desplazamiento forzado con proceso de acompañamiento familiar por las unidades móviles para contribuir a la atención, asistencia, reparación integral y al restablecimiento de sus derechos.</t>
  </si>
  <si>
    <t xml:space="preserve">Número de familias atendidas por medio de formas innovadoras de intervención </t>
  </si>
  <si>
    <t>Número total de familias programadas para atender mediante formas innovadoras de intervención</t>
  </si>
  <si>
    <t>Ficha de Caracterización</t>
  </si>
  <si>
    <t>94.9%</t>
  </si>
  <si>
    <t>C-320-1507-1</t>
  </si>
  <si>
    <t>Atención alimentaria en la transición a las familias víctimas del conflicto armado en condición de desplazamiento a nivel nacional</t>
  </si>
  <si>
    <t>Se tienen en cuenta  los niños, niñas y adolescentes  con trámite de proceso administrativo de restablecimiento de derechos  ubicados en la modalidad de hogar sustituto o medio Institucional Internado, excluyendo en el numerador los niños, niñas y adolescentes que tengan alguna de las siguientes características: Condición de discapacidad, indígena,  tratamiento médico, declarado en adoptabilidad, hijo de padres privados del libertad, hijo de  adolescentes en protección 
Del denominador se deben excluir los beneficiarios evadidos y aquellos donde el motivo de Ingreso sea “Sistema de Responsabilidad Penal para Adolescentes” y “Reingreso/Reincidencia”. 
Para los niños, niñas y adolescentes  ubicados en medio institucional internado, se excluirá la modalidad Consumo de Sustancias Psicoactivas y aquellos donde el motivo de Ingreso sea “Sistema de Responsabilidad Penal para Adolescentes” y “Reingreso/Reincidencia”. 
En el reporte se clasificarán, tanto en numerador como en denominador, los beneficiarios ubicados en cada modalidad hogar sustituto o medio Institucional Internado.</t>
  </si>
  <si>
    <t>Porcentaje de Niños, niñas y adolescentes en Proceso Administrativo de Restablecimiento de Derechos PARD ubicados en la modalidad del hogar sustituto con permanencia mayor a 12 meses</t>
  </si>
  <si>
    <t>E-13</t>
  </si>
  <si>
    <t xml:space="preserve">Porcentaje de niños, niñas o adolescentes con auto de apertura de investigación que llevan entre 121 y 180 días sin situación legal definida con fallos ejecutoriados.  </t>
  </si>
  <si>
    <t xml:space="preserve">• Para evaluar la Definición de Situación Jurídica, se tendrán  en cuenta únicamente las actuaciones correspondientes a FALLOS EJECUTORIADOS tanto de vulneración como de adoptabilidad, pues han transcurrido más de los 4 meses que otorga la ley o 6  meses cuando se concede prórroga y se hace necesario que los fallos se encuentren ejecutoriados, en los términos establecidos para ello. Dichos términos se encuentran descritos en los Lineamientos Técnico - Administrativos de Ruta de Actuaciones Modelo de Atención, para el restablecimiento de derechos de los Niños, Niñas y Adolescentes y Mayores de 18 Años con Discapacidad, con sus Derechos Amenazados, Inobservados o Vulnerados, aprobados mediante Resolución No. 5929 de 2010 del ICBF. Es importante aclarar que el reporte del indicador se encuentra debidamente formulado para que no evalúe los procesos que se encuentran en términos para la ejecutoria, sino que solamente se incluirán en el numerador aquellos donde han transcurrido más de 20 días calendario luego de haberse proferido el fallo. 
• No se excluyen los procesos que tengan registrado únicamente el Reintegro Familiar, por no corresponder a un fallo de definición de situación jurídica. Lo anterior teniendo en cuenta que en el Capítulo IV de la Ley 1098 de 2006, se establece el procedimiento y las reglas especiales del Proceso Administrativo de Restablecimiento de Derechos y en el artículo 107 se hace referencia de la resolución que declare la situación de adoptabilidad o de vulneración de derechos. Igualmente, en los Lineamientos Técnico - Administrativos de Ruta de Actuaciones Modelo de Atención.
• Se excluyen del numerador los procesos donde se haya solicitado  y aprobado PRORROGA  para definir Situación Jurídica, teniendo en cuenta que aún se encuentran en términos de ley para definir.
* Como población base se tomarán únicamente los procesos abiertos en el  último año.
Del denominador se excluirá  aquellos donde el motivo de Ingreso sea “Sistema de Responsabilidad Penal para Adolescentes” y “Reingreso/Reincidencia </t>
  </si>
  <si>
    <t>• Para evaluar la Definición de Situación Jurídica, se tendrán  en cuenta únicamente las actuaciones correspondientes a FALLOS EJECUTORIADOS tanto de vulneración como de adoptabilidad, pues han transcurrido más de los 4 meses que otorga la ley o 6  meses cuando se concede prórroga y se hace necesario que los fallos se encuentren ejecutoriados, en los términos establecidos para ello. Dichos términos se encuentran descritos en los Lineamientos Técnico - Administrativos de Ruta de Actuaciones Modelo de Atención, para el restablecimiento de derechos de los Niños, Niñas y Adolescentes y Mayores de 18 Años con Discapacidad, con sus Derechos Amenazados, Inobservados o Vulnerados, aprobados mediante Resolución No. 5929 de 2010 del ICBF. Es importante aclarar que el reporte del indicador se encuentra debidamente formulado para que no evalúe los procesos que se encuentran en términos para la ejecutoria, sino que solamente se incluirán en el numerador aquellos donde han transcurrido más de 20 días calendario luego de haberse proferido el fallo. 
• No se excluyen los procesos que tengan registrado únicamente el Reintegro Familiar, por no corresponder a un fallo de definición de situación jurídica. Lo anterior teniendo en cuenta que en el Capítulo IV de la Ley 1098 de 2006, se establece el procedimiento y las reglas especiales del Proceso Administrativo de Restablecimiento de Derechos y en el artículo 107 se hace referencia de la resolución que declare la situación de adoptabilidad o de vulneración de derechos. Igualmente, en los Lineamientos Técnico - Administrativos de Ruta de Actuaciones Modelo de Atención.
• Se excluyen del numerador los procesos donde se haya solicitado  y aprobado PRORROGA  para definir Situación Jurídica, teniendo en cuenta que aún se encuentran en términos de ley para definir.
* Como población base se tomarán únicamente los procesos abiertos en el  ultimo año. 
Del denominador se excluirá  aquellos donde el motivo de Ingreso sea “Sistema de Responsabilidad Penal para Adolescentes” y “Reingreso/Reincidencia</t>
  </si>
  <si>
    <t xml:space="preserve"> Porcentaje de niños, niñas y adolescentes con auto de apertura de investigación que llevan más de 180 días sin situación legal definida con fallos ejecutoriados.</t>
  </si>
  <si>
    <t>* Se excluyen los motivos de ingreso que no sean Procesales.
* Se excluyen las peticiones que tengan registrada la actuación PRD_845 REMISIÓN A OTRAS ENTIDADES, y que en datos adicionales sea: Comisaria de Familia y Inspección de Policía. 
* Se excluirán los procesos correspondientes al Sistema de Responsabilidad Penal para Adolescentes, los cuales se identificarán por motivo de ingreso y  Reingreso/Reincidencia 
*  Como población base se tomarán los procesos abiertos desde el año 2014 hasta la fecha de corte.</t>
  </si>
  <si>
    <t xml:space="preserve">Porcentaje del presupuesto ejecutado o efectivamente contratado del total del presupuesto asignado como proyecto de inversión de protección. </t>
  </si>
  <si>
    <t>MPM5-P1-12</t>
  </si>
  <si>
    <t>MPM5-P1-13</t>
  </si>
  <si>
    <t>MPM5-P1-16</t>
  </si>
  <si>
    <t>Porcentaje de casos de NNA que luego de ser devueltos por el comité de adopciones, se les resuelve su situación presentandose nuevamente a comité o reintegrandose a su medio familiar.</t>
  </si>
  <si>
    <t>Niños, niñas y adolescentes en situación de adoptabilidad en firme,  por consentimiento o por autorización,  SIN características especiales presentados a comité de adopciones, con familia asignada.</t>
  </si>
  <si>
    <t>E-15</t>
  </si>
  <si>
    <t>Niños, niñas y adolescentes en situación de adoptabilidad en firme, por consentimiento o por autorizacion,  CON características y necesidades especiales y posibilidad de adopción presentados a comité de adopciones, con familia asignada</t>
  </si>
  <si>
    <t>E-16</t>
  </si>
  <si>
    <t>E-17</t>
  </si>
  <si>
    <t>Porcentaje de niños, niñas y adolescentes que  luego de tener la  sentencia de adopción en firme, presentan apertura de un Proceso Administrativo de Restablecimiento de Derechos PARD</t>
  </si>
  <si>
    <r>
      <rPr>
        <b/>
        <sz val="8"/>
        <rFont val="Calibri Light"/>
        <family val="2"/>
        <scheme val="major"/>
      </rPr>
      <t>Instrucciones de Registro  y cálculo del Numerador:</t>
    </r>
    <r>
      <rPr>
        <sz val="8"/>
        <rFont val="Calibri Light"/>
        <family val="2"/>
        <scheme val="major"/>
      </rPr>
      <t xml:space="preserve">
Los centros zonales registran en el Sistema de Información Misional SIM una nueva petición y continúa el procedimiento con el registro de la actuación PRD_160.
Para el cálculo del numerador se tiene en cuenta el total de  las Peticiones de Niños, niñas y adolescentes que con el mismo tipo y numero de documento presentan una petición con Asignación de familia activa y Sentencia de adopción, y se registra en una nueva petición y con fecha posterior a la de la Sentencia de Adopción* la actuación PRD_160 APERTURA DEL PROCESO DE RESTABLECIMIENTO DE DERECHOS.
</t>
    </r>
    <r>
      <rPr>
        <b/>
        <sz val="8"/>
        <rFont val="Calibri Light"/>
        <family val="2"/>
        <scheme val="major"/>
      </rPr>
      <t>Instrucciones de Registro  y cálculo del Denominador:</t>
    </r>
    <r>
      <rPr>
        <sz val="8"/>
        <rFont val="Calibri Light"/>
        <family val="2"/>
        <scheme val="major"/>
      </rPr>
      <t xml:space="preserve">
Las regionales o IAPAS registran en el Sistema de Información Misional SIM la asignación en Sesión de Comité y posteriormente siguiendo el proceso en la petición de la familia la actuación ADO_440 con su respectiva plantilla de datos adicionales.
Para el cálculo del denominador  se tiene en cuenta el total de  las Peticiones de Niños, niñas y adolescentes con Asignación de Familia ACTIVA y Sentencia de Adopción (ADO-440)
Para efectos de cruce de información se tomará como referencia el tipo y número de identificación del niño, niña o adolescente, es decir que tanto en la petición que tenga la sentencia como en la que se registre la nueva PRD_160 se buscará igual tipo y numero de documento. Para la fecha de la Sentencia de Adopción se tomara de la petición de la familia relacionada con la asignación Activa a niños, niñas y adolescentes que fue registrada en las acciones de una sesión de comité: La actuación ADO-440 REPORTE SENTENCIA DE ADOPCIÓN: - En la plantilla Datos Adicionales: Sentencia de Adopción (DwGenFormularioA) campo  FECHA EN FIRME. Si está en blanco, tomar la Fecha de la actuación ADO-440.
La evaluación de este indicador, dependerá, como se indicó desde el momento que se planteó, de la puesta en producción en el SIM, por lo tanto este indicador quedaran como NO aplica hasta tanto no se cuente con la herramienta.</t>
    </r>
  </si>
  <si>
    <t>Número  de  adolescentes con más de seis meses de permanencia  en el programa de atención del Sistema de  Responsabilidad Penal sancionados con medida privativa de la libertad en CAE y que se le ha garantizado la atención en el ejercicio de  sus derechos de Identidad, Salud y Educación / Total de  adolescentes con más de seis meses de permanencia en el programa de atención del Sistema de  Responsabilidad Penal sancionados con medida privativa de la libertad en CAE.</t>
  </si>
  <si>
    <t>Número  de  adolescentes con más de seis meses de permanencia  en el programa de atención del Sistema de  Responsabilidad Penal sancionados con medida privativa de la libertad en CAE y que se le ha garantizado la atención en el ejercicio de  sus derechos de Identidad, Salud y Educación.</t>
  </si>
  <si>
    <t>Total de  adolescentes con más de seis meses de permanencia en el programa de atención del Sistema de  Responsabilidad Penal sancionados con medida privativa de la libertad en CAE.</t>
  </si>
  <si>
    <t>Este indicador se reportará un mes y medio después del mes de corte programado,  ya que la recolección de la información es remitida por las Regionales ICBF a través de un  documento en formato de Excel  –  F2.PR2.MPM5.P3  Reporte de Novedades SRPA v1  - Valija, el cual es entregado por las mismas a  más tardar el  día 15 del siguiente mes, una vez se recepcione la información completa y con calidad, la Subdirección de Responsabilidad  Penal procede a realizar el consolidado y generar el dato Nacional.
En este indicador se tendrá  en cuenta los adolescentes que se encuentran cumpliendo una sanción con medida privativa de la libertad en CAE con más de seis (6) meses de permanencia en el programa de atención del SRPA. 
En este indicador no se tendrán en cuenta los adolescentes que cumplan sanciones menores a 6 meses, que se les hayan impartido sanciones No privativas de la libertad y menos quienes hayan sido sancionados en Amonestación y Reglas de Conducta.</t>
  </si>
  <si>
    <t>Sistema de Responsabilidad Penal: Es el conjunto de principios, normas, procedimientos, autoridades judiciales especializadas y entes administrativos que intervienen
en la investigación y juzgamiento de los delitos cometidos por personas que tengan entre 14 y 18 años. 
El Código busca establecer medidas de carácter pedagógico, privilegiando el interés superior del niño y garantizando la justicia restaurativa, la verdad y la reparación del daño.
Programa de Atención  con la garantía de ejercicio de  sus derechos: Es un servicio que ofrece un conjunto de actividades que brinda la atención para la garantia de los derechos a cada uno de los adolescentes mayores de catorce(14) años y menores de diesciocho (18) años  y mayores diesciocho (18) años  que se encuentren sancionadoso en la ruta del proceso judicional del sistema de Responsabilidad Penal del ICBF.
Derecho de Identidad: Derecho a una identidad, a un nombre, a la nacionalidad y a la filiación conformes a la ley. Por esta razón deben ser inscritos inmediatamente después de su nacimiento en el registro del estado civil y  obtener la tarjeta de identidad después de los Ocho (8) años de edad,  lo cual se debera gestionar coordinadamente desde las Defensorias de Familia con el operador pedagogico ante Registraduria Nacional del Estado Civil. 
Derecho de Salud: Derecho a la salud integral. Se entiende por salud  un estado de bienestar fisco, psíquico y fisiológico y no solo la ausencia de enfermedad. Por esta razón los adolescentes y jóvenes que ingresen al sistema de responsabilidad penal se deberá gestionar y contar con la afiliación y atención en el sistema de seguridad social en salud., o carta de salud expedida por el Defensor de Familia y/o tramite de afiliación a una EPS,  es una obligación de los entes territoriales a través de las Secretarias de Salud, lo cual se debera gestionar coordinadamente desde las Defensorias de Familia con el operador pedagogico en articulación con el ente territorial. 
Derecho Educación: Derecho una educación de calidad. Esta será obligatoria por parte del estado en la vinculación al sistema educativo formal, en el sentido que el adolescente debe continuar con su proceso educativo con nivelación y vinculación de acuerdo con su edad y grado a académico, según gestión y trámite coordinado desde las Defensorias de Familia con el operador pedagogico ante las secretarias de educación.
Sanción Privativa de la Libertad: Es la sanción aplicable a los adolescentes mayores de dieciséis (16) años y menores de dieciocho (18) años de edad, a quienes se les haya declarado su responsabilidad penal y que se encuentran contenida en el artículo 177 de la Ley 1098 de 2006 y que sean hallados responsables de la comisión de delitos cuya pena mínima establecida en el código penal sea o exceda de seis (6) años de prisión.                                                         
Centro de Atención Especializada CAE: Es el lugar donde son ubicados por orden judicial los adolescentes cuando han sido hallados responsables de la comisión de un delito cuya pena mínima establecida en el código penal sea o exceda de seis (6) años de prisión.</t>
  </si>
  <si>
    <t>Identificar el número  de adolescentes y jóvenes que egresaron el último año del SRPA y cumplieron con sanciones con medidas privativas de la libertad en CAE y  que están siendo atendidos con las estrategias de post egreso o inclusión social.</t>
  </si>
  <si>
    <t>Número de adolescentes y jóvenes que egresaron el último año del SRPA y cumplieron con sanciones con medidas privativas de la libertad en CAE y son  atendidos con las estrategias de post egreso o inclusión social  / Total de  adolescentes y jóvenes que egresaron el último año del SRPA y cumplieron con sanciones con medidas privativas de la libertad en CAE.</t>
  </si>
  <si>
    <t xml:space="preserve">Número de adolescentes y jóvenes que egresaron el último año del SRPA y cumplieron con sanciones con medidas privativas de la libertad en CAE y son  atendidos con las estrategias de post egreso o inclusión social. </t>
  </si>
  <si>
    <t xml:space="preserve">Total de  adolescentes y jóvenes que egresaron el último año del SRPA y cumplieron con sanciones con medidas privativas de la libertad en CAE. </t>
  </si>
  <si>
    <t xml:space="preserve">Este indicador se reportará un mes y medio después del mes de corte programado,  ya que la recolección de la información es remitida por las Regionales ICBF a través de un  documento en formato de Excel  –  F2.PR2.MPM5.P3  Reporte de Novedades SRPA v1  - Valija, el cual es entregado por las mismas a  más tardar el  día 15 del siguiente mes, una vez se recepcione la información completa y con calidad, la Subdirección de Responsabilidad  Penal procede a realizar el consolidado y generar el dato Nacional.
La población que se va a tener en cuenta en este indicador va hacer el número de adolescentes y jóvenes que egresaron el último año del SRPA y cumplieron sanciones con medidas privativas de la libertad en CAE y  que son atendidos con las estrategias de post egreso o inclusión social. </t>
  </si>
  <si>
    <t>Sistema de Responsabilidad Penal: Es el conjunto de principios, normas, procedimientos, autoridades judiciales especializadas y entes administrativos que intervienen
en la investigación y juzgamiento de los delitos cometidos por personas que tengan entre 14 y 18 años. 
El Código busca establecer medidas de carácter pedagógico, privilegiando el interés superior del niño y garantizando la justicia restaurativa, la verdad y la reparación del daño.
Estrategias post egreso o inclusión social: Es un servicio en medio socio-familiar que consiste en brindar orientación y apoyo al adolescente a fin de favorecer la integración e inclusión social de manera integral, constituyéndose en una alternativa de apoyo y acompañamiento.
Apoyo Post-Institucional: Es un servicio en medio socio-familiar, el cual corresponde a una modalidad de atención contratada por el ICBF y que consiste en brindar apoyo a los adolescentes que han egresado del Centro de Atención Especializada y del Internado Abierto, para favorecer su integración familiar y social por un término no menor a un año Este servicio deberá ser prestado por un profesional del área psicosocial.
Atención Pos egreso: Es un servicio en medio socio-familiar que consiste en brindar apoyo a los adolescentes que han egresado de servicios donde han estado separados de su familia con el fin de favorecer su integración familiar e inclusión social. 
Inclusión social: se concibe “como un concepto vital que debe propiciar el desarrollo personal, y permitir a cada miembro del grupo re-significar el sentido de su proyecto de vida dentro de formas sociales más amplias. Significa, tener la oportunidad y capacidad de replantear, cuando se considere pertinente, la relación que cada uno y una tiene con la propia vida, con la del grupo familiar o social más cercano, con la vecindad, con la ciudad, con el planeta. Se reconoce así la relación de doble sentido que existe entre el tipo de mundo que habitamos, es garantizar el acceso a oportunidades para desarrollar capacidades que hagan de las personas sujetos íntegros dentro de una sociedad dispuesta a incluir y a responder de manera solidaria frente a las dificultades de las demás personas”.</t>
  </si>
  <si>
    <t>1) Una vez publicada esta hoja de vida en Intranet y SIMEI se entenderá como aprobada por todas las partes, de no estar de acuerdo, el responsable del indicador en la Sede de la Dirección General debe enviar mediante correo electrónico las observaciones del mismo para proceder al ajuste. Este correo de debe enviar máximo 5 días después de publicada la hoja de vida al Subdirector de Monitoreo y Evaluación.
2) Para modificar resultados ya reportados del indicador, el responsable de esté, en la Sede de la Dirección General, debe enviar un correo electrónico a la Subdirección de Monitoreo y Evaluación máximo 2 días después de haber reportado por primera vez la información solicitando el cambio. Para que este se haga efectivo en el tablero de control, posterior a este tiempo no se modificaran resultados.
3) El indicador será reportado semestralmente en el tablero de control y cambiara sus resultados de acuerdo a la periodicidad del mismo, mientras tanto mantendrá el último resultado reportado. La fecha máxima de reporte serán los primeros 8 días calendario con dos días hábiles adicionales para modificación de avances según observaciones de regionales y validación de las áreas dueñas de la información 
4) Todos los cortes de resultados de los indicadores se realizan al último día de cada mes, de no ser así se debe especificar en las observaciones del indicador. En el caso que se referencie que se maneja información con rezago se reportará la información del corte inmediatamente anterior.</t>
  </si>
  <si>
    <t xml:space="preserve">Para la generación del indicador, se solicitará al grupo financiero de la Direccion de Protección, reporte de la ejecución de cupos en los servicios de atención para el cumplimiento de sanciones no privativas de la libertad. 
En este indicador se van a tener en cuenta las siguientes sanciones No privativas estipuladas en el artículo 177 de la Ley 1098 de 2006, las cuales son: La prestación de Servicio a la Comunidad, la libertad asistida y la internación en medio semicerrado (Externado y semiinternado).                                                                                                             </t>
  </si>
  <si>
    <t xml:space="preserve">Sistema de Responsabilidad Penal: Es el conjunto de principios, normas, procedimientos, autoridades judiciales especializadas y entes administrativos que intervienen en la investigación y juzgamiento de los delitos cometidos por personas que tengan entre 14 y 18 años. El Código busca establecer medidas de carácter pedagógico, privilegiando el interés superior del niño y garantizando la justicia restaurativa, la verdad y la reparación del daño.
Sanciones No privativas de la Libertad: Son las sanciones aplicables a los adolescentes mayores de catorce (14) años y menores de dieciocho (18) años de edad, a quienes se les haya declarado su responsabilidad penal y que se encuentran contenidas en el artículo 177 de la Ley 1098 de 2006 que para el indicador corresponderían las Siguientes: La prestación de Servicio a la Comunidad, la libertad asistida y la internación en medio semicerrado (Externado y semiinternado). 
Servicio de Atención: Son programas de atención especializados que responden a los Lineamientos  Técnicos diseñados por el ICBF para el cumplimiento de las sanciones del SRPA, para este caso del Indicador, Sanciones No privativas de la libertad.                      </t>
  </si>
  <si>
    <t>1) Una vez publicada esta hoja de vida en Intranet y SIMEI se entenderá como aprobada por todas las partes, de no estar de acuerdo, el responsable del indicador en la Sede de la Dirección General debe enviar mediante correo electrónico las observaciones del mismo para proceder al ajuste. Este correo de debe enviar máximo 5 días después de publicada la hoja de vida al Subdirector de Monitoreo y Evaluación.
2) Para modificar resultados ya reportados del indicador, el responsable de esté, en la Sede de la Dirección General, debe enviar un correo electrónico a la Subdirección de Monitoreo y Evaluación máximo 2 días después de haber reportado por primera vez la información solicitando el cambio. Para que este se haga efectivo en el tablero de control, posterior a este tiempo no se modificaran resultados.
3) El indicador será reportado trimestralmente en el tablero de control y cambiara sus resultados de acuerdo a la periodicidad del mismo, mientras tanto mantendrá el último resultado reportado. La fecha máxima de reporte serán los primeros 8 días calendario con dos días hábiles adicionales para modificación de avances según observaciones de regionales y validación de las áreas dueñas de la información 
4) Todos los cortes de resultados de los indicadores se realizan al último día de cada mes, de no ser así se debe especificar en las observaciones del indicador. En el caso que se referencie que se maneja información con rezago se reportará la información del corte inmediatamente anterior.</t>
  </si>
  <si>
    <t>Identificar  el número  de Unidades de Servicio de Atención a adolescentes y jóvenes  del SRPA en el proceso de implementación de la estrategia de Prácticas Restaurativas.</t>
  </si>
  <si>
    <t>Total de Unidades de Servicio de Atención a adolescentes y jóvenes  del SRPA  a Nivel Nacional</t>
  </si>
  <si>
    <t>Número de  Unidades de Servicio de Atención a adolescentes y jóvenes  del SRPA en el proceso de implementación de la estrategia de Prácticas Restaurativas / Total de Unidades de Servicio de Atención a adolescentes y jóvenes  del SRPA a Nivel Nacional.</t>
  </si>
  <si>
    <t>Número de  Unidades de Servicio de Atención a adolescentes y jóvenes  del SRPA en el proceso de implementación de la estrategia de Prácticas Restaurativas.</t>
  </si>
  <si>
    <t>Informe Trimestral del proceso de implementación de la estrategia de Prácticas Restaurativas en las Unidades de Servicio de Atención a adolescentes y jóvenes del SRPA.</t>
  </si>
  <si>
    <t>Sistema de Responsabilidad Penal: Es el conjunto de principios, normas, procedimientos, autoridades judiciales especializadas y entes administrativos que intervienen en la investigación y juzgamiento de los delitos cometidos por personas que tengan entre 14 y 18 años. El Código busca establecer medidas de carácter pedagógico, privilegiando el interés superior del niño y garantizando la justicia restaurativa, la verdad y la reparación del daño.
Unidades de Servicio de Atención a adolescentes y jóvenes  del SRPA: Son las unidades con que cuenta cada operador para prestar los servicios de atención a los adolescentes y jóvenes que son sancionados en el Sistema de Responsabilidad Penal para Adolescentes del ICBF  que buscan el cumplimiento de la finalidad del SRPA. (Art. 140 de la Ley 1098 del 2006.
Prácticas Restaurativas: Son präcticas que buscan generar las condiciones de intercambio, diálogo y concertación entre el adolescente, su familia, las comunidades y de ser posible las víctimas, con el fin de lograr resultados restaurativos, además de la integración social de las partes y la reparación del tejido social afectado por el delito.
Justicia Restaurativa: Es la justicia orientada en todo proceso en el que la víctima y el imputado, acusado o sentenciado participan conjuntamente de forma activa en la resolución de cuestiones derivadas del delito en busca de un resultado restaurativo, con o sin la participación de un facilitador.
Resultado Restaurativo: Es el acuerdo encaminado a atender las necesidades y responsabilidades individuales y colectivas de las partes y a lograr la reintegración de la víctima y del infractor en la comunidad en busca de la reparación, la restitución y el servicio a la comunidad.</t>
  </si>
  <si>
    <t>Procesos IP +Procesos ID + Inhibitorios + Citación a Audiencia + Remisiones por competencia tramitadas a la fecha de corte recibidas hasta el 31/12/2014 / Total de quejas rezagadas de los años 2013 y 2014</t>
  </si>
  <si>
    <t>Procesos IP +Procesos ID + Inhibitorios + Citación a Audiencia + Remisiones por competencia tramitadas a la fecha de corte recibidas hasta el 31/12/2014</t>
  </si>
  <si>
    <t>Proceso IP. Indagación preliminar: es una actuación administrativa que se adelanta con base en una queja y/o informe con el fin de individualizar los presuntos servidores o ex servidores públicos del ICBF responsables y determinar la existencia o no de la conducta constitutiva de falta disciplinaria. 
Proceso ID. Investigación Disciplinaria: Fase del proceso disciplinario a la que se llega una vez individualizado e identificado el Servidor Público del ICBF que ha incurrido en falta contra el orden disciplinario.
Inhibitorio. Decisión que no hace tránsito a cosa juzgada a través de la cual el operador disciplinario se abstiene de adelantar una actuación disciplinaria por encontrar entre otros aspectos que la queja es manifiestamente temeraria, se refiere a hechos disciplinariamente relevantes, de imposible ocurrencia o presentados de manera absolutamente inconcreta o confusa.
Citación a Audiencia. Auto que ordena adelantar proceso verbal y citar a audiencia al posible responsable. 
Remisión por competencia. Envío que se hace a otra instancia al no resultar el Despacho competente para conocer el asunto. 
Quejas de vigencias anteriores. Queja recibidas hasta el 31 de Diciembre del 2014 tramitadas.
Quejas tramitada. Queja repartida a un abogado para que proyecte la decisión que en derecho corresponda.</t>
  </si>
  <si>
    <t xml:space="preserve">Decisiones confirmadas. Son los fallos de segunda instancia proferidos por el Despacho del Director General del ICBF, que confirman el fallo de primera instancia proferido por la Oficina de Control Interno Disciplinario.
Decisiones recurridas. Son los fallos de primera instancia proferidos por la Oficina de Control Interno Disciplinario, que una vez notificados a los sujetos procesales, son objeto de recurso de apelación, en virtud del cual se remiten al Despacho del Director general del ICBF, para su pronunciamiento en segunda instancia.  </t>
  </si>
  <si>
    <t>Procesos IP + Procesos ID + Inhibitorios + Citación a Audiencia + remisión por competencia tramitados a la fecha de corte.</t>
  </si>
  <si>
    <t>Proceso IP. Indagación preliminar: es una actuación administrativa que se adelanta con base en una queja y/o informe con el fin de individualizar los presuntos servidores o ex servidores públicos del ICBF responsables y determinar la existencia o no de la conducta constitutiva de falta disciplinaria. 
Proceso ID. Investigación Disciplinaria: Fase del proceso disciplinario a la que se llega una vez individualizado e identificado el Servidor Público del ICBF que ha incurrido en falta contra el orden disciplinario.
Inhibitorio. Decisión que no hace tránsito a cosa juzgada a través de la cual el operador disciplinario se abstiene de adelantar una actuación disciplinaria por encontrar entre otros aspectos que la queja es manifiestamente temeraria, se refiere a hechos disciplinariamente relevantes, de imposible ocurrencia o presentados de manera absolutamente inconcreta o confusa.
Citación a Audiencia. Auto que ordena adelantar proceso verbal y citar a audiencia al posible responsable. 
Remisión por competencia. Envío que se hace a otra instancia al no resultar el Despacho competente para conocer el asunto. 
Queja tramitada. Queja repartida a un abogado para que proyecte la decisión que en derecho corresponda.</t>
  </si>
  <si>
    <t>Proceso ID. Investigación Disciplinaria. Fase del proceso disciplinario a la que se llega una vez individualizado e identificado el Servidor Público del ICBF que ha incurrido en falta contra el orden disciplinario.
Archivos. Decisión que adopta el despacho a favor del implicado una vez evaluadas las pruebas obrantes en un proceso disciplinario.
Cargos. Pliego de cargos. Acto administrativo mediante el cual se hace imputación concreta sobre las presumibles faltas o infracciones del servidor público sometido a investigación. 
Fallos. Decisión final que se adopta dentro de un proceso disciplinario.</t>
  </si>
  <si>
    <t>Adelantar la totalidad de los procesos verbales iniciados con auto de citación a audiencia</t>
  </si>
  <si>
    <t>Citaciones a Audiencias falladas / Total de procesos verbales iniciados.</t>
  </si>
  <si>
    <t>Total de procesos verbales iniciados.</t>
  </si>
  <si>
    <t>Citación a Audiencia. Auto que ordena adelantar proceso verbal y citar a audiencia al posible responsable. Proceso Verbal. Procedimiento disciplinario abreviado.
Fallos. Decisión final que se adopta dentro de un proceso disciplinario.</t>
  </si>
  <si>
    <t>Porcentaje de decisiones de Fondo en los procesos disciplinarios verbales</t>
  </si>
  <si>
    <t>MPA1-P4-07</t>
  </si>
  <si>
    <t>Nivel de satisfacción frente al desarrollo del evento</t>
  </si>
  <si>
    <t>Porcentaje de estudios de mercado y costos a las áreas solicitantes generados oportunamente.</t>
  </si>
  <si>
    <t>Centros de Desarrollo Infantil Temprano construidos</t>
  </si>
  <si>
    <t>E-02</t>
  </si>
  <si>
    <t>Porcentaje de transferencia de archivos en soporte físico al Archivo Cetral Unificado del ICBF</t>
  </si>
  <si>
    <t>MPA1-P5-14</t>
  </si>
  <si>
    <t xml:space="preserve">Porcentaje de ejecucion Presupuestal de Gestion Ambiental </t>
  </si>
  <si>
    <t>Porcentaje de ejecucion de planes de gestión ambiental</t>
  </si>
  <si>
    <t>MPA1-P5-13</t>
  </si>
  <si>
    <t>Porcentaje de archivos de gestión en soporte físico organizados</t>
  </si>
  <si>
    <t>Porcentaje de cumplimiento del estándar de consumo de agua</t>
  </si>
  <si>
    <t>Porcentaje de cumplimiento del estándar de consumo de energía</t>
  </si>
  <si>
    <t>Porcentaje de conceptos elaborados oportunamente</t>
  </si>
  <si>
    <t>MPA2-09</t>
  </si>
  <si>
    <t>Porcentaje de recomendaciones para la prevención del daño antijurídico con plan de mejora en Isolución</t>
  </si>
  <si>
    <t>Recursos obtenidos por cooperación (millones)</t>
  </si>
  <si>
    <t>E-37</t>
  </si>
  <si>
    <t>E-41</t>
  </si>
  <si>
    <t>Nivel de Satisfacción de atención al cliente</t>
  </si>
  <si>
    <t>E-40</t>
  </si>
  <si>
    <t>Porcentaje de quejas y reclamos solucionados oportunamente</t>
  </si>
  <si>
    <t>Porcecntaje de oportunidad en la atención de peticiones  de Asuntos Conciliables</t>
  </si>
  <si>
    <t>C-320-1504-1</t>
  </si>
  <si>
    <t>Aplicación de la promoción y fomento para la construcción de una cultura de los derechos de la niñez y la familia</t>
  </si>
  <si>
    <t>E-46</t>
  </si>
  <si>
    <t>Incremento anual de noticias con valoración positiva en monitoreo de prensa, cuya línea base será el histórico de valoración a 2011</t>
  </si>
  <si>
    <t>98.01%</t>
  </si>
  <si>
    <t xml:space="preserve">Porcentaje de cumplimiento meta de presidencia frente a la ejecución presupuestal compromisos </t>
  </si>
  <si>
    <t>96.56%</t>
  </si>
  <si>
    <t>Porcentaje de cumplimiento meta de presidencia frente a la ejecución presupuestal obligaciones</t>
  </si>
  <si>
    <t>Reporte trimestral de modalidades de servicio con sistema de costos ajustado.</t>
  </si>
  <si>
    <t>SIM/ modulo metas sociales y financieras</t>
  </si>
  <si>
    <t>Porcentaje de Vigencias Expiradas respecto a la vigencia anterior</t>
  </si>
  <si>
    <t>Reporte pago de pasivos exigibles mediante tramite de vigencias expiradas</t>
  </si>
  <si>
    <t xml:space="preserve">Reporte 2014 sobre pago de pasivos exigibles mediante tramite de vigencias expiradas </t>
  </si>
  <si>
    <t>Solicitudes aprobadas por resolución, acumuladas en la vigencia 2014:  
- Enero - Marzo : 153
- Enero - Junio: 407
- Enero - Septiembre: 1002
 - Enero - Diciembre: 1944</t>
  </si>
  <si>
    <t>Reporte de traza de solicitudes modulo de apropiaciones NMF</t>
  </si>
  <si>
    <t>Reporte de traza de solicitudes modulo de apropiaciones NMF vigencia 2014</t>
  </si>
  <si>
    <t>Porcentaje de tramites presupuestales aprobados de proyectos de inversión</t>
  </si>
  <si>
    <t>MPE1-09</t>
  </si>
  <si>
    <t>Informe de avance del desarrollo del modelo del distribución de recursos</t>
  </si>
  <si>
    <t>Plan de trabajo Modelo de Distribución de recursos.</t>
  </si>
  <si>
    <t>No. de toneladas distribuidas (Mes) de Bienestarina Más</t>
  </si>
  <si>
    <t xml:space="preserve">Reporte en el Sistema de Información definido por el ICBF  de las entregas de Bienestarina MÁS a puntos primarios. Este reporte es alimentado por el concesionario encargado de operar las Plantas de Producción. </t>
  </si>
  <si>
    <t>Toneladas distribuidas de Bienestarina</t>
  </si>
  <si>
    <t>E-24</t>
  </si>
  <si>
    <t>Toneladas producidas de Binestarina</t>
  </si>
  <si>
    <t>E-25</t>
  </si>
  <si>
    <t>(% de avance actividad 1 * Peso asignado) + (% de avance actividad 2 * Peso asignado )+ (% de avance actividad n * Peso asignado)</t>
  </si>
  <si>
    <t>Medir  la distribución de la Bienestarina MÁS que esté acorde con la solicitudes realizadas</t>
  </si>
  <si>
    <t>Archivo en Excel consolidado que entrega  INTERVENTORIA que consolide la produccion real de Bienestarina en las plantas de Cartago -  Valle y Sabanagrande Atlántico.</t>
  </si>
  <si>
    <t>E-50</t>
  </si>
  <si>
    <t>Porcentaje de macroprocesos con registro en la bitácora de innovaciones implementadas</t>
  </si>
  <si>
    <t>MPE2-06</t>
  </si>
  <si>
    <t>Porcentaje de trámites racionalizados y actualizados en el portal SUIT</t>
  </si>
  <si>
    <t>Porcentaje de acciones correctivas implementadas eficazmente</t>
  </si>
  <si>
    <t>Porcentaje de  Macroprocesos con evidencia de racionalización de procedimientos</t>
  </si>
  <si>
    <t>Porcentaje de acciones preventivas implementadas eficazmente</t>
  </si>
  <si>
    <t>Medir los avances en el fortalecimiento de la capacidad técnica de los agentes del SNBF en el proceso de Rendicion Publica de Cuentas para la Gestión de Políticas Públicas, de   Primera Infancia, Infancia, Adolescencia y para el fortalecimiento familiar</t>
  </si>
  <si>
    <t>24,,9%</t>
  </si>
  <si>
    <t>Porcentaje de indicadores del SUIN con información disponible según su hoja de vida.</t>
  </si>
  <si>
    <t>Número de indicadores del SUIN con información disponible / Número total de indicadores del SUIN</t>
  </si>
  <si>
    <t>Número de indicadores del SUIN con información disponible</t>
  </si>
  <si>
    <t>Sistema Único de Información de la Niñez (SUIN): Herramienta oficial para toma de decisiones de política pública de infancia y adolescencia  que presenta indicadores que dan cuenta de la garantía de los derechos de los niños, niñas y adolescentes. Tiene el fin de responder al propósito de hacer seguimiento del “cumplimiento progresivo de los derechos de los niños, niñas y adolescentes, valorando las condiciones socioeconómicas, los riesgos y la vulnerabilidad de los hogares, conforme a las fuentes disponibles” Artículo 137 plan nacional de desarrollo.</t>
  </si>
  <si>
    <t>Número de proyectos tipo de inversión formulados y socializados con las entidades territoriales con el fin de acceder a recursos del Sistema de Regalias y/u otras fuentes de financiacion . / Número total de proyectos programados en la vigencia</t>
  </si>
  <si>
    <t xml:space="preserve">Número de proyectos tipo de inversión formulados y socializados con las entidades territoriales con el fin de acceder a recursos del Sistema de Regalias y/u otras fuentes de financiacion </t>
  </si>
  <si>
    <t>MPEV1-P1-06</t>
  </si>
  <si>
    <t>Porcentaje de avance de las etapas para la realización de evaluaciones a los programas del ICBF</t>
  </si>
  <si>
    <t>Porcentaje de avance de Informes realizados sobre la gestión institucional a nivel nacional y regional</t>
  </si>
  <si>
    <t>La meta establecida contempla la gestión de la Oficina de Aseguramiento de la Calidad y Regionales.
El desarrollo de las Acciones de Inspección, Vigilancia y Control pueden provenir de:
- Peticiones ciudadanas y denuncias que reporten presuntas condiciones irregulares en la prestación del servicio.
- Solicitudes de áreas misionales requiriendo seguimiento a la prestación del SPBF
- Análisis de la evaluación de la calidad de los servicios misionales del ICBF
- Solicitudes de entes de control
- Encuestas de percepción del servicio 
- Control social
- Informes de supervisión y demás que reporten presuntas condiciones irregulares en la prestación del Servicio Público de Bienestar Familiar.</t>
  </si>
  <si>
    <t>Planeación estrategica oficina Aseguramiento a la Calidad</t>
  </si>
  <si>
    <t>Instituciones prestadoras del Servicio Público de Bienestar Familiar que reciben asistencia técnica para validar los requisitos de la NTE ICBF:001</t>
  </si>
  <si>
    <t>MPE2-07</t>
  </si>
  <si>
    <t>Porcentaje de Riesgos Controlados</t>
  </si>
  <si>
    <t>Consolidado histórico de instituciones prestadoras con requesitos validados realizadas en años anteriores</t>
  </si>
  <si>
    <t>Meta establecida para la vigencia de Instituciones prestadoras del Servicio Público de Bienestar Familiar que recibiran asistencia técnica para validar los requisitos de la NTE ICBF:001</t>
  </si>
  <si>
    <t>Insituciones prestadoras del Servicio Público de Bienestar Familar que trabajan con el ICBF, con requisitos validados en la Norma Tecnica de Empresa- ICBF - NTE 001.</t>
  </si>
  <si>
    <t>E-48</t>
  </si>
  <si>
    <t>Número de EAS que se fortalecieron en la implementación de los estándares de calidad de la estrategia de Cero a Siempre / Numero de EAS focalizadas para recibir el fortalecimiento en la implementación de los estándares de calidad de la estrategia de Cero a Siempre</t>
  </si>
  <si>
    <t>Número de EAS que se fortalecieron en la implementación de los estándares de calidad de la estrategia de Cero a Siempre</t>
  </si>
  <si>
    <t>Numero de EAS focalizadas para recibir el fortalecimiento en la implementación de los estándares de calidad de la estrategia de Cero a Siempre</t>
  </si>
  <si>
    <t>Porcentaje de EAS de atención a la primera infancia con esquemas de fortalecimiento que generen capacidades para gestionar procesos de calidad.</t>
  </si>
  <si>
    <t>Conocer el numero de Entidades Administradoras de Servicio que reciben el acompañamiento y se fortalecen en la implementación de los estándares de calidad de la estrategia de Cero a Siempre.</t>
  </si>
  <si>
    <t>Número de modalidades de atención del ICBF que cuentan con modelos de costos actualizados y/o elaborados / Meta definida para la vigencia 2015</t>
  </si>
  <si>
    <t>Número de modalidades de atención del ICBF que cuentan con modelos de costos actualizados y/o elaborados</t>
  </si>
  <si>
    <t>Meta definida para la vigencia 2015</t>
  </si>
  <si>
    <t>64.9%</t>
  </si>
  <si>
    <t>No. Toneladas proyectadas a distribuir de Bienestarina Más para la vigencia</t>
  </si>
  <si>
    <t>No. de toneladas distribuidas (Mes) de Bienestarina Más  / No. Toneladas proyectadas a distribuir de Bienestarina Más para la vigencia</t>
  </si>
  <si>
    <t>El resultado de este indicador depende de que la Distribucion se realice con oportunidad y de que las regionales y programas especiales remitan sus solicitudes en los tiempos establecidos, de igual forma depende de la actualizacion de la informacion de los puntos de distribucion y sus responsables.
La distribución se realiza de Enero a Noviembre y para el reporte del mes de Diciembre se registrará la información del mes de Noviembre y se calificará con los rangos de ese mismo mes
Instrucciones de calculo Numerador: 
1. La sumatoria de toneladas de Bienesatrina MÁS  distribuidas en los puntos de entrega primarios por parte del concesionario desagragado por Regional.</t>
  </si>
  <si>
    <t>Meta de distribución de bienestarina MAS de acuerdo con las metas sociales y financieras de los programas beneficiarios del alimento de alto valor nutricional</t>
  </si>
  <si>
    <t>No. Toneladas proyectadas a producir de Bienestarina Más para la vigencia</t>
  </si>
  <si>
    <t>Para el calculo del indicador se tendra en cuenta Bienestarina en Polvo.
Instrucciones de calculo Numerador: 
1. Consolidar los informes  de la interventoria y del operador referente a la produccionn en el periodo correspondiente.
2. Obtencion de la cifra en toneladas producidas en el plazo establecido  (los 3 primeros dias después del mes vencido) , desagregado por planta ( Cartago - Sabanagrande).</t>
  </si>
  <si>
    <t xml:space="preserve">Meta de producción de bienestarina MAS de acuerdo con los requerimientos de distribución </t>
  </si>
  <si>
    <t>No. Toneladas producidas realmente en las plantas (Mes) / No. Toneladas proyectadas a producir de Bienestarina Más para la vigencia</t>
  </si>
  <si>
    <t>No. Toneladas producidas realmente en las plantas (Mes)</t>
  </si>
  <si>
    <t>Controlar la producción de Alimentos de Alto valor nutricional para que cumpla con las necesidades del ICBF .</t>
  </si>
  <si>
    <t>Programa Anual de Caja - PAC: Es el instrumento mediante el cual se define el monto máximo mensual de fondos disponibles en la Cuenta Única Nacional para los órganos financiados con recursos de la Nación y el monto máximo mensual de pagos de los establecimientos públicos del Orden Nacional en lo que se refiere a sus propios ingresos, con el fin de cumplir sus compromisos. En consecuencia, los pagos no podrán exceder el cupo máximo de PAC y se sujetarán a los montos aprobados en el. La meta global de pagos de cada vigencia la aprueba y comunica el CONFIS.
Sistema Integrado de Informacion Financiera - SIIF Nación constituye una iniciativa del Ministerio de Hacienda y Crédito Público que permite a la Nación consolidar la información financiera de las Entidades que conforman el Presupuesto General de la Nación y ejercer el control de la ejecución presupuestal y financiera de las Entidades pertenecientes a la Administración Central Nacional y sus subunidades descentralizada, con el fin de propiciar una mayor eficiencia en el uso de los recursos de la Nación y de brindar información oportuna y confiable.</t>
  </si>
  <si>
    <r>
      <rPr>
        <b/>
        <sz val="8"/>
        <rFont val="Calibri Light"/>
        <family val="2"/>
        <scheme val="major"/>
      </rPr>
      <t>Asignación presupuestal:</t>
    </r>
    <r>
      <rPr>
        <sz val="8"/>
        <rFont val="Calibri Light"/>
        <family val="2"/>
        <scheme val="major"/>
      </rPr>
      <t xml:space="preserve"> Es el proceso mediante el cual el nivel nacional hace la distribución de apropiaciones, por identificador presupuestal y por recursos de financiación para los programas del ICBF.
</t>
    </r>
    <r>
      <rPr>
        <b/>
        <sz val="8"/>
        <rFont val="Calibri Light"/>
        <family val="2"/>
        <scheme val="major"/>
      </rPr>
      <t>Estructura presupuestal:</t>
    </r>
    <r>
      <rPr>
        <sz val="8"/>
        <rFont val="Calibri Light"/>
        <family val="2"/>
        <scheme val="major"/>
      </rPr>
      <t xml:space="preserve"> Conjunto de identificadores presupuestales, a través de los cuales se establecen las diferentes modalidades de atención.
</t>
    </r>
    <r>
      <rPr>
        <b/>
        <sz val="8"/>
        <rFont val="Calibri Light"/>
        <family val="2"/>
        <scheme val="major"/>
      </rPr>
      <t>Identificador presupuestal:</t>
    </r>
    <r>
      <rPr>
        <sz val="8"/>
        <rFont val="Calibri Light"/>
        <family val="2"/>
        <scheme val="major"/>
      </rPr>
      <t xml:space="preserve"> Es el código establecido en la Ley de Presupuesto a Nivel de Programa y Subprograma; en el Decreto de Liquidación a nivel de Proyecto; y en la estructura presupuestal del ICBF, a nivel de cuenta, subcuenta, artículo, ordinal, subordinal, subproyecto, modalidad y código, según sea el caso, a través de éste se identifica el tipo de gasto a ejecutar.
</t>
    </r>
    <r>
      <rPr>
        <b/>
        <sz val="8"/>
        <rFont val="Calibri Light"/>
        <family val="2"/>
        <scheme val="major"/>
      </rPr>
      <t>Nivel ejecutor:</t>
    </r>
    <r>
      <rPr>
        <sz val="8"/>
        <rFont val="Calibri Light"/>
        <family val="2"/>
        <scheme val="major"/>
      </rPr>
      <t xml:space="preserve"> Es el identificador presupuestal de más bajo nivel de desagregación, a través del cual se pueden ejecutar cada uno de los proyectos y subproyectos.
</t>
    </r>
    <r>
      <rPr>
        <b/>
        <sz val="8"/>
        <rFont val="Calibri Light"/>
        <family val="2"/>
        <scheme val="major"/>
      </rPr>
      <t>Vigencia fiscal:</t>
    </r>
    <r>
      <rPr>
        <sz val="8"/>
        <rFont val="Calibri Light"/>
        <family val="2"/>
        <scheme val="major"/>
      </rPr>
      <t xml:space="preserve"> Período para el cual le fue asignado el presupuesto al ICBF. Por Ley, ésta vigencia va desde el 1o de enero al 31 de diciembre del mismo año.
</t>
    </r>
    <r>
      <rPr>
        <b/>
        <sz val="8"/>
        <rFont val="Calibri Light"/>
        <family val="2"/>
        <scheme val="major"/>
      </rPr>
      <t xml:space="preserve">Sistema Integrado de Información Financiera - SIIF Nación: </t>
    </r>
    <r>
      <rPr>
        <sz val="8"/>
        <rFont val="Calibri Light"/>
        <family val="2"/>
        <scheme val="major"/>
      </rPr>
      <t xml:space="preserve"> Es una iniciativa del Ministerio de Hacienda y Crédito Público que permite a la Nación consolidar la información financiera de las Entidades que conforman el Presupuesto General de la Nación y ejercer el control de la ejecución presupuestal y financiera de las Entidades pertenecientes a la Administración Central Nacional y sus subunidades descentralizada, con el fin de propiciar una mayor eficiencia en el uso de los recursos de la Nación y de brindar información oportuna y confiable. 
</t>
    </r>
    <r>
      <rPr>
        <b/>
        <sz val="8"/>
        <rFont val="Calibri Light"/>
        <family val="2"/>
        <scheme val="major"/>
      </rPr>
      <t>Valor comprometido:</t>
    </r>
    <r>
      <rPr>
        <sz val="8"/>
        <rFont val="Calibri Light"/>
        <family val="2"/>
        <scheme val="major"/>
      </rPr>
      <t xml:space="preserve">  Valor del compromiso adquirido mediante un acto administrativo o contrato celebrado con un órgano publico, en cumplimiento de las funciones públicas, el cual tenga el correspondiente Registro Presupuestal.</t>
    </r>
  </si>
  <si>
    <t>Porcentaje de ejecución presupuestal compromisos</t>
  </si>
  <si>
    <t>Número de actividades desarrolladas a la fecha de corte en el marco de la implementación del modelo de atención presencial y puesta en funcionamiento de la Línea 106 dentro de la vigencia</t>
  </si>
  <si>
    <t>Número de actividades a desarrollar en el marco de la implementación del modelo de atención presencial y puesta en funcionamiento de la Línea 106 programadas para el cuatrienio</t>
  </si>
  <si>
    <t>Documento soporte de implementación del modelo de atención presencial y puesta de funcionamiento de la linea 106 establecido por la Dirección de servicio y atención</t>
  </si>
  <si>
    <t>El 30% en la vigencia 2015 equivale a las actividades de:
Diagnóstico (Junio)
Identificación y estrategias (Septiembre)
Divulgación y socialización (Diciembre)</t>
  </si>
  <si>
    <t>MEDIR EL PORCENTAJE DE EJECUCIÓN PRESUPUESTAL OBLIGACIONES DE LA REGIONAL Y SEDE DE LA DIRECCIÓN GENERAL</t>
  </si>
  <si>
    <t>EJECUCIÓN OBLIGACIONES ACUMULADAS</t>
  </si>
  <si>
    <t>PRESUPUESTO ASIGNADO DE LA VIGENCIA</t>
  </si>
  <si>
    <t>EJECUCIÓN OBLIGACIONES ACUMULADAS / PRESUPUESTO ASIGNADO DE LA VIGENCIA</t>
  </si>
  <si>
    <t>MPA-P2-04</t>
  </si>
  <si>
    <t>Porcentaje de ejecución presupuestal obligaciones</t>
  </si>
  <si>
    <t xml:space="preserve">Los rangos han sido definidos  teniendo en cuenta que la suscripción de los planes de mejoramiento producto de  auditoria por parte de la CGR, abarcan dos vigencias y  tienen fecha de corte final a Septiembre de cada año y el inicio del nuevo plan  generalmente se da en el mes de octubre, motivo por el cual se define un rango diferente para el último trimestre, considerando que la meta a 31 de diciembre del nuevo plan es del 25%.
En el trimestre los Dueños del Macroprocesos /Procesos  y Regionales con avance al plan de mejoramiento suscrito con la Contraloría General de la República fue del X%. </t>
  </si>
  <si>
    <t>Del total de Informes de cumplimiento de funciones asignadas por normas internas y externas entregados en el trimestre, el X% de informes se remitieron oportunamente.
Cada rango trimestral se definió de acuerdo al numero de informes programados.</t>
  </si>
  <si>
    <t>Solicitar y/o verificar la información enviada por Regionales y/o dependencias responsables y reportar a quien corresponda dentro de los tiempos estipulados para cada informe (Mensual, trimestral, semestral y Anual).</t>
  </si>
  <si>
    <t>cod</t>
  </si>
  <si>
    <t>dimensión</t>
  </si>
  <si>
    <t>ambito</t>
  </si>
  <si>
    <t>Ambito</t>
  </si>
  <si>
    <t>Ponderación</t>
  </si>
  <si>
    <t>información basica</t>
  </si>
  <si>
    <t>Dimensión</t>
  </si>
  <si>
    <t>Mes inicio</t>
  </si>
  <si>
    <t>SIN</t>
  </si>
  <si>
    <t>Número de Centros de Desarrollo Infantil construidos</t>
  </si>
  <si>
    <t>-</t>
  </si>
  <si>
    <t>Total general</t>
  </si>
  <si>
    <t>Área responsable</t>
  </si>
  <si>
    <t>Ene</t>
  </si>
  <si>
    <t>Feb</t>
  </si>
  <si>
    <t>Mar</t>
  </si>
  <si>
    <t>Abr</t>
  </si>
  <si>
    <t>May</t>
  </si>
  <si>
    <t>Jun</t>
  </si>
  <si>
    <t>Jul</t>
  </si>
  <si>
    <t>Agt</t>
  </si>
  <si>
    <t>Sep</t>
  </si>
  <si>
    <t>Oct</t>
  </si>
  <si>
    <t>Nov</t>
  </si>
  <si>
    <t>Dic</t>
  </si>
  <si>
    <t>Cuenta de Cod6</t>
  </si>
  <si>
    <t>Cod6</t>
  </si>
  <si>
    <t>Cod4</t>
  </si>
  <si>
    <t>Total Resultado</t>
  </si>
  <si>
    <t>Total Producto</t>
  </si>
  <si>
    <t>Total Gestión</t>
  </si>
  <si>
    <t>Plan de acción</t>
  </si>
  <si>
    <t>Otros</t>
  </si>
  <si>
    <t>Total Eficacia</t>
  </si>
  <si>
    <t>Total Eficiencia</t>
  </si>
  <si>
    <t>Identificar las causales de incapacidad más comunes para implementar medidas de prevención y/o  disminución del ausentismo de los colaboradores del ICBF.</t>
  </si>
  <si>
    <r>
      <t xml:space="preserve">La información del indicador debe cargarse los primeros 5 días habiles del mes siguiente al corte en el repositorio. Los resultados del indicador se dan de manera acumulada bimestre a bimestre.
En caso de que la Regional no cargue la información respectiva el indicador se reportará como N.R. No Reporta lo que es igual al 0% Critico.
</t>
    </r>
    <r>
      <rPr>
        <b/>
        <sz val="10"/>
        <rFont val="Calibri Light"/>
        <family val="2"/>
        <scheme val="major"/>
      </rPr>
      <t>Nota: Para el analisis de los avances se debe realizar un comparativo con la vigencia inmediatamente anterior para evidenciar tasa de ausentimo, sus causales y acciones preventivas a realizar</t>
    </r>
  </si>
  <si>
    <t>Reporte de ausentismo (se relaciona el mes, nombre del colaborador, tiempo y causas del ausentismo)</t>
  </si>
  <si>
    <t>Medir la ocurrencia de AT en el periodo trabajado, para implementar acciones de disminución en los casos de  accidentalidad presentados en el ICBF</t>
  </si>
  <si>
    <t>Relación del indicador</t>
  </si>
  <si>
    <t>N.A.</t>
  </si>
  <si>
    <t>primera infancia</t>
  </si>
  <si>
    <t>Valor optimo</t>
  </si>
  <si>
    <t>Valor adecuado</t>
  </si>
  <si>
    <t>Valor en riesgo</t>
  </si>
  <si>
    <t>Valor critico</t>
  </si>
  <si>
    <t>Programación  de compromisos proyectada en PACCO</t>
  </si>
  <si>
    <t>Dirección Financiera</t>
  </si>
  <si>
    <t>Dirección Planeación y Control a la Gestión.</t>
  </si>
  <si>
    <t>Comunicaciones</t>
  </si>
  <si>
    <t>SNBF</t>
  </si>
  <si>
    <t>Información y tecnología</t>
  </si>
  <si>
    <t>Aseguramiento a la calidad</t>
  </si>
  <si>
    <t>Abastecimiento</t>
  </si>
  <si>
    <t>Servicios y atención</t>
  </si>
  <si>
    <t>Cooperación y convenios</t>
  </si>
  <si>
    <t>Administrativa</t>
  </si>
  <si>
    <t>Gestión humana</t>
  </si>
  <si>
    <t>Familia y Comunidades</t>
  </si>
  <si>
    <t>Niñez y adolescencia</t>
  </si>
  <si>
    <t>Nutricion</t>
  </si>
  <si>
    <t>Porcentaje de ocurrencia de accidentes de trabajo</t>
  </si>
  <si>
    <t>Para el análisis de este indicador se deberán comparar el reporte de los resultados actuales con los presentados en los anteriores reportes por mes dentro de la misma vigencia. Esto con el fín de tener la trazabilidad en el comportamiento del indicador.</t>
  </si>
  <si>
    <t>Para el primer corte (abril) se medirá una etapa de desarrollo del modulo de registro de avance de indicadores - nivel nacional y regional
Para el segundo corte (agosto) se medirán dos etapas de desarrollo: módulo de salida de hojas de vida y módulo de calificación de indicadores
Para el tercer corte (diciembre) se medirán dos etapas de desarrollo: módulo de salidas de información y modulo de segumiento a actividades</t>
  </si>
  <si>
    <t xml:space="preserve">Medir el Mejoramiento de los Procesos a partir de la generación de acciones preventivas, oportunidades de mejora y bitacoras de innovación </t>
  </si>
  <si>
    <t>N°Acciones Preventivas Cerradas+N° Notas de Mejora+Bitacoras</t>
  </si>
  <si>
    <t>N°Acciones Correctivas Cerradas</t>
  </si>
  <si>
    <t>Instrucciones de calculo Numerador:
Aplicativo Isolucion - modulo Mejoramiento 
Paso 1: Ingrese al modulo mejoramiento y seleccione la opción "filtro" en acciones Preventivas
Paso 2: en la columna "Fecha de cierre" en "hasta" seleccione la fecha final del corte, ejemplo mensual comprende del 1 enero  a 31 de enero  entonces  seleccione estas fechas
Paso 3: Ahora seleccione en la columna "Estado" las cerradas
Paso 4: Verificar y hacer el conteo de las acciones cerradas eficazmente del "total de las cerradas"
Paso 5:  Ingrese al modulo mejoramiento y seleccione la opción "filtro" en Notas de Mejora
Paso 6: en la columna "Fecha de cierre" en "hasta" seleccione la fecha final del corte, ejemplo mensual comprende del 1 enero  a 31 de enero  entonces  seleccione estas fechas
Paso 7: Ahora seleccione en la columna "Estado" las cerradas
Paso 8: Verificar y hacer el conteo de las Notas de Mejora
Paso 9: Ingrese a la base de datos de bitacoras
Instrucciones de calculo Denominador:
Paso 1: Ingrese nuevamente al modulo mejoramiento y seleccione la opción "filtro" en acciones Preventivas 
Paso 2: Seleccione en la columna "Estado" las vencidas
Paso 3: Ahora seleccione de la columna "Fecha prevista de cierre" en la opción "Hasta" la ultima fecha del mes, ejemplo: del 1 al 31 de enero
Paso 4: Luego seleccione en la columna "Regional/Centro Zonal" su regional
Paso 5: Realice el conteo de las acciones vencidas 
Paso 6: Ahora sume el  "total de las cerradas" mas las vencidas resultado del paso anterior</t>
  </si>
  <si>
    <t>Aplicativo ISOLUCION Modulo de Mejoramiento y/o Base de Datos Bitacoras</t>
  </si>
  <si>
    <t xml:space="preserve">Aplicativo ISOLUCION Modulo de Mejoramiento </t>
  </si>
  <si>
    <t>Porcentaje de avance en el mejoramiento Continuo de Procesos</t>
  </si>
  <si>
    <t>(N°Acciones Preventivas Cerradas+N° Notas de Mejora+Bitacoras) / N°Acciones Correctivas Cerradas.</t>
  </si>
  <si>
    <t>Resultadox</t>
  </si>
  <si>
    <t>Productox</t>
  </si>
  <si>
    <t>Gestiónx</t>
  </si>
  <si>
    <t>Pond %</t>
  </si>
  <si>
    <t>Ind</t>
  </si>
  <si>
    <t>Tablero</t>
  </si>
  <si>
    <t>Plan indicativo</t>
  </si>
  <si>
    <t>Dirección de Protección</t>
  </si>
  <si>
    <t>Misionales</t>
  </si>
  <si>
    <t>Apoyo</t>
  </si>
  <si>
    <t>Evaluación</t>
  </si>
  <si>
    <t>Estratégicos</t>
  </si>
  <si>
    <t>Total</t>
  </si>
  <si>
    <t>Pond tablero</t>
  </si>
  <si>
    <t>Pond PA</t>
  </si>
  <si>
    <t>Pond PI</t>
  </si>
  <si>
    <t xml:space="preserve">Primera Infancia </t>
  </si>
  <si>
    <t xml:space="preserve">Niñez y Adolescencia </t>
  </si>
  <si>
    <t>Nutrición</t>
  </si>
  <si>
    <t>Protección</t>
  </si>
  <si>
    <t>Contratación</t>
  </si>
  <si>
    <t>Servicio y Atención</t>
  </si>
  <si>
    <t xml:space="preserve">Información y Tecnología </t>
  </si>
  <si>
    <t>Control Interno Disciplinario</t>
  </si>
  <si>
    <t>Jurídica</t>
  </si>
  <si>
    <t xml:space="preserve">Cooperación y Convenios </t>
  </si>
  <si>
    <t>Programación</t>
  </si>
  <si>
    <t>Mejoramiento Organizacional</t>
  </si>
  <si>
    <t>Control Interno</t>
  </si>
  <si>
    <t xml:space="preserve">Monitoreo y Evaluación </t>
  </si>
  <si>
    <t>Responsables</t>
  </si>
  <si>
    <t>Nacional</t>
  </si>
  <si>
    <t>Regional</t>
  </si>
  <si>
    <t>Zonal</t>
  </si>
  <si>
    <t>Número de Adolescentes que ingresan al Sistema de Responsabilidad Penal en la vigencia actual por reiteración del mismo delito u otro diferente. / Total de Adolescentes que ingresan al Sistema de Responsabilidad Penal, durante la vigencia actual.</t>
  </si>
  <si>
    <t>Número de Adolescentes que ingresan al Sistema de Responsabilidad Penal en la vigencia actual por reiteración del mismo delito u otro diferente.</t>
  </si>
  <si>
    <t>Este indicador se reportará un mes y medio después del mes de corte programado,  ya que la recolección de la información es remitida por las Regionales ICBF a través de un  documento en formato de excel  –  F1.PR2.MPM5.P3  Informe consolidado del periodo por Distrito Judicial v1 - Valija, el cual es entregado por las mismas a  más tardar el  día 15 del siguiente mes, una vez se recepcione la información completa y con calidad, la Subdirección de Responsabilidad  Penal procede a realizar el consolidado y generar el dato Nacional.</t>
  </si>
  <si>
    <t>Consolidado Semestral  del  F1.PR2.MPM5.P3  Informe Consolidado del Periodo por Distrito Judicial v1 - Valija</t>
  </si>
  <si>
    <t>Valores</t>
  </si>
  <si>
    <t>Total Ind. Zonales</t>
  </si>
  <si>
    <t>Ind. Zonales</t>
  </si>
  <si>
    <t>Total Ind. Regionales</t>
  </si>
  <si>
    <t>Ind. Regionales</t>
  </si>
  <si>
    <t>Total Plan de Acción</t>
  </si>
  <si>
    <t>Total Plan Indicativo</t>
  </si>
  <si>
    <t>Cuenta de N</t>
  </si>
  <si>
    <t>Cuenta de R</t>
  </si>
  <si>
    <t>Cuenta de Z</t>
  </si>
  <si>
    <t>Solo Nacionales</t>
  </si>
  <si>
    <t>Solo Regionales</t>
  </si>
  <si>
    <t>Zonales</t>
  </si>
  <si>
    <t>TC</t>
  </si>
  <si>
    <t>Tablero de Control</t>
  </si>
  <si>
    <t>Plan Nal Desarrollo</t>
  </si>
  <si>
    <t>Porcentaje de avance de los componentes del plan estratégico en el periodo</t>
  </si>
  <si>
    <t>Porcentaje de componentes del plan estratégico de Gestión Humana programado para la vigencia</t>
  </si>
  <si>
    <t>Para el año 2015 se han estipulado dos etapas:  Diseño con un 20%  y los componentes con el 80% (35% del cuatrienio)
Componentes del Plan:
Clima organizacional 15%
Cultura organizacional 15%
Competencias Organizacionales 15%
Habilidades Gerenciales 10%
SG-SST 10%
Bienestar 10%
Formación 10%
Adecuación Institucional 15%</t>
  </si>
  <si>
    <t>Porcentaje de avance de los componentes del plan estratégico en el periodo / Porcentaje de componentes del plan estratégico de Gestión Humana programado para la vigencia</t>
  </si>
  <si>
    <t>Numero total de AT ocurridos en el bimestre en la regional y/o sede de la Dirección General 2015</t>
  </si>
  <si>
    <t>Numero total de AT ocurridos en el bimestre en la regional y/o sede de la Dirección General 2014</t>
  </si>
  <si>
    <t>F2 PR15 MPA1 P1 Reporte Indicador Cobertura Eje SYSO v1.xls información 2015</t>
  </si>
  <si>
    <t>F2 PR15 MPA1 P1 Reporte Indicador Cobertura Eje SYSO v1.xls información 2014</t>
  </si>
  <si>
    <t>AT - Accidente de Trabajo:  todo suceso repentino que sobrevenga por causa o con ocasión del trabajo, y que produzca en el trabajador una lesión orgánica, una perturbación funcional o psiquiátrica, una invalidez o la muerte.</t>
  </si>
  <si>
    <t>La información del indicador debe cargarse los primeros 5 días habiles del mes siguiente al corte en el repositorio. Los resultados del indicador se dan de manera acumulada bimestre a bimestre.</t>
  </si>
  <si>
    <t>SI es superior al 103% se considera critico dado que no están ajustando el plan de compras y adquisiciones</t>
  </si>
  <si>
    <t>Teniendo en cuenta que el sistema de información PACCO maneja fechas de registro específicas, con las Regionales y áreas de la Sede de la Dirección General, el reporte del indicador a la Subdirección de Evaluación se realizará entre los días 13 y 16 de cada mes, a partir del mes de abril, de acuerdo con las particularidades que se presenten.
En el rango de evaluación optimo, el porcentaje máximo permitido es del 100,05%
El reporte del mes de diciembre se realizará el 16 de febrero de la siguiente vigencia.</t>
  </si>
  <si>
    <t xml:space="preserve">Sistema de Información de Primera Infancia y Base de datos de Victimas. </t>
  </si>
  <si>
    <t>Cruce de Base de Victimas Vs. Población Infantil en el aplicativo CUENTAME vigencia 2015</t>
  </si>
  <si>
    <t>Porcentaje de avance en la definción e implementación de integración e interoperabilidad de los sistemas de información</t>
  </si>
  <si>
    <t>SI es superior al 103% se considera critico y que no están ajustando el plan de compras y adquisiciones. Se deja el margen de error del 3% por diferencias en la meta de compromisos producto de los recursos no programables en PACCO.</t>
  </si>
  <si>
    <t>Plan de acción (incluido PII)</t>
  </si>
  <si>
    <t>Categoria</t>
  </si>
  <si>
    <t>%</t>
  </si>
  <si>
    <t>% unit indicador</t>
  </si>
  <si>
    <t># indicadores</t>
  </si>
  <si>
    <t>peso por ambito</t>
  </si>
  <si>
    <t>Medir el número de incidentes asociados a seguridad de la información que puedan afectar alguno de sus tres pilares: confidencialidad, integridad y/o disponibilidad que fueron atendidos en los tiempos establecidos.</t>
  </si>
  <si>
    <t>Número de incidentes de seguridad de la información atendidos  por la Dirección de Información y Tecnología y/o Ingenieros Regionales registrados en la herramienta de gestión de la mesa de servicio.</t>
  </si>
  <si>
    <t>Total de incidentes de seguridad de la información recibidos y registrados en la herramienta de gestión de la mesa de servicio en el periodo.</t>
  </si>
  <si>
    <t>*   Un Incidente de seguridad atendido durante el periodo de corte es todo aquel que ha sido tratado mediante una acción de control o a través de una acción de mitigación que de solución al mismo y que este debidamente documentado y cerrado en la herramienta de gestión.
* Los incidentes no atendidos en el periodo de corte, se contabilizarán en el periodo siguiente hasta que sean atendidos y cerrados en la herramienta de gestión.
* El corte del reporte de incidentes se realizará  con una antelación de 4 días hábiles respecto del último día hábil del mes, teniendo en cuenta que la gestión de los mismos en la herramienta dispuesta, pueda superar este margen de tiempo.
* El resultado del denominador del indicador corresponde a los incidentes contabilizados a partir de la fecha en que son reportados y registrados en la herramienta de gestión de la mesa de servicio.
* Si al periodo de corte no se reportaron incidentes y no se tienen incidentes pendientes de atención, en el tablero de control se presentará como N/A (no aplica).</t>
  </si>
  <si>
    <t>Base de datos de la NAS debidamente actualizada:
\\172.16.9.31\ArchivosICBF\Dirección de Contratación\LIQUIDACIONES</t>
  </si>
  <si>
    <t xml:space="preserve">Número de agentes educativos en proceso de formación y/o cualificación en Atención Integral a la Primera Infancia. </t>
  </si>
  <si>
    <t>Conocer el número de agentes educativos en formación o cualificación para la Atención Integral de los niños y niñas menores de cinco años.</t>
  </si>
  <si>
    <t xml:space="preserve">Sumatoria de agentes educativos comunitarios e institucionales, en formación o cualificación en atención integral a la Primera Infancia / Meta de formación y cualificación de AE </t>
  </si>
  <si>
    <t>Sumatoria de agentes educativos comunitarios e institucionales, en formación o cualificación en atención integral a la Primera Infancia</t>
  </si>
  <si>
    <t>Nota: El Sistema de información de formación y cualificación de AE inicia en el piloto en el 2015. 
La fuente secundaria se utiliza hasta que la fuente primeria se encuentre funcionando.</t>
  </si>
  <si>
    <t xml:space="preserve">Fuente Primaria: Sistema de Información de formación y cualificación de agentes educativos. 
Fuente secundaria: reporte de Operadores de Formación. </t>
  </si>
  <si>
    <t xml:space="preserve">Número de Unidades de servicio con planes de implementación para salas de lectura </t>
  </si>
  <si>
    <t xml:space="preserve">Número de Unidades de servicio con planes de implementación para salas de lectura  / Meta programada estrategia fiesta de la lectura </t>
  </si>
  <si>
    <t>Número de Unidades de servicio con planes de implementación para salas de lectura</t>
  </si>
  <si>
    <t>Número de agentes educativos en proceso de formación y/o cualificación en Atención Integral a la Primera Infancia</t>
  </si>
  <si>
    <t>Reporte del operador de la estrategia fiesta de la lectura - Informe Convenio Intersectorial Presidencia</t>
  </si>
  <si>
    <t>Reporte de los operadores de fortalecimiento a EAS.</t>
  </si>
  <si>
    <t>EAS: Entidades Administradoras del Servicio
Fortalecimiento: Proceso para fortalecer a las EAS de las modalidades de atención integral, desde los seis (6) componentes de gestión de la calidad, los cuales son: 1. Proceso pedagógico, familia, 2. comunidad y redes, 3. administración y gestión, 4. nutrición y salud, 5. talento humano y 6. Ambientes educativos y protectores, mediante el apoyo de un equipo de talento humano conformado por un Coordinador, un Pedagogo, un Psicólogo, un Nutricionista o profesional de la salud, un Arquitecto/Artista plástico y un Administrador o ingeniero industrial.</t>
  </si>
  <si>
    <t>Número de niños y niñas con atención a la primera infancia con valoración y seguimiento nutricional.</t>
  </si>
  <si>
    <t>Número de niños y niñas que registran valoración y seguimiento de su estado nutricional. / Meta Programada en SIM de modalidades en Atención</t>
  </si>
  <si>
    <t>Meta Programada en SIM de modalidades en Atención</t>
  </si>
  <si>
    <t>* La meta sólo incluye los niños y niñas que son atendidos de manera directa a través de las distintas modalidades de atención del instituto y/o en convenio sin incluir el Programa DIA.
* El denominador variará mes a mes de acuerdo a las modificaciones realizadas a la programación de metas sociales en el SIM, con esté se valorará el indicador mes a mes.</t>
  </si>
  <si>
    <t>Medir las unidades de servicio de las diferentes modalidades de atención a Primera Infancia del ICBF, que cuentan con planeas de implementación para Salas de Lectura en el marco de la Estrategia Fiesta de la Lectura.</t>
  </si>
  <si>
    <t>Número de niños y niñas con atención a la primera infancia con valoración y seguimiento nutricional</t>
  </si>
  <si>
    <t>(1- (Numero total de AT ocurridos en el bimestre en la regional y/o sede de la Dirección General 2015 / Numero total de AT ocurridos en el bimestre en la regional y/o sede de la Dirección General 2014))</t>
  </si>
  <si>
    <t xml:space="preserve">El reporte se iniciara a patir del mes de junio, dado que deben estudiarse y evaluarse las propuestas a contratar </t>
  </si>
  <si>
    <t>Período de medición: Del día 21 del mes inmediatamente anterior al que estamos midiendo, hasta el día 20 del mes que estamos evaluando. Cabe anotar que para efectos de la generación del reporte en el SIM, deben escoger un día posterior al requerido para la medición</t>
  </si>
  <si>
    <t>Sumatoria de la máxima calificación a obtener en las encuestas aplicadas</t>
  </si>
  <si>
    <t>Sumatoria de la máxima calificación a obtener en las evaluaciones de eficacia</t>
  </si>
  <si>
    <t>Sumatoria de los promedios de las  evaluaciones  de eficacia de las capacitaciones realizadas / Sumatoria de la máxima calificación a obtener en las evaluaciones de eficacia</t>
  </si>
  <si>
    <t>Sumatoria de las calificaciones de las encuestas de satisfacción en el período / Sumatoria de la máxima calificación a obtener en las encuestas aplicadas</t>
  </si>
  <si>
    <t>Porcentaje de niños y niñas que fueron atendidos en las modalidades de la Estrategia de Recuperación Nutricional y mejoraron su estado nutricional</t>
  </si>
  <si>
    <t>Total de niños y niñas menores de 5 años atendidos en la Estrategia de Recuperación Nutricional que mejoran su estado nutricional al final de los seis (6) meses de permanencia</t>
  </si>
  <si>
    <t>Total de niños y niñas menores de 5 años que ingresan a la Estrategia de Recuperación Nutricional con seis (6) meses de permanencia</t>
  </si>
  <si>
    <t>Total de niños y niñas menores de 5 años atendidos en la Estrategia de Recuperación Nutricional que mejoran su estado nutricional al final de los seis (6) meses de permanencia / Total de niños y niñas menores de 5 años que ingresan a la Estrategia de Recuperación Nutricional con seis (6) meses de permanencia</t>
  </si>
  <si>
    <t>Informes de legalización de obras o conceptos sobre procesos de legalización de obras emitidos por el Grupo de Gestión de Bienes</t>
  </si>
  <si>
    <t xml:space="preserve">Memorando de obras por legalizar con los soportes correspondientes, emitido por el Grupo de Infraestructura Inmobiliaria </t>
  </si>
  <si>
    <t>El número de procesos de legalización de obra iniciados depende de las solicitudes de legalización, debidamente soportadas que hayan sido remitidas por el Grupo deInfraestructura Inmobiliaria</t>
  </si>
  <si>
    <t>El número de bienes repotados como desocupados o invadidos es una cifra variable y depende de la programación de las visitas a los inmuebles que establezca el Grupo de Gestión de Bienes</t>
  </si>
  <si>
    <t>Porcentaje de bienes recibidos por VH y V destinados oportunamente</t>
  </si>
  <si>
    <t>Realizar seguimiento a la destinación de bienes ingresados por VH y V para el cumplimiento del objeto social del Instituto.</t>
  </si>
  <si>
    <t>Número de bienes ingresados al patrimonio del ICBF por VH y V con destinación oportuna</t>
  </si>
  <si>
    <t>Número de bienes ingresados al patrimonio del ICBF por VH y V con destinación oportuna / Número de bienes ingresados al patrimonio del ICBF por Vh y V</t>
  </si>
  <si>
    <t>Número de bienes ingresados al patrimonio del ICBF por Vh y V</t>
  </si>
  <si>
    <t>1 Para la realización de la medición del indicarod, se deberá considerar lo siguiente:
a. Para el primer cuatrimestre de 2015 se tendrán en cuenta los inmuebles que se hayan ingresado como nuevos registros en el Sistema de Información a partir del 01 de enero hasta el 28 de febrero de la respectiva vigencia
b. Para el segundo cuatrimestre de 2015 se tendrán en cuenta los inmiuebles que se hayan registrado en el Sistema de Inforaicón a partir del 01 de marzo hasta el 30 de junio de la respectiva vigencia
c. Para el tercer cuatrimestre de 2015 se tendrán en cuenta los inmue bles que se hayan registrado en el Sistema de Información a partir del 01 de julio hasta el 31 de octubre de la respectiva vigencia
d. Los bienes uqe sean registrados en el Sistema de Información a partir del 01 de noviembre hasta el 31 de diciembre de 2015, serán medidos acumulativamente junto con el primer reporte del indicador de la vigencia siguiente
Esta medición obedece a que en la Resolución No. 2200 de 2010 Art. 4°, literal D y la Guía de Gestión de Bienes, se establece el término de dos (02) meses para la determinación del uso del bien inmueble
2. Es imprtante aclarar, que de acuerdo co nla dinámica de denuncias de Bienes a nivel nacional y a los mismos procesos judiciales, puede presentarse que en algunas regonales durante el trnascurso del año, no se reporte ingreso de bienes, por ellos is se presentan situaciones en las cuales el denominador es cero, por causa del no ingreso de bienes al patrimonio del ICBF, durante el período, la valoración del resultado deber ser "NO APLICA"</t>
  </si>
  <si>
    <t>Análisis de utilidad del inmueble, reportado por las regionales y aprobado por el Comité de Bienes</t>
  </si>
  <si>
    <t>Inventario de Bienes ingresados al patrimonio del ICBF por Vh y V</t>
  </si>
  <si>
    <t>1. Para el cálculo del indicador se tendrá en cuenta la información registrada y presentada en el Sistema de Información SEVEN/ERP por las regionales hasta la fecha de corte (día 30 de cada triemstre) del indicador
2. El número de bienes objeto de comodato es una cifra dinámica que puede variar durante la vigencia, de aucerdo a las condiciones fíasicas de los inmuebles o por las decisiones de destinación específica tomadas por el Comité de Bienes
3. De acuerdo con la dinámica de los procesos administrativos en el manejo de bienes inmiuebles a nivel nacional, puede presentarse que en algunas regionales durante algunos o varios preriodos no se disponga de bienes inmuebles objeto de comodato, por ello si se presentan situaciones en las cuáles el denominador es cero, la valoración del resultado debe ser "NO APLICA"</t>
  </si>
  <si>
    <t>Relación de los contratos de comodatos suscritos y registrados respecto de los bienes inmuebles de propiedad del ICBF, infomrada por las regionales durante cada periodo</t>
  </si>
  <si>
    <t>Inventario de bienes inmuebles registrados en el Sistema de Información SEVEN/ERP</t>
  </si>
  <si>
    <t>* Comodatos, referencia a los contratos suscritos y registrados de bienes bienes inmuebles propiedad del ICBF que pueden ser derivados o no derivados de contratos de aporte
* El inventario de bienes corresponde a la información de inmuebles registrados pr las regionales en el SIstema de Información SEVEN/ERP</t>
  </si>
  <si>
    <t xml:space="preserve">Presupuesto comprometido para la implementación de los planes de Gestión Ambiental </t>
  </si>
  <si>
    <t xml:space="preserve">Presupuesto comprometido para la implementación de los planes de Gestión Ambiental / Presupuesto asignado para la implementación del plan de Gestión Ambiental </t>
  </si>
  <si>
    <t>Metros lineales programados para ser transferidos al archivo central durante el 2015</t>
  </si>
  <si>
    <t>Metros lineales transferidos  al archivo central unificado durante 2015 / Metros lineales programados para ser transferidos al archivo central durante el 2015</t>
  </si>
  <si>
    <t>Medir la efectividad en la construcción de Centros de Desarrollo Infantil viabilizados</t>
  </si>
  <si>
    <t>Número de Centros de Desarrollo Infantil para la primera infancia viabilizados para construcción</t>
  </si>
  <si>
    <t>Número de Centros de Desarrollo Infantil para la primera infancia terminados en la vigencia</t>
  </si>
  <si>
    <t>Número de Centros de Desarrollo Infantil para la primera infancia terminados en la vigencia / Número de Centros de Desarrollo Infantil para la primera infancia viabilizados para construcción</t>
  </si>
  <si>
    <t>Actas de recibo de obra y entrega física de obra al ICBF</t>
  </si>
  <si>
    <t>Ficha técnica de viabilidad poara construcción de CDI emitida por el Grupo de Infraestructura inmobiliaria</t>
  </si>
  <si>
    <t>CDI terminado: Corresponde a obra de infraestructura finalizada con conexión de servicios públicos definitivos
Acta de recibo de obra y entrega física de obra al ICBF: suscrito en sitio por ejecutor de obra, entidad(es) que financia(n) el proyecto, mediante el cual se da recibo a satisfacción de la obra
Ficha técnica de viabilidad para construccipon de CDI emitida por el Grupo de Infraestructura Inmobiliaria: Documento mediante el cual se avala la pertinencia del proyecto en términos técnicos, jurídicos y financieros</t>
  </si>
  <si>
    <t>* Las modalidades que hacen parte de la atención integral a la Primera Infancia son: CDI sin Arriendo, CDI con Arriendo, Hogares Infantiles, Lactantes y Preescolares, Jardines Sociales, Hogares Empresariales, Hogares Múltiples, Desarrollo Infantil en Medio Familiar, HCB Integral, Convenio Especial-Institucional, Convenio Especial Familiar, Convenio Especial - Comunitario, Atención a niños hasta los 3 años en establecimientos de reclusión de mujeres.
* En la meta proyectada, se contempla el proceso de tránsito del programa DIA y HCB a modalidades de Atención Integral y el fortalecimiento de los HCB Integrales. En Sede quedan registrado el transito y ampliación, hasta que se efectué el ejercicio y se pueda regionalizar. 
* La meta incluye la atención de entes territoriales por medio de convenios de canasta local.
* El denominador variará mes a mes de acuerdo a las modificaciones realizadas a la programación de metas sociales en el SIM, con esté se valorará el indicador mes a mes.</t>
  </si>
  <si>
    <t>Meta Programada en SIM (Modalidades HCB )</t>
  </si>
  <si>
    <t>Consolidado de Metas Sociales y Financieras (Programación Inicial)</t>
  </si>
  <si>
    <t>El indicador permite ver el porcentaje del presupuesto asignado que a la fecha de corte está respaldado por un compromiso (contrato, convenio, resuolución)</t>
  </si>
  <si>
    <t>Este indicador permite ver la ejecución del presupuesto que a la fecha de corte la entidad adeuda como consecuencia de la recepción de bienes o servicios contratados</t>
  </si>
  <si>
    <t>PAC programado en el mes corresponde al asignado conforme a las solicitudes de cada regional y para efectos del indicador no se disminuirá por las modificaciones de aplazamientos o reducciones que sean solicitadas</t>
  </si>
  <si>
    <t>PAC programado en el mes corresponde al asignado conforme a las solicitudes de cada regional y para efectos del indicador no se disminuirá por las modificaciones de aplazamiento o reducciones que sean solicitadas</t>
  </si>
  <si>
    <t>Número de municipios con asistencia técnica para la implementación de las rutas de atención integral para el Restablecimiento de Derechos de la menor de 14 años embarazada.</t>
  </si>
  <si>
    <t>Reporte de Gestión Trimestral</t>
  </si>
  <si>
    <t>Porcentaje de Unidades de Servicio de Atención a adolescentes y jóvenes del Sistema de Responsbilidad Penal - SRPA, con implementación de procesos de formación en prácticas restaurativas</t>
  </si>
  <si>
    <t>Unidades de HCB Tradicionales focalizadas programadas en SIM</t>
  </si>
  <si>
    <t>Número de Hogares Comunitarios que cumplen los estándares de Atención Integral / Unidades de HCB Tradicionales focalizadas programadas en SIM</t>
  </si>
  <si>
    <t>La línea base  tiene en cuenta el avance realizado durante la vigencia 2014, en el proceso de implementación de la estrategia de Prácticas Restaurativas  articuladas  con  Marco Pedagógico en los Centros De Atención Especializada para adolescentes en conflicto con la ley y la prueba piloto realizad con Dos (2) Regionales en Servicios No privativos de la libertad.
El denominador da cuenta de número de unidades de atención reportadas con corte al 30 de Diciembre de 2014 y que va hacer constante para todo el Cuatrienio.
Con la finalidad de generar las condiciones de intercambio, diálogo y concertación entre los adolescentes entre 14 y 18 años de edad vinculados al Sistema de Responsbailidad Penal para Adolescentes - SRPA, su familia, las comunidades y de ser posible las víctimas y, con el fin de lograr resultados restaurativos, además de la integración social de las partes y la reparación del tejido social afectado por el delito, el ICBF promueve una estrategia integral, organizada y sistemática para la implementación de procesos de formación en prácticas restaurativas en tres fases a saber: sensibilización, afianzamiento y consolidación
Así las cosas desde que la Unidad de Servicio inice con la primera fase ya se podrán incluir dentro del reporte del numerador</t>
  </si>
  <si>
    <t>Identificar el número de adolescentes, que llevan mas de seis (6) meses de permanencia en el Sistema de Responsabilidad Penal para Asolescentes - SRPA, sancionados con medida privativa de libertad en Centros de Atención Especializada - CAE y a los cuales se les ha garantizado los derechos de identidad, salud y educación a través de la articulación con las entidades del Sistema NAcional de Bienestar Familiar - SNBF</t>
  </si>
  <si>
    <t>Conocer el porcentaje  de familias atendidas por  la  modalidad "Familias con Bienestar" frente  a las familias programadas en la vigencia
Conocer el porcentaje de familias Red Unidos atendidas por la modalidad "Familias con Bienestar" frente a las familias  Red Unidos programadas en la vigencia</t>
  </si>
  <si>
    <t>Número de familias atendidas por la modalidad "Familias con Bienestar" en la vigencia, incluyendo la población Red Unidos</t>
  </si>
  <si>
    <t>Número de familias programadas por la modalidad "Familias con Bienestar" en la vigencia, incluyendo la población Red Unidos</t>
  </si>
  <si>
    <t>Número de familias atendidas por la modalidad "Familias con Bienestar" en la vigencia, incluyendo la población Red Unidos / Número de familias programadas por la modalidad "Familias con Bienestar" en la vigencia, incluyendo la población Red Unidos</t>
  </si>
  <si>
    <t>El reporte de información iniciará en el mes de julio toda vez que se debe realizar el proceso de banco de oferentes y posterior contratación directa
Para la vigencia 2015, se definió una meta de 17.000 familias pertenecientes a la Red Unidos a atender en la modalidad "Familias con Bienestar"</t>
  </si>
  <si>
    <t>Número total de quejas recibidas para tramite en la vigencia 2015</t>
  </si>
  <si>
    <t>Número de entidades territoriales con acompañamiento para la implementación de la Ruta Integral de Atenciones</t>
  </si>
  <si>
    <t>Entidades territoriales que reciben acompañamiento y orientaciones técnicas en la apropiación e implementación de la ruta integral de atenciones acorde con los planteamientos conceptuales y de gestión de la Estrategia de Cero a Siempre</t>
  </si>
  <si>
    <t>Número de entidades territoriales que recibieron acompañamiento y orientación técnica en la apropiación e implementación de la ruta integral de atenciones.</t>
  </si>
  <si>
    <t>Total de entidades territoriales focalizadas en la vigencia para recibir acompañamiento y orientaciones técnicas en la apropiación e implementación de la ruta integral de atenciones.</t>
  </si>
  <si>
    <t>Número de entidades territoriales que recibieron acompañamiento y orientación técnica en la apropiación e implementación de la ruta integral de atenciones / Total de entidades territoriales focalizadas en la vigencia para recibir acompañamiento y orientaciones técnicas en la apropiación e implementación de la ruta integral de atenciones</t>
  </si>
  <si>
    <t>Este indicador está organizado por etapas en el reporte. Fase 1: Acompañamiento para contextualización, identificación de la experiencia demostrativa del plan de trabajo; Fase 2: Acompañamiento para la armonización de la Ruta Integral de Atenciones (RIA) con la experiencia demostrativa; Fase 3: Acompañamiento para el proceso de implemenciaón de la RIA</t>
  </si>
  <si>
    <t>El 100% del diseño e implementación de la ruta integral de atenciones de infancia y adolescencia se realizará a lo largo del cuatrienio, pero en 2015 se tiene previsto un avance del 30% del mismo, que corresponde a la fase completa del diseño. El 70% restante corresponde a la fase de implementación y se llevará cabo entre 2016 y 2018.
Lo anterior explica por qué en 2015 los cuatro reportes trimestrales verificarán avances del  15%, 25% y 40% para desarrollar en su totalidad la fase de diseño descrita</t>
  </si>
  <si>
    <t xml:space="preserve">Diseño de la Ruta Integral de Atenciones de Infancia y Adolescencia (30%)
• Articulación  de acuerdos con los agentes del SNBF.
• Diseño de metodología para la construcción de la Ruta Integral de Atenciones de Infancia y Adolescencia.
• Elaboración de documentos de línea de base sobre el estado de realización de los derechos de la infancia y la adolescencia para la construcción de la ruta.
• Implementación de la metodología para la construcción participativa de la Ruta Integral de Atenciones de Infancia y Adolescencia.
• Realización de encuentros de socializacion y diálogo territorial en torno a la Ruta Integral de Atenciones de Infancia y Adolescencia.
</t>
  </si>
  <si>
    <t xml:space="preserve">El 100% del diseño e implementación de la política pública de infancia y adolescencia se realizará a lo largo del cuatrienio, pero en 2015 se tiene previsto un avance del 30% del mismo, que corresponde a la fase completa del diseño. El 70% restante corresponde a la fase de implementación y se llevará cabo entre 2016 y 2018.
Lo anterior explica por qué en 2015 los cuatro reportes trimestrales verificarán avances del  15%, 25% y 40% para desarrollar en su totalidad la fase de diseño descrita
</t>
  </si>
  <si>
    <t>Diseño de la Política Pública Integral de Infancia y Adolescencia (30%)
• Articulación  de acuerdos con los agentes del SNBF.
• Diseño de metodología para la construcción de la Política Pública Integral de Infancia y Adolescencia.
• Elaboración de documentos de línea de base sobre el estado de realización de los derechos de la infancia y la adolescencia para la construcción de la política.
• Implementación de la metodología para la construcción participativa de la Política Pública Integral de Infancia y Adolescencia.
• Realización de encuentros de socialización y diálogo territorial en torno a la Política Pública Integral de Infancia y Adolescencia.</t>
  </si>
  <si>
    <t xml:space="preserve">1. Acta de compromisos de la mesa intersectorial departamental (mínimo los siguientes sectores: ICBF, salud, educación, y representante de NNAJ)
2. Planes de desarrollo Departamental o plan Departamental de prevención de embarazo en la adolescencia.
3. Oferta institucional en el departamento respecto a la promoción de los derechos sexuales y reproductivos y la prevención del embarazo en la adolescencia. 
a. Mínimo el 50% de las instituciones educativas del Departamento cuentan con proyecto pedagógico en educación para la sexualidad (PESCC), según reporte de la Secretaría de Educación certificada, según informes de Inspección y Vigilancia.
b. El municipio cuenta con un Servicio de Salud Amigable para Adolescentes y Jóvenes (SSAAJ), por cada 15.000 adolescentes de 10 a 19 años, según proyecciones DANE del departamento
d. El Depatamento promueve, impulsa o apoya la creación de mínimo cinco,  grupos, organizaciones o redes de niños, niñas, adolescentes y/o jóvenes que promueven los derechos sexuales y reproductivos.
e. El departamento implementa estrategias para garantizar la permanencia escolar de adolescentes gestantes, madres y padres adolescentes en las instituciones educativas del municipio.
f. El departamento implementa la Jornada única en las instituciones educativas públicas.
4. Taller de capacitación a la mesa intersectorial departamental (mínimo 3 sectores - sin incluir al ICBF - y representante de NNAJ) en los lineamientos nacionales de prevención de embarazo en la adolescencia (mínimo 4 horas)
5. Mínimo dos actividades de visibilización durante el año de la estrategia de prevención de embarazo en la adolescencia, dirigida a la comunidad en general (toma a parques, marchas, foros, conciertos, etc.), desde un enfoque de derechos y con perspectiva de género. Una de estas actividades debe realizarse en el marco de la Semana Andina de Prevención de embarazo en la adolescencia. 
</t>
  </si>
  <si>
    <t xml:space="preserve">1) Acta de compromisos de la mesa intersectorial municipal de prevención de embarazo en la adolescencia (mínimo con los siguientes sectores: ICBF, salud, educación, y representante de NNAJ) - NOTA: Esta mesa puede derivarse de la Mesa de Infancia, Adolescencia y Familia o articularse con los comités de convivencia escolar (Ley 1620 de 2013).
2) Plan de Desarrollo Municipal que incluye políticas, programas y/o proyectos para la prevención del embarazo en la adolescencia o Plan Municipal de Prevención del Embarazo en la Adolescencia, bajo los lineamientos nacionales.
3) Oferta institucional en el municipio respecto a la promoción de los derechos sexuales y reproductivos y la prevención del embarazo en la adolescencia. Se valida este criterio si el municipio cumple con cinco (5) de los siguientes ocho (8) criterios:
a. Mínimo el 50% de las instituciones educativas del municipio cuentan con proyecto pedagógico en educación para la sexualidad (PESCC), según reporte de la Secretaría de Educación certificada, según informes de Inspección y Vigilancia.
b. El municipio cuenta con un Servicio de Salud Amigable para Adolescentes y Jóvenes (SSAAJ), en cualquiera de sus tres modalidades, por cada 15.000 adolescentes de 10 a 19 años, según proyecciones DANE en los municipios categoría 1 a 3 con cobertura urbana y rural, y al menos un SSAAJ en municipios categoría 4 a 6 con cobertura urbano y rural.
c. El municipio cuenta con el Programa “Generaciones con Bienestar”.
d. El municipio promueve, impulsa o apoya la creación de mínimo un grupo, organización o red de niños, niñas, adolescentes y/o jóvenes que promueven los derechos sexuales y reproductivos.
e. El municipio implementa estrategias para garantizar la permanencia escolar de adolescentes gestantes, madres y padres adolescentes en las instituciones educativas del municipio.
f. El municipio implementa la Jornada única en las instituciones educativas públicas.
g. MinCultura
h. ANSPE
4)  Mínimo dos actividades de visibilización durante el año de la estrategia de prevención de embarazo en la adolescencia, dirigida a la comunidad en general (toma a parques, marchas, foros, conciertos, etc.), desde un enfoque de derechos y con perspectiva de género. Una de estas actividades debe realizarse en el marco de la Semana Andina de Prevención de embarazo en la adolescencia. 
Niveles de implementación:
Bajo  
1 o 2 criterios 
Medio 
3 criterios
Alto
 4 criterios
</t>
  </si>
  <si>
    <t>Porcentaje de niños y niñas atendidos en Hogares Comunitarios transitados a las Modalidades de Atención Integral</t>
  </si>
  <si>
    <t>Número de niños y niñas atendidos en Hogares Comunitarios transitados a las Modalidades de Atención Integral.</t>
  </si>
  <si>
    <t>Número de niños y niñas atendidos en Hogares Comunitarios transitados a las Modalidades de Atención Integral. / Meta Programada en SIM (Modalidades HCB )</t>
  </si>
  <si>
    <t>En el cálculo del indicador, se tendrá en cuenta el incremento de la Atención Integral.</t>
  </si>
  <si>
    <t>Consolidado de Metas Sociales y Financieras - Informe de la Dirección de Primera Infancia</t>
  </si>
  <si>
    <t>1000 decisiones de fondo. (este será fijo)</t>
  </si>
  <si>
    <t>Sumatoria de las decisiones de fondo (Archivos + ID + Cargos + Fallos) / 1000 decisiones de fondo. (este será fijo)</t>
  </si>
  <si>
    <t>Procesos IP+ Procesos ID + Inhibitorios + Citación a Audiencia + remisión por competencia tramitados a la fecha de corte  / Número total de quejas recibidas para tramite en la vigencia 2015.</t>
  </si>
  <si>
    <t>Número de niños, niñas y adolescentes participantes del Programa Generaciones con Bienestar en todas sus modalidades + La atención de la población de Red Unidos  / sumatoria del total de niños niños, niñas y adolescentes participantes del Programa Generaciones con Bienestar en todas sus modalidades programados  + La atención de la población de Red Unidos</t>
  </si>
  <si>
    <t>Número de niños, niñas y adolescentes participantes del Programa Generaciones con Bienestar en todas sus modalidades +  La atención de la población de Red Unidos</t>
  </si>
  <si>
    <t>sumatoria del total de niños niños, niñas y adolescentes participantes del Programa Generaciones con Bienestar en todas sus modalidades programados  + La atención de la población de Red Unidos</t>
  </si>
  <si>
    <t>MPM4-10</t>
  </si>
  <si>
    <t>Número de  cupos de niños y niñas beneficiarios del Programa DIA atendidos con la entrega de Alimentos de Alto Valor Nutricional</t>
  </si>
  <si>
    <t xml:space="preserve">Medir el número de cupos de niños y niñas beneficiarios del Programa DIA atendidos a traves de la entrega de Alimentos de Alto Valor Nutricional  </t>
  </si>
  <si>
    <t>Estatico</t>
  </si>
  <si>
    <t>Numero de cupos  de niños y niñas beneficiarios del Programa DIA proyectados a atender con la entrega de Alimentos de Alto Valor Nutricional</t>
  </si>
  <si>
    <t>* Complemento Nutricional Tipo 1: para niñas y niños de 6 a 11 meses, constituido por un paquete de Bienestarina MAS natural y/o Saborizada de 900 gramos niño/mes, correspondiente al suministro de 30 gramos al día.
* Complemento Nutricional Tipo 2: para niñas y niños de 12 meses a 4 años 11 meses y/o madres gestantes o lactantes pertenecientes a la Modalidad FAMI, constituido por: 
* Una porción por 200 ml de leche entera natural o saborizada o bebida láctea con avena, Ultra Alta Temperatura (UAT/UHT) fortificadas con Hierro, Zinc, en forma aminoquelada y Ácido Fólico. 
* Una galleta u otro producto a base de cereal, de mínimo 30 gramos, enriquecido con Hierro en forma aminoquelada y Ácido Fólico.
* Un paquete de Bienestarina MAS natural y/o saborizada de 900 gramos niño/mes, correspondiente al suministro de 30 gramos al día que se proporcionará con el fin de mejorar la adecuación nutricional, garantizar una complementación alimentaria para los fines de semana y minimizar el impacto de dilución del complemento entre otros miembros de la familia.
* Beneficiarios Complemento Tipo 1: 6meses 
* Beneficiarios Complemento Tipo 2: 120 días</t>
  </si>
  <si>
    <t>Dirección de Nutrición.</t>
  </si>
  <si>
    <t>NEW</t>
  </si>
  <si>
    <t>Reporte consolidado del equipo de supervisión de la Dirección de Primera Infancia e informe del operador.</t>
  </si>
  <si>
    <t>Reporte de Unidades de Servicio focalizadas programadas de la modalidad HBC que arroja el aplicativo Sistema de Información Misional - SIM del ICBF</t>
  </si>
  <si>
    <t>Número de cupos de  niños y niñas beneficiarios del Programa DIA programados para la entrega de Alimentos de Alto Valor Nutricional/Numero de cupos de niños y niñas beneficiarios del Programa DIA proyectados a atender con la entrega de Alimentos de Alto Valor Nutricional</t>
  </si>
  <si>
    <t>Número de cupos de  niños y niñas beneficiarios del Programa DIA programados para la entrega de Alimentos de Alto Valor Nutricional</t>
  </si>
  <si>
    <r>
      <t>La Subdireccion de Programación  reportará a la Dirección de Nutricion los cambios que se presenten en  el consolidado metas sociales y financieras (programación vigente), fuente  para el calculo del denominador de este indicador.
Para el calculo y reporte del Indicador se debe tener en cuenta que la distribución se realizara en seis ciclos asi:
Junio 15 - Julio 15 (Reporte</t>
    </r>
    <r>
      <rPr>
        <b/>
        <sz val="10"/>
        <rFont val="Calibri Light"/>
        <family val="2"/>
        <scheme val="major"/>
      </rPr>
      <t xml:space="preserve"> Ciclo 1</t>
    </r>
    <r>
      <rPr>
        <sz val="10"/>
        <rFont val="Calibri Light"/>
        <family val="2"/>
        <scheme val="major"/>
      </rPr>
      <t xml:space="preserve">: Agosto)
Julio 16 - Agosto 15 (Reporte </t>
    </r>
    <r>
      <rPr>
        <b/>
        <sz val="10"/>
        <rFont val="Calibri Light"/>
        <family val="2"/>
        <scheme val="major"/>
      </rPr>
      <t>Ciclo 2</t>
    </r>
    <r>
      <rPr>
        <sz val="10"/>
        <rFont val="Calibri Light"/>
        <family val="2"/>
        <scheme val="major"/>
      </rPr>
      <t xml:space="preserve">: Septiembre)
Agosto 16 - Septiembre 15 (Reporte </t>
    </r>
    <r>
      <rPr>
        <b/>
        <sz val="10"/>
        <rFont val="Calibri Light"/>
        <family val="2"/>
        <scheme val="major"/>
      </rPr>
      <t>Ciclo 3</t>
    </r>
    <r>
      <rPr>
        <sz val="10"/>
        <rFont val="Calibri Light"/>
        <family val="2"/>
        <scheme val="major"/>
      </rPr>
      <t xml:space="preserve">: Octubre)
Septiembre 16 - Octubre 15 (Reporte </t>
    </r>
    <r>
      <rPr>
        <b/>
        <sz val="10"/>
        <rFont val="Calibri Light"/>
        <family val="2"/>
        <scheme val="major"/>
      </rPr>
      <t>Ciclo 4</t>
    </r>
    <r>
      <rPr>
        <sz val="10"/>
        <rFont val="Calibri Light"/>
        <family val="2"/>
        <scheme val="major"/>
      </rPr>
      <t xml:space="preserve">: Noviembre)
Octubre 16 - Noviembre 15 (Reporte </t>
    </r>
    <r>
      <rPr>
        <b/>
        <sz val="10"/>
        <rFont val="Calibri Light"/>
        <family val="2"/>
        <scheme val="major"/>
      </rPr>
      <t>Ciclo 5</t>
    </r>
    <r>
      <rPr>
        <sz val="10"/>
        <rFont val="Calibri Light"/>
        <family val="2"/>
        <scheme val="major"/>
      </rPr>
      <t xml:space="preserve">: Diciembre)
Noviembre 16 - Diciembre 15 (Reporte </t>
    </r>
    <r>
      <rPr>
        <b/>
        <sz val="10"/>
        <rFont val="Calibri Light"/>
        <family val="2"/>
        <scheme val="major"/>
      </rPr>
      <t>Ciclo 6</t>
    </r>
    <r>
      <rPr>
        <sz val="10"/>
        <rFont val="Calibri Light"/>
        <family val="2"/>
        <scheme val="major"/>
      </rPr>
      <t xml:space="preserve">: Enero 2016)
Para el cálculo del numerador se toma la cantidad de Alimentos de Alto Valor Nutricional registrada en el Formato FT1-Programación de Bienestarina.  </t>
    </r>
  </si>
  <si>
    <t>Formato FT1 - Programación de Alimentos de Alto Valor Nutricional (AAVN)</t>
  </si>
  <si>
    <t xml:space="preserve">Consolidado metas sociales y financieras (programación vigente) Meta 328.000 cupos de Beneficiarios para cada uno de los 6 ciclos de entrega. </t>
  </si>
  <si>
    <t>MPM5-P1-11</t>
  </si>
  <si>
    <t>Porcentaje de petición de Asuntos Conciliables atendidas en los términos de Ley</t>
  </si>
  <si>
    <t>Porcentaje de peticiones de Asuntos Conciliables atendidas en los términos de Ley</t>
  </si>
  <si>
    <t xml:space="preserve">Meta proyectada de atención a niños, niñas y adolescentes  víctimas de desplazamiento forzado por las unidades móviles vigencia 2015 - 84,000 correspondiente al 100%. 
Para la medición de este indicador a partir  del mes de septiembre de la vigencia 2015, en el cálculo del numerador, se tendrá en cuenta la población atendida por las Unidades Móviles dentro y fuera del departamento al cual pertenecen, teniendo en cuenta la atención y asistencia a los niños, niñas, adolescentes y sus familias víctimas de desplazamiento  por conflicto armado o por situación de emergencia </t>
  </si>
  <si>
    <r>
      <rPr>
        <b/>
        <sz val="10"/>
        <rFont val="Calibri Light"/>
        <family val="2"/>
        <scheme val="major"/>
      </rPr>
      <t>DESPLAZADO:</t>
    </r>
    <r>
      <rPr>
        <sz val="10"/>
        <rFont val="Calibri Light"/>
        <family val="2"/>
        <scheme val="major"/>
      </rPr>
      <t xml:space="preserve"> Artículo 1º.- Del desplazado. Es desplazado toda persona que se ha visto forzada a migrar dentro del territorio nacional abandonando su localidad de residencia o actividades económicas habituales, porque su vida, su integridad física, su seguridad o libertad personales han sido vulneradas o se encuentran directamente amenazadas con ocasión de cualquiera de las siguientes situaciones:Conflicto armado interno; disturbios y tensiones interiores, violencia generalizada, violaciones masivas de los Derechos Humanos, infracciones al Derecho Internacional humanitario u otras circunstancias emanadas de las situaciones anteriores que puedan alterar drásticamente el orden público. Fuente:  LEY 387 DE 1997 (Julio 18)
</t>
    </r>
    <r>
      <rPr>
        <b/>
        <sz val="10"/>
        <rFont val="Calibri Light"/>
        <family val="2"/>
        <scheme val="major"/>
      </rPr>
      <t>VÍCTIMAS:</t>
    </r>
    <r>
      <rPr>
        <sz val="10"/>
        <rFont val="Calibri Light"/>
        <family val="2"/>
        <scheme val="major"/>
      </rPr>
      <t xml:space="preserve"> Artículo 3 - Ley de víctimas y Restitución de Tierras: Se consideran víctimas para los efectos de esta Ley, aquellas personas que individual o colectivamente hayan sufrido un daño por hechos ocurridos a partir del 1° de enero de 1985, como consecuencia de infracciones al Derecho Internacional Humanitario o de violaciones graves y manifiestas a las normas internacionales de Derechos Humanos, ocurridas con ocasión del conflicto armado interno.
</t>
    </r>
    <r>
      <rPr>
        <b/>
        <sz val="10"/>
        <rFont val="Calibri Light"/>
        <family val="2"/>
        <scheme val="major"/>
      </rPr>
      <t>RUUM:</t>
    </r>
    <r>
      <rPr>
        <sz val="10"/>
        <rFont val="Calibri Light"/>
        <family val="2"/>
        <scheme val="major"/>
      </rPr>
      <t xml:space="preserve"> Registro Único de Unidades Móviles.
</t>
    </r>
    <r>
      <rPr>
        <b/>
        <sz val="10"/>
        <rFont val="Calibri Light"/>
        <family val="2"/>
        <scheme val="major"/>
      </rPr>
      <t xml:space="preserve">Emergencia: ( LEY 1523 DE 2012:) </t>
    </r>
    <r>
      <rPr>
        <sz val="10"/>
        <rFont val="Calibri Light"/>
        <family val="2"/>
        <scheme val="major"/>
      </rPr>
      <t>Situación caracterizada por la alteración o interrupción intensa y grave de las condiciones normales de funcionamiento u operación de una comunidad, causada por un evento adverso o por la inminencia del mismo, que obliga a una reacción inmediata y que requiere la respuesta de las instituciones del Estado, los medios de comunicación y de la comunidad en general.</t>
    </r>
  </si>
  <si>
    <t xml:space="preserve">Número de asuntos extraprocesales atendidos dentro de los tres (3) meses siguientes de la solicitud, términos descritos en la Ley 640 de 2001 /  Total de Asuntos extraprocesales con más de tres (3) meses de creación. </t>
  </si>
  <si>
    <t>Número de asuntos extraprocesales atendidos dentro de los tres (3) meses siguientes de la solicitud, términos descritos en la Ley 640 de 2001.</t>
  </si>
  <si>
    <t xml:space="preserve">Total de Asuntos extraprocesales con más de tres (3) meses de creación. </t>
  </si>
  <si>
    <t>79.9%</t>
  </si>
  <si>
    <t>Este indicador se encontraba incluido en el Tablero de Control 2015, en el proceso de Servicios y Atención con el nombre: "Porcentaje de oportunidad en la atención de peticiones  de Asuntos Conciliables". Sin embargo, se identificó en el proceso de seguimiento que en la validación de las gestiones realizadas en pro de cumplir la meta del indicador, se requerían acciones propias de los Defensores de Familia dentro de las solicitudes de Tramite de Atención Extraprocesal - Asuntos Conciliables. Por lo anterior y teniendo en cuenta que la articulación con éstas autoridades administrativas es propia de la Dirección de Protección, se traslada el indicador al Proceso Gestión de Protección.
De esta manera y teniendo en cuenta que se requerían acciones de diseño de la hoja de vida y del reporte automatico que generaría los resultados, se cambia la periodicidad de medición para esta vigencia.
Respecto a la nueva formulación se tendrán en cuenta los siguientes aspectos:
*La información se obtiene de los datos registrados en el SIM  en la vigencia actual (2015)
Para la generación del denominador se tendrá en cuenta  las peticiones de tipo trámite de atención extraprocesal con más de tres (3) meses de creación.
*Las actuaciones que se validarán para determinar que efectivamente las peticiones fueron atendidas por el Defensor de Familia son:
**PRD_220 Constancia de no asistencia
**PRD_240_Audiencia_de_Conciliacion_con_Acuerdo_Total 
**PRD_235_Audiencia_de_Conciliacion_con_Acuerdo_Parcial 
**PRD_230_Audiencia_de_Conciliación_Fracasada_o_Fallida 
**PRD_340 Presentación de Demanda
**PRD_925 Desistimiento</t>
  </si>
  <si>
    <t xml:space="preserve">SIM/ Atención al Ciudadano - Beneficiarios </t>
  </si>
  <si>
    <r>
      <rPr>
        <b/>
        <sz val="10"/>
        <rFont val="Calibri Light"/>
        <family val="2"/>
        <scheme val="major"/>
      </rPr>
      <t>LEY 640 DE 2001 - ARTICULO 19. CONCILIACION.</t>
    </r>
    <r>
      <rPr>
        <sz val="10"/>
        <rFont val="Calibri Light"/>
        <family val="2"/>
        <scheme val="major"/>
      </rPr>
      <t xml:space="preserve"> Se podrán conciliar todas las materias que sean susceptibles de transacción, desistimiento y conciliación, ante los conciliadores de centros de conciliación, ante los servidores públicos facultados para conciliar a los que se refiere la presente ley y ante los notarios.
</t>
    </r>
    <r>
      <rPr>
        <b/>
        <sz val="10"/>
        <rFont val="Calibri Light"/>
        <family val="2"/>
        <scheme val="major"/>
      </rPr>
      <t xml:space="preserve">LEY 640 DE 2001 - ARTICULO 20. AUDIENCIA DE CONCILIACIÓN EXTRAJUDICIAL EN DERECHO. </t>
    </r>
    <r>
      <rPr>
        <sz val="10"/>
        <rFont val="Calibri Light"/>
        <family val="2"/>
        <scheme val="major"/>
      </rPr>
      <t xml:space="preserve">Si de conformidad con la ley el asunto es conciliable, la audiencia de conciliación extrajudicial en derecho deberá intentarse en el menor tiempo posible y, en todo caso, tendrá que surtirse dentro de los tres (3) meses siguientes a la presentación de la solicitud. Las partes por mutuo acuerdo podrán prolongar este término.
</t>
    </r>
    <r>
      <rPr>
        <b/>
        <sz val="10"/>
        <rFont val="Calibri Light"/>
        <family val="2"/>
        <scheme val="major"/>
      </rPr>
      <t>SIM:</t>
    </r>
    <r>
      <rPr>
        <sz val="10"/>
        <rFont val="Calibri Light"/>
        <family val="2"/>
        <scheme val="major"/>
      </rPr>
      <t xml:space="preserve"> El Sistema de Información Misional SIM, es una herramienta que sirve de apoyo a las acciones realizadas para la prestación de los servicios del ICBF, cuyo objetivo es facilitar el registro, la consolidación y el reporte de información local, regional y nacional de manera oportuna y confiable a partir de las necesidades que se originan en los procesos misionales del Instituto Colombiano de Bienestar Familiar 
</t>
    </r>
    <r>
      <rPr>
        <b/>
        <sz val="10"/>
        <rFont val="Calibri Light"/>
        <family val="2"/>
        <scheme val="major"/>
      </rPr>
      <t/>
    </r>
  </si>
  <si>
    <t xml:space="preserve">Subdirector(a) Restablecimiento de Derechos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</si>
</sst>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_ ;\-#,##0\ "/>
    <numFmt numFmtId="165" formatCode="0.0%"/>
    <numFmt numFmtId="166" formatCode="#,##0.0"/>
    <numFmt numFmtId="167" formatCode="_-* #,##0_-;\-* #,##0_-;_-* &quot;-&quot;??_-;_-@_-"/>
  </numFmts>
  <fonts count="45" x14ac:knownFonts="1">
    <font>
      <sz val="11"/>
      <color theme="1"/>
      <name val="Calibri"/>
      <family val="2"/>
      <charset val="1"/>
      <scheme val="minor"/>
    </font>
    <font>
      <sz val="11"/>
      <color theme="1"/>
      <name val="Calibri"/>
      <family val="2"/>
      <scheme val="minor"/>
    </font>
    <font>
      <sz val="11"/>
      <color theme="1"/>
      <name val="Calibri"/>
      <family val="2"/>
      <charset val="1"/>
      <scheme val="minor"/>
    </font>
    <font>
      <sz val="10"/>
      <name val="Calibri Light"/>
      <family val="2"/>
      <scheme val="major"/>
    </font>
    <font>
      <b/>
      <sz val="14"/>
      <name val="Calibri Light"/>
      <family val="2"/>
      <scheme val="major"/>
    </font>
    <font>
      <sz val="10"/>
      <color theme="0"/>
      <name val="Calibri Light"/>
      <family val="2"/>
      <scheme val="major"/>
    </font>
    <font>
      <b/>
      <sz val="9"/>
      <color theme="0"/>
      <name val="Calibri Light"/>
      <family val="2"/>
      <scheme val="major"/>
    </font>
    <font>
      <b/>
      <sz val="10"/>
      <name val="Calibri Light"/>
      <family val="2"/>
      <scheme val="major"/>
    </font>
    <font>
      <b/>
      <sz val="9"/>
      <name val="Calibri Light"/>
      <family val="2"/>
      <scheme val="major"/>
    </font>
    <font>
      <sz val="8"/>
      <name val="Calibri Light"/>
      <family val="2"/>
      <scheme val="major"/>
    </font>
    <font>
      <sz val="9"/>
      <name val="Calibri Light"/>
      <family val="2"/>
      <scheme val="major"/>
    </font>
    <font>
      <sz val="10"/>
      <color rgb="FFFF0000"/>
      <name val="Calibri Light"/>
      <family val="2"/>
      <scheme val="major"/>
    </font>
    <font>
      <sz val="10"/>
      <color theme="1"/>
      <name val="Calibri Light"/>
      <family val="2"/>
      <scheme val="major"/>
    </font>
    <font>
      <sz val="10"/>
      <color theme="0"/>
      <name val="Calibri"/>
      <family val="2"/>
      <charset val="1"/>
      <scheme val="minor"/>
    </font>
    <font>
      <sz val="9"/>
      <color theme="1"/>
      <name val="Calibri"/>
      <family val="2"/>
      <charset val="1"/>
      <scheme val="minor"/>
    </font>
    <font>
      <sz val="9"/>
      <name val="Calibri"/>
      <family val="2"/>
      <charset val="1"/>
      <scheme val="minor"/>
    </font>
    <font>
      <b/>
      <sz val="11"/>
      <color theme="0"/>
      <name val="Calibri"/>
      <family val="2"/>
      <scheme val="minor"/>
    </font>
    <font>
      <b/>
      <sz val="11"/>
      <color theme="1"/>
      <name val="Calibri"/>
      <family val="2"/>
      <scheme val="minor"/>
    </font>
    <font>
      <b/>
      <sz val="11"/>
      <name val="Calibri"/>
      <family val="2"/>
      <scheme val="minor"/>
    </font>
    <font>
      <sz val="10"/>
      <color theme="1"/>
      <name val="Calibri"/>
      <family val="2"/>
      <charset val="1"/>
      <scheme val="minor"/>
    </font>
    <font>
      <b/>
      <sz val="8"/>
      <name val="Calibri Light"/>
      <family val="2"/>
      <scheme val="major"/>
    </font>
    <font>
      <sz val="9"/>
      <color theme="0"/>
      <name val="Calibri"/>
      <family val="2"/>
      <charset val="1"/>
      <scheme val="minor"/>
    </font>
    <font>
      <u/>
      <sz val="11"/>
      <color theme="10"/>
      <name val="Calibri"/>
      <family val="2"/>
      <charset val="1"/>
      <scheme val="minor"/>
    </font>
    <font>
      <b/>
      <sz val="11"/>
      <name val="Calibri"/>
      <family val="2"/>
      <charset val="1"/>
      <scheme val="minor"/>
    </font>
    <font>
      <u/>
      <sz val="9"/>
      <color theme="10"/>
      <name val="Calibri"/>
      <family val="2"/>
      <charset val="1"/>
      <scheme val="minor"/>
    </font>
    <font>
      <sz val="9"/>
      <color theme="1"/>
      <name val="Calibri"/>
      <family val="2"/>
      <scheme val="minor"/>
    </font>
    <font>
      <sz val="9"/>
      <color rgb="FFFF0000"/>
      <name val="Calibri Light"/>
      <family val="2"/>
      <scheme val="major"/>
    </font>
    <font>
      <sz val="10"/>
      <name val="Calibri"/>
      <family val="2"/>
      <charset val="1"/>
      <scheme val="minor"/>
    </font>
    <font>
      <sz val="8"/>
      <color theme="1"/>
      <name val="Calibri"/>
      <family val="2"/>
      <scheme val="minor"/>
    </font>
    <font>
      <sz val="8"/>
      <name val="Calibri"/>
      <family val="2"/>
      <scheme val="minor"/>
    </font>
    <font>
      <sz val="8"/>
      <color theme="0"/>
      <name val="Calibri"/>
      <family val="2"/>
      <scheme val="minor"/>
    </font>
    <font>
      <sz val="10"/>
      <name val="Calibri"/>
      <family val="2"/>
      <scheme val="minor"/>
    </font>
    <font>
      <sz val="10"/>
      <color theme="0"/>
      <name val="Calibri"/>
      <family val="2"/>
      <scheme val="minor"/>
    </font>
    <font>
      <b/>
      <sz val="14"/>
      <name val="Calibri"/>
      <family val="2"/>
      <scheme val="minor"/>
    </font>
    <font>
      <b/>
      <sz val="9"/>
      <color theme="0"/>
      <name val="Calibri"/>
      <family val="2"/>
      <scheme val="minor"/>
    </font>
    <font>
      <b/>
      <sz val="10"/>
      <color theme="0"/>
      <name val="Calibri"/>
      <family val="2"/>
      <scheme val="minor"/>
    </font>
    <font>
      <b/>
      <sz val="10"/>
      <name val="Calibri"/>
      <family val="2"/>
      <scheme val="minor"/>
    </font>
    <font>
      <b/>
      <sz val="9"/>
      <name val="Calibri"/>
      <family val="2"/>
      <scheme val="minor"/>
    </font>
    <font>
      <sz val="9"/>
      <color theme="0"/>
      <name val="Calibri"/>
      <family val="2"/>
      <scheme val="minor"/>
    </font>
    <font>
      <sz val="9"/>
      <color theme="5" tint="-0.499984740745262"/>
      <name val="Calibri"/>
      <family val="2"/>
      <charset val="1"/>
      <scheme val="minor"/>
    </font>
    <font>
      <sz val="8"/>
      <color theme="4" tint="-0.249977111117893"/>
      <name val="Calibri"/>
      <family val="2"/>
      <charset val="1"/>
      <scheme val="minor"/>
    </font>
    <font>
      <b/>
      <sz val="9"/>
      <color theme="1"/>
      <name val="Calibri"/>
      <family val="2"/>
      <charset val="1"/>
      <scheme val="minor"/>
    </font>
    <font>
      <b/>
      <sz val="9"/>
      <color theme="0"/>
      <name val="Calibri"/>
      <family val="2"/>
      <charset val="1"/>
      <scheme val="minor"/>
    </font>
    <font>
      <sz val="8"/>
      <color theme="0" tint="-0.499984740745262"/>
      <name val="Calibri"/>
      <family val="2"/>
      <scheme val="minor"/>
    </font>
    <font>
      <b/>
      <sz val="9"/>
      <color rgb="FFFF0000"/>
      <name val="Calibri"/>
      <family val="2"/>
      <scheme val="minor"/>
    </font>
  </fonts>
  <fills count="17">
    <fill>
      <patternFill patternType="none"/>
    </fill>
    <fill>
      <patternFill patternType="gray125"/>
    </fill>
    <fill>
      <patternFill patternType="solid">
        <fgColor theme="0"/>
        <bgColor indexed="64"/>
      </patternFill>
    </fill>
    <fill>
      <patternFill patternType="solid">
        <fgColor theme="1" tint="4.9989318521683403E-2"/>
        <bgColor indexed="64"/>
      </patternFill>
    </fill>
    <fill>
      <patternFill patternType="solid">
        <fgColor theme="1" tint="0.34998626667073579"/>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249977111117893"/>
        <bgColor indexed="64"/>
      </patternFill>
    </fill>
    <fill>
      <patternFill patternType="solid">
        <fgColor rgb="FFD1E6C4"/>
        <bgColor indexed="64"/>
      </patternFill>
    </fill>
    <fill>
      <patternFill patternType="solid">
        <fgColor rgb="FFF1F7ED"/>
        <bgColor indexed="64"/>
      </patternFill>
    </fill>
    <fill>
      <patternFill patternType="solid">
        <fgColor theme="9" tint="0.59999389629810485"/>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rgb="FFFFFF00"/>
        <bgColor indexed="64"/>
      </patternFill>
    </fill>
  </fills>
  <borders count="25">
    <border>
      <left/>
      <right/>
      <top/>
      <bottom/>
      <diagonal/>
    </border>
    <border>
      <left style="hair">
        <color theme="8" tint="-0.24994659260841701"/>
      </left>
      <right style="hair">
        <color theme="8" tint="-0.24994659260841701"/>
      </right>
      <top style="hair">
        <color theme="8" tint="-0.24994659260841701"/>
      </top>
      <bottom style="hair">
        <color theme="8" tint="-0.24994659260841701"/>
      </bottom>
      <diagonal/>
    </border>
    <border>
      <left style="hair">
        <color theme="8" tint="-0.24994659260841701"/>
      </left>
      <right/>
      <top style="hair">
        <color theme="8" tint="-0.24994659260841701"/>
      </top>
      <bottom style="hair">
        <color theme="8" tint="-0.24994659260841701"/>
      </bottom>
      <diagonal/>
    </border>
    <border>
      <left/>
      <right style="hair">
        <color theme="8" tint="-0.24994659260841701"/>
      </right>
      <top style="hair">
        <color theme="8" tint="-0.24994659260841701"/>
      </top>
      <bottom style="hair">
        <color theme="8" tint="-0.24994659260841701"/>
      </bottom>
      <diagonal/>
    </border>
    <border>
      <left/>
      <right/>
      <top style="hair">
        <color theme="8" tint="-0.24994659260841701"/>
      </top>
      <bottom style="hair">
        <color theme="8" tint="-0.24994659260841701"/>
      </bottom>
      <diagonal/>
    </border>
    <border>
      <left style="hair">
        <color theme="8" tint="-0.24994659260841701"/>
      </left>
      <right/>
      <top style="hair">
        <color theme="8" tint="-0.24994659260841701"/>
      </top>
      <bottom/>
      <diagonal/>
    </border>
    <border>
      <left/>
      <right style="hair">
        <color theme="8" tint="-0.24994659260841701"/>
      </right>
      <top style="hair">
        <color theme="8" tint="-0.24994659260841701"/>
      </top>
      <bottom/>
      <diagonal/>
    </border>
    <border>
      <left style="hair">
        <color theme="8" tint="-0.24994659260841701"/>
      </left>
      <right/>
      <top/>
      <bottom style="hair">
        <color theme="8" tint="-0.24994659260841701"/>
      </bottom>
      <diagonal/>
    </border>
    <border>
      <left/>
      <right style="hair">
        <color theme="8" tint="-0.24994659260841701"/>
      </right>
      <top/>
      <bottom style="hair">
        <color theme="8" tint="-0.24994659260841701"/>
      </bottom>
      <diagonal/>
    </border>
    <border>
      <left style="hair">
        <color theme="8" tint="-0.24994659260841701"/>
      </left>
      <right/>
      <top/>
      <bottom/>
      <diagonal/>
    </border>
    <border>
      <left/>
      <right style="hair">
        <color theme="8" tint="-0.24994659260841701"/>
      </right>
      <top/>
      <bottom/>
      <diagonal/>
    </border>
    <border>
      <left/>
      <right/>
      <top/>
      <bottom style="hair">
        <color theme="8" tint="-0.24994659260841701"/>
      </bottom>
      <diagonal/>
    </border>
    <border>
      <left style="hair">
        <color theme="9" tint="-0.24994659260841701"/>
      </left>
      <right style="hair">
        <color theme="9" tint="-0.24994659260841701"/>
      </right>
      <top style="hair">
        <color theme="9" tint="-0.24994659260841701"/>
      </top>
      <bottom style="hair">
        <color theme="9" tint="-0.24994659260841701"/>
      </bottom>
      <diagonal/>
    </border>
    <border>
      <left/>
      <right style="hair">
        <color theme="9" tint="-0.24994659260841701"/>
      </right>
      <top style="hair">
        <color theme="9" tint="-0.24994659260841701"/>
      </top>
      <bottom style="hair">
        <color theme="9" tint="-0.24994659260841701"/>
      </bottom>
      <diagonal/>
    </border>
    <border>
      <left style="hair">
        <color theme="9" tint="-0.24994659260841701"/>
      </left>
      <right/>
      <top style="hair">
        <color theme="9" tint="-0.24994659260841701"/>
      </top>
      <bottom/>
      <diagonal/>
    </border>
    <border>
      <left/>
      <right style="hair">
        <color theme="9" tint="-0.24994659260841701"/>
      </right>
      <top style="hair">
        <color theme="9" tint="-0.24994659260841701"/>
      </top>
      <bottom/>
      <diagonal/>
    </border>
    <border>
      <left style="hair">
        <color theme="9" tint="-0.24994659260841701"/>
      </left>
      <right/>
      <top/>
      <bottom style="hair">
        <color theme="9" tint="-0.24994659260841701"/>
      </bottom>
      <diagonal/>
    </border>
    <border>
      <left/>
      <right style="hair">
        <color theme="9" tint="-0.24994659260841701"/>
      </right>
      <top/>
      <bottom style="hair">
        <color theme="9" tint="-0.24994659260841701"/>
      </bottom>
      <diagonal/>
    </border>
    <border>
      <left style="hair">
        <color theme="9" tint="-0.24994659260841701"/>
      </left>
      <right/>
      <top style="hair">
        <color theme="9" tint="-0.24994659260841701"/>
      </top>
      <bottom style="hair">
        <color theme="9" tint="-0.24994659260841701"/>
      </bottom>
      <diagonal/>
    </border>
    <border>
      <left style="hair">
        <color theme="9" tint="-0.24994659260841701"/>
      </left>
      <right style="hair">
        <color theme="9" tint="-0.24994659260841701"/>
      </right>
      <top style="hair">
        <color theme="9" tint="-0.24994659260841701"/>
      </top>
      <bottom/>
      <diagonal/>
    </border>
    <border>
      <left style="hair">
        <color theme="9" tint="-0.24994659260841701"/>
      </left>
      <right style="hair">
        <color theme="9" tint="-0.24994659260841701"/>
      </right>
      <top/>
      <bottom style="hair">
        <color theme="9" tint="-0.24994659260841701"/>
      </bottom>
      <diagonal/>
    </border>
    <border>
      <left/>
      <right/>
      <top style="hair">
        <color theme="9" tint="-0.24994659260841701"/>
      </top>
      <bottom/>
      <diagonal/>
    </border>
    <border>
      <left/>
      <right/>
      <top/>
      <bottom style="hair">
        <color theme="9" tint="-0.24994659260841701"/>
      </bottom>
      <diagonal/>
    </border>
    <border>
      <left style="hair">
        <color theme="9" tint="-0.24994659260841701"/>
      </left>
      <right/>
      <top/>
      <bottom/>
      <diagonal/>
    </border>
    <border>
      <left/>
      <right style="hair">
        <color theme="9" tint="-0.24994659260841701"/>
      </right>
      <top/>
      <bottom/>
      <diagonal/>
    </border>
  </borders>
  <cellStyleXfs count="7">
    <xf numFmtId="0" fontId="0" fillId="0" borderId="0"/>
    <xf numFmtId="43" fontId="2" fillId="0" borderId="0" applyFont="0" applyFill="0" applyBorder="0" applyAlignment="0" applyProtection="0"/>
    <xf numFmtId="9" fontId="2" fillId="0" borderId="0" applyFont="0" applyFill="0" applyBorder="0" applyAlignment="0" applyProtection="0"/>
    <xf numFmtId="0" fontId="22" fillId="0" borderId="0" applyNumberForma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cellStyleXfs>
  <cellXfs count="499">
    <xf numFmtId="0" fontId="0" fillId="0" borderId="0" xfId="0"/>
    <xf numFmtId="0" fontId="3" fillId="2" borderId="0" xfId="0" applyFont="1" applyFill="1" applyBorder="1" applyAlignment="1">
      <alignment horizontal="left" vertical="center"/>
    </xf>
    <xf numFmtId="0" fontId="3" fillId="3" borderId="0" xfId="0" applyFont="1" applyFill="1" applyBorder="1" applyAlignment="1">
      <alignment horizontal="left" vertical="center"/>
    </xf>
    <xf numFmtId="0" fontId="5" fillId="2" borderId="0" xfId="0" applyFont="1" applyFill="1" applyBorder="1" applyAlignment="1">
      <alignment horizontal="left" vertical="center"/>
    </xf>
    <xf numFmtId="0" fontId="3" fillId="2" borderId="1" xfId="0" applyFont="1" applyFill="1" applyBorder="1" applyAlignment="1">
      <alignment horizontal="center" vertical="center"/>
    </xf>
    <xf numFmtId="0" fontId="6" fillId="4" borderId="1" xfId="0" applyFont="1" applyFill="1" applyBorder="1" applyAlignment="1">
      <alignment horizontal="left" vertical="center" indent="1"/>
    </xf>
    <xf numFmtId="0" fontId="3" fillId="2" borderId="0" xfId="0" applyFont="1" applyFill="1" applyBorder="1" applyAlignment="1">
      <alignment horizontal="center" vertical="center"/>
    </xf>
    <xf numFmtId="0" fontId="7" fillId="2" borderId="0" xfId="0" applyFont="1" applyFill="1" applyBorder="1" applyAlignment="1">
      <alignment horizontal="left" vertical="center"/>
    </xf>
    <xf numFmtId="3" fontId="3" fillId="2" borderId="1" xfId="2" applyNumberFormat="1" applyFont="1" applyFill="1" applyBorder="1" applyAlignment="1">
      <alignment horizontal="center" vertical="center"/>
    </xf>
    <xf numFmtId="164" fontId="3" fillId="2" borderId="1" xfId="1" applyNumberFormat="1" applyFont="1" applyFill="1" applyBorder="1" applyAlignment="1">
      <alignment horizontal="center" vertical="center"/>
    </xf>
    <xf numFmtId="0" fontId="7" fillId="5" borderId="2" xfId="0" applyFont="1" applyFill="1" applyBorder="1" applyAlignment="1">
      <alignment horizontal="center" vertical="center"/>
    </xf>
    <xf numFmtId="0" fontId="3" fillId="2" borderId="1" xfId="0" applyFont="1" applyFill="1" applyBorder="1" applyAlignment="1">
      <alignment horizontal="left" vertical="center" indent="1"/>
    </xf>
    <xf numFmtId="0" fontId="7" fillId="6" borderId="2" xfId="0" applyFont="1" applyFill="1" applyBorder="1" applyAlignment="1">
      <alignment horizontal="center" vertical="center"/>
    </xf>
    <xf numFmtId="0" fontId="9" fillId="2" borderId="1" xfId="0" applyFont="1" applyFill="1" applyBorder="1" applyAlignment="1">
      <alignment horizontal="center" vertical="center"/>
    </xf>
    <xf numFmtId="0" fontId="3" fillId="2" borderId="0" xfId="0" applyFont="1" applyFill="1" applyBorder="1" applyAlignment="1">
      <alignment horizontal="right" vertical="center"/>
    </xf>
    <xf numFmtId="0" fontId="8" fillId="5" borderId="1" xfId="0" applyFont="1" applyFill="1" applyBorder="1" applyAlignment="1">
      <alignment horizontal="center" vertical="center"/>
    </xf>
    <xf numFmtId="165" fontId="3" fillId="2" borderId="1" xfId="2" applyNumberFormat="1" applyFont="1" applyFill="1" applyBorder="1" applyAlignment="1">
      <alignment horizontal="center" vertical="center"/>
    </xf>
    <xf numFmtId="9" fontId="3" fillId="2" borderId="1" xfId="2" applyFont="1" applyFill="1" applyBorder="1" applyAlignment="1">
      <alignment horizontal="center" vertical="center"/>
    </xf>
    <xf numFmtId="0" fontId="11" fillId="2" borderId="1" xfId="0" applyFont="1" applyFill="1" applyBorder="1" applyAlignment="1">
      <alignment horizontal="center" vertical="center"/>
    </xf>
    <xf numFmtId="0" fontId="8" fillId="5" borderId="1" xfId="0" applyFont="1" applyFill="1" applyBorder="1" applyAlignment="1">
      <alignment horizontal="left" vertical="center" wrapText="1"/>
    </xf>
    <xf numFmtId="0" fontId="3" fillId="2" borderId="0" xfId="0" applyFont="1" applyFill="1" applyBorder="1" applyAlignment="1">
      <alignment vertical="center"/>
    </xf>
    <xf numFmtId="0" fontId="3" fillId="2" borderId="11" xfId="0" applyFont="1" applyFill="1" applyBorder="1" applyAlignment="1">
      <alignment horizontal="left" vertical="center"/>
    </xf>
    <xf numFmtId="165" fontId="11" fillId="2" borderId="1" xfId="2" applyNumberFormat="1" applyFont="1" applyFill="1" applyBorder="1" applyAlignment="1">
      <alignment horizontal="center" vertical="center"/>
    </xf>
    <xf numFmtId="9" fontId="3" fillId="2" borderId="1" xfId="2" applyNumberFormat="1" applyFont="1" applyFill="1" applyBorder="1" applyAlignment="1">
      <alignment horizontal="center" vertical="center"/>
    </xf>
    <xf numFmtId="10" fontId="3" fillId="2" borderId="1" xfId="2" applyNumberFormat="1" applyFont="1" applyFill="1" applyBorder="1" applyAlignment="1">
      <alignment horizontal="center" vertical="center"/>
    </xf>
    <xf numFmtId="0" fontId="13" fillId="7" borderId="0" xfId="0" applyFont="1" applyFill="1" applyAlignment="1">
      <alignment horizontal="left" vertical="center"/>
    </xf>
    <xf numFmtId="0" fontId="14" fillId="9" borderId="12" xfId="0" applyFont="1" applyFill="1" applyBorder="1" applyAlignment="1">
      <alignment horizontal="right" vertical="center"/>
    </xf>
    <xf numFmtId="0" fontId="15" fillId="0" borderId="12" xfId="0" applyFont="1" applyBorder="1" applyAlignment="1">
      <alignment vertical="center" wrapText="1"/>
    </xf>
    <xf numFmtId="165" fontId="3" fillId="0" borderId="1" xfId="2" applyNumberFormat="1" applyFont="1" applyFill="1" applyBorder="1" applyAlignment="1">
      <alignment horizontal="center" vertical="center"/>
    </xf>
    <xf numFmtId="1" fontId="3" fillId="2" borderId="1" xfId="2" applyNumberFormat="1" applyFont="1" applyFill="1" applyBorder="1" applyAlignment="1">
      <alignment horizontal="center" vertical="center"/>
    </xf>
    <xf numFmtId="9" fontId="3" fillId="2" borderId="0" xfId="2" applyFont="1" applyFill="1" applyBorder="1" applyAlignment="1">
      <alignment horizontal="left" vertical="center"/>
    </xf>
    <xf numFmtId="167" fontId="3" fillId="2" borderId="1" xfId="1" applyNumberFormat="1" applyFont="1" applyFill="1" applyBorder="1" applyAlignment="1">
      <alignment horizontal="center" vertical="center"/>
    </xf>
    <xf numFmtId="167" fontId="11" fillId="2" borderId="1" xfId="1" applyNumberFormat="1" applyFont="1" applyFill="1" applyBorder="1" applyAlignment="1">
      <alignment horizontal="center" vertical="center"/>
    </xf>
    <xf numFmtId="43" fontId="3" fillId="2" borderId="0" xfId="1" applyFont="1" applyFill="1" applyBorder="1" applyAlignment="1">
      <alignment horizontal="left" vertical="center"/>
    </xf>
    <xf numFmtId="0" fontId="19" fillId="8" borderId="0" xfId="0" applyFont="1" applyFill="1" applyAlignment="1">
      <alignment horizontal="left" vertical="center"/>
    </xf>
    <xf numFmtId="165" fontId="3" fillId="6" borderId="1" xfId="2" applyNumberFormat="1" applyFont="1" applyFill="1" applyBorder="1" applyAlignment="1">
      <alignment horizontal="center" vertical="center"/>
    </xf>
    <xf numFmtId="0" fontId="14" fillId="9" borderId="13" xfId="0" applyFont="1" applyFill="1" applyBorder="1" applyAlignment="1">
      <alignment horizontal="center" vertical="center" wrapText="1"/>
    </xf>
    <xf numFmtId="0" fontId="15" fillId="8" borderId="0" xfId="0" applyFont="1" applyFill="1" applyAlignment="1">
      <alignment vertical="center" wrapText="1"/>
    </xf>
    <xf numFmtId="0" fontId="14" fillId="2" borderId="0" xfId="0" applyFont="1" applyFill="1" applyAlignment="1">
      <alignment vertical="center"/>
    </xf>
    <xf numFmtId="0" fontId="15" fillId="2" borderId="0" xfId="0" applyFont="1" applyFill="1" applyAlignment="1">
      <alignment vertical="center"/>
    </xf>
    <xf numFmtId="0" fontId="17" fillId="2" borderId="0" xfId="0" applyFont="1" applyFill="1" applyAlignment="1">
      <alignment vertical="center"/>
    </xf>
    <xf numFmtId="0" fontId="18" fillId="2" borderId="0" xfId="0" applyFont="1" applyFill="1" applyAlignment="1">
      <alignment vertical="center"/>
    </xf>
    <xf numFmtId="0" fontId="15" fillId="2" borderId="0" xfId="0" applyFont="1" applyFill="1" applyAlignment="1">
      <alignment vertical="center" wrapText="1"/>
    </xf>
    <xf numFmtId="0" fontId="14" fillId="2" borderId="0" xfId="0" applyFont="1" applyFill="1" applyAlignment="1">
      <alignment horizontal="center" vertical="center"/>
    </xf>
    <xf numFmtId="0" fontId="21" fillId="2" borderId="0" xfId="0" applyFont="1" applyFill="1" applyAlignment="1">
      <alignment horizontal="center" vertical="center"/>
    </xf>
    <xf numFmtId="0" fontId="17" fillId="2" borderId="0" xfId="0" applyFont="1" applyFill="1" applyAlignment="1">
      <alignment horizontal="center" vertical="center"/>
    </xf>
    <xf numFmtId="0" fontId="14" fillId="2" borderId="0" xfId="0" applyFont="1" applyFill="1" applyAlignment="1">
      <alignment horizontal="right" vertical="center"/>
    </xf>
    <xf numFmtId="18" fontId="15" fillId="10" borderId="12" xfId="0" applyNumberFormat="1" applyFont="1" applyFill="1" applyBorder="1" applyAlignment="1">
      <alignment horizontal="center" vertical="center"/>
    </xf>
    <xf numFmtId="0" fontId="15" fillId="10" borderId="12" xfId="0" applyFont="1" applyFill="1" applyBorder="1" applyAlignment="1">
      <alignment horizontal="center" vertical="center"/>
    </xf>
    <xf numFmtId="0" fontId="14" fillId="0" borderId="12" xfId="0" applyFont="1" applyBorder="1" applyAlignment="1">
      <alignment horizontal="center" vertical="center"/>
    </xf>
    <xf numFmtId="0" fontId="15" fillId="5" borderId="12" xfId="0" applyFont="1" applyFill="1" applyBorder="1" applyAlignment="1">
      <alignment vertical="center" wrapText="1"/>
    </xf>
    <xf numFmtId="0" fontId="16" fillId="7" borderId="18" xfId="0" applyFont="1" applyFill="1" applyBorder="1" applyAlignment="1">
      <alignment horizontal="left" vertical="center"/>
    </xf>
    <xf numFmtId="0" fontId="23" fillId="7" borderId="13" xfId="0" applyFont="1" applyFill="1" applyBorder="1" applyAlignment="1">
      <alignment vertical="center" wrapText="1"/>
    </xf>
    <xf numFmtId="0" fontId="19" fillId="8" borderId="18" xfId="0" applyFont="1" applyFill="1" applyBorder="1" applyAlignment="1">
      <alignment horizontal="left" vertical="center"/>
    </xf>
    <xf numFmtId="0" fontId="15" fillId="8" borderId="13" xfId="0" applyFont="1" applyFill="1" applyBorder="1" applyAlignment="1">
      <alignment vertical="center" wrapText="1"/>
    </xf>
    <xf numFmtId="0" fontId="16" fillId="7" borderId="14" xfId="0" applyFont="1" applyFill="1" applyBorder="1" applyAlignment="1">
      <alignment horizontal="left" vertical="center"/>
    </xf>
    <xf numFmtId="0" fontId="23" fillId="7" borderId="15" xfId="0" applyFont="1" applyFill="1" applyBorder="1" applyAlignment="1">
      <alignment vertical="center" wrapText="1"/>
    </xf>
    <xf numFmtId="0" fontId="19" fillId="8" borderId="16" xfId="0" applyFont="1" applyFill="1" applyBorder="1" applyAlignment="1">
      <alignment horizontal="left" vertical="center"/>
    </xf>
    <xf numFmtId="0" fontId="15" fillId="8" borderId="17" xfId="0" applyFont="1" applyFill="1" applyBorder="1" applyAlignment="1">
      <alignment vertical="center" wrapText="1"/>
    </xf>
    <xf numFmtId="0" fontId="19" fillId="8" borderId="14" xfId="0" applyFont="1" applyFill="1" applyBorder="1" applyAlignment="1">
      <alignment horizontal="left" vertical="center"/>
    </xf>
    <xf numFmtId="0" fontId="15" fillId="8" borderId="15" xfId="0" applyFont="1" applyFill="1" applyBorder="1" applyAlignment="1">
      <alignment vertical="center" wrapText="1"/>
    </xf>
    <xf numFmtId="0" fontId="14" fillId="2" borderId="0" xfId="0" applyFont="1" applyFill="1" applyAlignment="1">
      <alignment horizontal="left" vertical="center"/>
    </xf>
    <xf numFmtId="0" fontId="15" fillId="0" borderId="19" xfId="0" applyFont="1" applyBorder="1" applyAlignment="1">
      <alignment vertical="center" wrapText="1"/>
    </xf>
    <xf numFmtId="0" fontId="24" fillId="9" borderId="12" xfId="3" applyFont="1" applyFill="1" applyBorder="1" applyAlignment="1">
      <alignment horizontal="right" vertical="center"/>
    </xf>
    <xf numFmtId="0" fontId="24" fillId="9" borderId="19" xfId="3" applyFont="1" applyFill="1" applyBorder="1" applyAlignment="1">
      <alignment horizontal="right" vertical="center"/>
    </xf>
    <xf numFmtId="0" fontId="5" fillId="2" borderId="0" xfId="0" quotePrefix="1" applyFont="1" applyFill="1" applyBorder="1" applyAlignment="1">
      <alignment horizontal="left" vertical="center"/>
    </xf>
    <xf numFmtId="0" fontId="14" fillId="0" borderId="0" xfId="0" applyFont="1" applyFill="1"/>
    <xf numFmtId="0" fontId="0" fillId="0" borderId="0" xfId="0" applyFill="1"/>
    <xf numFmtId="0" fontId="25" fillId="0" borderId="0" xfId="0" applyFont="1" applyFill="1"/>
    <xf numFmtId="3" fontId="3" fillId="6" borderId="1" xfId="2" applyNumberFormat="1" applyFont="1" applyFill="1" applyBorder="1" applyAlignment="1">
      <alignment horizontal="center" vertical="center"/>
    </xf>
    <xf numFmtId="166" fontId="3" fillId="2" borderId="1" xfId="2" applyNumberFormat="1" applyFont="1" applyFill="1" applyBorder="1" applyAlignment="1">
      <alignment horizontal="center" vertical="center"/>
    </xf>
    <xf numFmtId="1" fontId="3" fillId="6" borderId="1" xfId="2" applyNumberFormat="1" applyFont="1" applyFill="1" applyBorder="1" applyAlignment="1">
      <alignment horizontal="center" vertical="center"/>
    </xf>
    <xf numFmtId="0" fontId="27" fillId="8" borderId="18" xfId="0" applyFont="1" applyFill="1" applyBorder="1" applyAlignment="1">
      <alignment horizontal="left" vertical="center"/>
    </xf>
    <xf numFmtId="0" fontId="6" fillId="4" borderId="1" xfId="0" applyFont="1" applyFill="1" applyBorder="1" applyAlignment="1">
      <alignment horizontal="left" vertical="center" indent="1"/>
    </xf>
    <xf numFmtId="0" fontId="7" fillId="2" borderId="0" xfId="0" applyFont="1" applyFill="1" applyBorder="1" applyAlignment="1">
      <alignment horizontal="left" vertical="center"/>
    </xf>
    <xf numFmtId="0" fontId="28" fillId="2" borderId="0" xfId="0" applyFont="1" applyFill="1" applyAlignment="1">
      <alignment vertical="center"/>
    </xf>
    <xf numFmtId="0" fontId="28" fillId="2" borderId="0" xfId="0" applyFont="1" applyFill="1" applyAlignment="1">
      <alignment horizontal="center" vertical="center" wrapText="1"/>
    </xf>
    <xf numFmtId="0" fontId="29" fillId="2" borderId="0" xfId="0" applyFont="1" applyFill="1" applyAlignment="1">
      <alignment vertical="center" wrapText="1"/>
    </xf>
    <xf numFmtId="0" fontId="28" fillId="2" borderId="0" xfId="0" applyFont="1" applyFill="1" applyAlignment="1">
      <alignment horizontal="center" vertical="center"/>
    </xf>
    <xf numFmtId="0" fontId="29" fillId="2" borderId="0" xfId="0" applyFont="1" applyFill="1" applyAlignment="1">
      <alignment horizontal="center" vertical="center"/>
    </xf>
    <xf numFmtId="0" fontId="29" fillId="2" borderId="0" xfId="0" applyFont="1" applyFill="1" applyAlignment="1">
      <alignment vertical="center"/>
    </xf>
    <xf numFmtId="18" fontId="29" fillId="10" borderId="12" xfId="0" applyNumberFormat="1" applyFont="1" applyFill="1" applyBorder="1" applyAlignment="1">
      <alignment horizontal="center" vertical="center" wrapText="1"/>
    </xf>
    <xf numFmtId="18" fontId="29" fillId="10" borderId="12" xfId="0" applyNumberFormat="1" applyFont="1" applyFill="1" applyBorder="1" applyAlignment="1">
      <alignment horizontal="center" vertical="center"/>
    </xf>
    <xf numFmtId="0" fontId="29" fillId="10" borderId="12" xfId="0" applyFont="1" applyFill="1" applyBorder="1" applyAlignment="1">
      <alignment horizontal="center" vertical="center"/>
    </xf>
    <xf numFmtId="0" fontId="28" fillId="13" borderId="12" xfId="0" applyFont="1" applyFill="1" applyBorder="1" applyAlignment="1">
      <alignment horizontal="center" vertical="center"/>
    </xf>
    <xf numFmtId="0" fontId="29" fillId="13" borderId="12" xfId="0" applyFont="1" applyFill="1" applyBorder="1" applyAlignment="1">
      <alignment horizontal="center" vertical="center"/>
    </xf>
    <xf numFmtId="0" fontId="28" fillId="0" borderId="12" xfId="0" applyFont="1" applyBorder="1" applyAlignment="1">
      <alignment horizontal="center" vertical="center" wrapText="1"/>
    </xf>
    <xf numFmtId="0" fontId="28" fillId="9" borderId="12" xfId="0" applyFont="1" applyFill="1" applyBorder="1" applyAlignment="1">
      <alignment horizontal="center" vertical="center" wrapText="1"/>
    </xf>
    <xf numFmtId="3" fontId="28" fillId="0" borderId="12" xfId="2" applyNumberFormat="1" applyFont="1" applyBorder="1" applyAlignment="1">
      <alignment horizontal="center" vertical="center"/>
    </xf>
    <xf numFmtId="0" fontId="28" fillId="0" borderId="12" xfId="0" applyFont="1" applyBorder="1" applyAlignment="1">
      <alignment horizontal="center" vertical="center"/>
    </xf>
    <xf numFmtId="0" fontId="28" fillId="5" borderId="12" xfId="0" applyFont="1" applyFill="1" applyBorder="1" applyAlignment="1">
      <alignment horizontal="center" vertical="center"/>
    </xf>
    <xf numFmtId="0" fontId="29" fillId="5" borderId="12" xfId="0" applyFont="1" applyFill="1" applyBorder="1" applyAlignment="1">
      <alignment horizontal="center" vertical="center"/>
    </xf>
    <xf numFmtId="9" fontId="28" fillId="0" borderId="12" xfId="2" applyFont="1" applyBorder="1" applyAlignment="1">
      <alignment horizontal="center" vertical="center"/>
    </xf>
    <xf numFmtId="0" fontId="28" fillId="6" borderId="12" xfId="0" applyFont="1" applyFill="1" applyBorder="1" applyAlignment="1">
      <alignment horizontal="center" vertical="center"/>
    </xf>
    <xf numFmtId="0" fontId="29" fillId="6" borderId="12" xfId="0" applyFont="1" applyFill="1" applyBorder="1" applyAlignment="1">
      <alignment horizontal="center" vertical="center"/>
    </xf>
    <xf numFmtId="0" fontId="29" fillId="0" borderId="12" xfId="0" applyFont="1" applyBorder="1" applyAlignment="1">
      <alignment horizontal="center" vertical="center"/>
    </xf>
    <xf numFmtId="18" fontId="30" fillId="7" borderId="12" xfId="0" applyNumberFormat="1" applyFont="1" applyFill="1" applyBorder="1" applyAlignment="1">
      <alignment horizontal="center" vertical="center" wrapText="1"/>
    </xf>
    <xf numFmtId="0" fontId="0" fillId="0" borderId="0" xfId="0" applyAlignment="1">
      <alignment horizontal="center"/>
    </xf>
    <xf numFmtId="0" fontId="15" fillId="2" borderId="12" xfId="0" applyFont="1" applyFill="1" applyBorder="1" applyAlignment="1">
      <alignment vertical="center" wrapText="1"/>
    </xf>
    <xf numFmtId="165" fontId="5" fillId="2" borderId="0" xfId="2" applyNumberFormat="1" applyFont="1" applyFill="1" applyBorder="1" applyAlignment="1">
      <alignment horizontal="left" vertical="center"/>
    </xf>
    <xf numFmtId="9" fontId="5" fillId="2" borderId="0" xfId="2" applyFont="1" applyFill="1" applyBorder="1" applyAlignment="1">
      <alignment horizontal="left" vertical="center"/>
    </xf>
    <xf numFmtId="9" fontId="5" fillId="2" borderId="0" xfId="0" applyNumberFormat="1" applyFont="1" applyFill="1" applyBorder="1" applyAlignment="1">
      <alignment horizontal="left" vertical="center"/>
    </xf>
    <xf numFmtId="0" fontId="6" fillId="4" borderId="1" xfId="0" applyFont="1" applyFill="1" applyBorder="1" applyAlignment="1">
      <alignment horizontal="left" vertical="center" indent="1"/>
    </xf>
    <xf numFmtId="0" fontId="7" fillId="2" borderId="0" xfId="0" applyFont="1" applyFill="1" applyBorder="1" applyAlignment="1">
      <alignment horizontal="left" vertical="center"/>
    </xf>
    <xf numFmtId="0" fontId="31" fillId="2" borderId="0" xfId="0" applyFont="1" applyFill="1" applyBorder="1" applyAlignment="1">
      <alignment horizontal="left" vertical="center"/>
    </xf>
    <xf numFmtId="0" fontId="32" fillId="2" borderId="0" xfId="0" applyFont="1" applyFill="1" applyBorder="1" applyAlignment="1">
      <alignment horizontal="left" vertical="center"/>
    </xf>
    <xf numFmtId="0" fontId="31" fillId="3" borderId="0" xfId="0" applyFont="1" applyFill="1" applyBorder="1" applyAlignment="1">
      <alignment horizontal="left" vertical="center"/>
    </xf>
    <xf numFmtId="0" fontId="31" fillId="2" borderId="1" xfId="0" applyFont="1" applyFill="1" applyBorder="1" applyAlignment="1">
      <alignment horizontal="center" vertical="center"/>
    </xf>
    <xf numFmtId="0" fontId="34" fillId="4" borderId="1" xfId="0" applyFont="1" applyFill="1" applyBorder="1" applyAlignment="1">
      <alignment horizontal="left" vertical="center" indent="1"/>
    </xf>
    <xf numFmtId="0" fontId="31" fillId="2" borderId="0" xfId="0" applyFont="1" applyFill="1" applyBorder="1" applyAlignment="1">
      <alignment horizontal="center" vertical="center"/>
    </xf>
    <xf numFmtId="0" fontId="35" fillId="2" borderId="0" xfId="0" applyFont="1" applyFill="1" applyBorder="1" applyAlignment="1">
      <alignment horizontal="center" vertical="center" wrapText="1"/>
    </xf>
    <xf numFmtId="0" fontId="32" fillId="2" borderId="0" xfId="0" applyFont="1" applyFill="1" applyBorder="1" applyAlignment="1">
      <alignment horizontal="center" vertical="center"/>
    </xf>
    <xf numFmtId="0" fontId="36" fillId="2" borderId="0" xfId="0" applyFont="1" applyFill="1" applyBorder="1" applyAlignment="1">
      <alignment horizontal="left" vertical="center"/>
    </xf>
    <xf numFmtId="10" fontId="31" fillId="2" borderId="1" xfId="2" applyNumberFormat="1" applyFont="1" applyFill="1" applyBorder="1" applyAlignment="1">
      <alignment horizontal="center" vertical="center"/>
    </xf>
    <xf numFmtId="9" fontId="31" fillId="2" borderId="1" xfId="2" applyFont="1" applyFill="1" applyBorder="1" applyAlignment="1">
      <alignment horizontal="center" vertical="center"/>
    </xf>
    <xf numFmtId="164" fontId="31" fillId="2" borderId="1" xfId="1" applyNumberFormat="1" applyFont="1" applyFill="1" applyBorder="1" applyAlignment="1">
      <alignment horizontal="center" vertical="center"/>
    </xf>
    <xf numFmtId="0" fontId="36" fillId="5" borderId="2" xfId="0" applyFont="1" applyFill="1" applyBorder="1" applyAlignment="1">
      <alignment horizontal="center" vertical="center"/>
    </xf>
    <xf numFmtId="0" fontId="31" fillId="2" borderId="1" xfId="0" applyFont="1" applyFill="1" applyBorder="1" applyAlignment="1">
      <alignment horizontal="left" vertical="center" indent="1"/>
    </xf>
    <xf numFmtId="0" fontId="36" fillId="6" borderId="2" xfId="0" applyFont="1" applyFill="1" applyBorder="1" applyAlignment="1">
      <alignment horizontal="center" vertical="center"/>
    </xf>
    <xf numFmtId="0" fontId="29" fillId="2" borderId="1" xfId="0" applyFont="1" applyFill="1" applyBorder="1" applyAlignment="1">
      <alignment horizontal="center" vertical="center"/>
    </xf>
    <xf numFmtId="167" fontId="31" fillId="2" borderId="1" xfId="1" applyNumberFormat="1" applyFont="1" applyFill="1" applyBorder="1" applyAlignment="1">
      <alignment horizontal="center" vertical="center"/>
    </xf>
    <xf numFmtId="0" fontId="31" fillId="2" borderId="0" xfId="0" applyFont="1" applyFill="1" applyBorder="1" applyAlignment="1">
      <alignment horizontal="right" vertical="center"/>
    </xf>
    <xf numFmtId="0" fontId="35" fillId="2" borderId="0" xfId="0" applyFont="1" applyFill="1" applyBorder="1" applyAlignment="1">
      <alignment horizontal="left" vertical="center"/>
    </xf>
    <xf numFmtId="0" fontId="37" fillId="5" borderId="1" xfId="0" applyFont="1" applyFill="1" applyBorder="1" applyAlignment="1">
      <alignment horizontal="center" vertical="center"/>
    </xf>
    <xf numFmtId="0" fontId="35" fillId="2" borderId="0" xfId="0" applyFont="1" applyFill="1" applyBorder="1" applyAlignment="1">
      <alignment horizontal="center" vertical="center"/>
    </xf>
    <xf numFmtId="0" fontId="38" fillId="2" borderId="0" xfId="0" applyFont="1" applyFill="1" applyBorder="1" applyAlignment="1">
      <alignment horizontal="center" vertical="center"/>
    </xf>
    <xf numFmtId="165" fontId="31" fillId="2" borderId="1" xfId="2" applyNumberFormat="1" applyFont="1" applyFill="1" applyBorder="1" applyAlignment="1">
      <alignment horizontal="center" vertical="center"/>
    </xf>
    <xf numFmtId="9" fontId="32" fillId="2" borderId="0" xfId="2" applyFont="1" applyFill="1" applyBorder="1" applyAlignment="1">
      <alignment horizontal="center" vertical="center"/>
    </xf>
    <xf numFmtId="165" fontId="32" fillId="2" borderId="0" xfId="2" applyNumberFormat="1" applyFont="1" applyFill="1" applyBorder="1" applyAlignment="1">
      <alignment horizontal="left" vertical="center"/>
    </xf>
    <xf numFmtId="0" fontId="32" fillId="2" borderId="0" xfId="0" quotePrefix="1" applyFont="1" applyFill="1" applyBorder="1" applyAlignment="1">
      <alignment horizontal="left" vertical="center"/>
    </xf>
    <xf numFmtId="0" fontId="37" fillId="5" borderId="1" xfId="0" applyFont="1" applyFill="1" applyBorder="1" applyAlignment="1">
      <alignment horizontal="left" vertical="center" wrapText="1"/>
    </xf>
    <xf numFmtId="0" fontId="31" fillId="2" borderId="0" xfId="0" applyFont="1" applyFill="1" applyBorder="1" applyAlignment="1">
      <alignment vertical="center"/>
    </xf>
    <xf numFmtId="0" fontId="31" fillId="2" borderId="1" xfId="0" applyFont="1" applyFill="1" applyBorder="1" applyAlignment="1">
      <alignment horizontal="left" vertical="center"/>
    </xf>
    <xf numFmtId="0" fontId="31" fillId="2" borderId="11" xfId="0" applyFont="1" applyFill="1" applyBorder="1" applyAlignment="1">
      <alignment horizontal="left" vertical="center"/>
    </xf>
    <xf numFmtId="0" fontId="3" fillId="3" borderId="0" xfId="0" applyFont="1" applyFill="1" applyBorder="1" applyAlignment="1">
      <alignment horizontal="left" vertical="center" wrapText="1"/>
    </xf>
    <xf numFmtId="0" fontId="39" fillId="0" borderId="12" xfId="0" applyFont="1" applyBorder="1" applyAlignment="1">
      <alignment vertical="center" wrapText="1"/>
    </xf>
    <xf numFmtId="165" fontId="28" fillId="0" borderId="12" xfId="2" applyNumberFormat="1" applyFont="1" applyBorder="1" applyAlignment="1">
      <alignment horizontal="center" vertical="center"/>
    </xf>
    <xf numFmtId="165" fontId="28" fillId="2" borderId="0" xfId="2" applyNumberFormat="1" applyFont="1" applyFill="1" applyAlignment="1">
      <alignment horizontal="center" vertical="center"/>
    </xf>
    <xf numFmtId="165" fontId="29" fillId="10" borderId="12" xfId="2" applyNumberFormat="1" applyFont="1" applyFill="1" applyBorder="1" applyAlignment="1">
      <alignment horizontal="center" vertical="center"/>
    </xf>
    <xf numFmtId="0" fontId="14" fillId="0" borderId="0" xfId="0" applyFont="1"/>
    <xf numFmtId="0" fontId="14" fillId="0" borderId="0" xfId="0" pivotButton="1" applyFont="1"/>
    <xf numFmtId="0" fontId="14" fillId="0" borderId="0" xfId="0" applyFont="1" applyAlignment="1">
      <alignment horizontal="center"/>
    </xf>
    <xf numFmtId="0" fontId="14" fillId="0" borderId="0" xfId="0" applyNumberFormat="1" applyFont="1"/>
    <xf numFmtId="0" fontId="14" fillId="12" borderId="0" xfId="0" applyFont="1" applyFill="1"/>
    <xf numFmtId="0" fontId="14" fillId="12" borderId="0" xfId="0" applyNumberFormat="1" applyFont="1" applyFill="1"/>
    <xf numFmtId="9" fontId="14" fillId="0" borderId="0" xfId="0" applyNumberFormat="1" applyFont="1"/>
    <xf numFmtId="165" fontId="14" fillId="0" borderId="0" xfId="2" applyNumberFormat="1" applyFont="1" applyAlignment="1">
      <alignment horizontal="center"/>
    </xf>
    <xf numFmtId="0" fontId="14" fillId="11" borderId="0" xfId="0" applyFont="1" applyFill="1"/>
    <xf numFmtId="0" fontId="14" fillId="11" borderId="0" xfId="0" applyNumberFormat="1" applyFont="1" applyFill="1"/>
    <xf numFmtId="0" fontId="14" fillId="13" borderId="0" xfId="0" applyFont="1" applyFill="1"/>
    <xf numFmtId="0" fontId="14" fillId="13" borderId="0" xfId="0" applyNumberFormat="1" applyFont="1" applyFill="1"/>
    <xf numFmtId="0" fontId="14" fillId="15" borderId="0" xfId="0" applyFont="1" applyFill="1"/>
    <xf numFmtId="0" fontId="14" fillId="15" borderId="0" xfId="0" applyNumberFormat="1" applyFont="1" applyFill="1"/>
    <xf numFmtId="0" fontId="14" fillId="14" borderId="0" xfId="0" applyFont="1" applyFill="1"/>
    <xf numFmtId="0" fontId="14" fillId="14" borderId="0" xfId="0" applyNumberFormat="1" applyFont="1" applyFill="1"/>
    <xf numFmtId="9" fontId="14" fillId="0" borderId="0" xfId="2" applyFont="1" applyAlignment="1">
      <alignment horizontal="center"/>
    </xf>
    <xf numFmtId="0" fontId="14" fillId="0" borderId="0" xfId="0" applyNumberFormat="1" applyFont="1" applyAlignment="1">
      <alignment horizontal="center"/>
    </xf>
    <xf numFmtId="0" fontId="14" fillId="11" borderId="0" xfId="0" applyNumberFormat="1" applyFont="1" applyFill="1" applyAlignment="1">
      <alignment horizontal="center"/>
    </xf>
    <xf numFmtId="165" fontId="14" fillId="0" borderId="0" xfId="0" applyNumberFormat="1" applyFont="1" applyAlignment="1">
      <alignment horizontal="center"/>
    </xf>
    <xf numFmtId="165" fontId="14" fillId="11" borderId="0" xfId="0" applyNumberFormat="1" applyFont="1" applyFill="1" applyAlignment="1">
      <alignment horizontal="center"/>
    </xf>
    <xf numFmtId="0" fontId="40" fillId="0" borderId="0" xfId="0" applyFont="1" applyAlignment="1">
      <alignment horizontal="left" indent="2"/>
    </xf>
    <xf numFmtId="0" fontId="14" fillId="0" borderId="0" xfId="0" applyFont="1" applyAlignment="1">
      <alignment vertical="center"/>
    </xf>
    <xf numFmtId="0" fontId="14" fillId="0" borderId="0" xfId="0" applyFont="1" applyAlignment="1">
      <alignment horizontal="center" vertical="center"/>
    </xf>
    <xf numFmtId="0" fontId="21" fillId="7" borderId="0" xfId="0" applyFont="1" applyFill="1" applyAlignment="1">
      <alignment vertical="center"/>
    </xf>
    <xf numFmtId="0" fontId="21" fillId="7" borderId="0" xfId="0" applyFont="1" applyFill="1"/>
    <xf numFmtId="0" fontId="14" fillId="13" borderId="0" xfId="0" applyFont="1" applyFill="1" applyAlignment="1">
      <alignment horizontal="center"/>
    </xf>
    <xf numFmtId="9" fontId="14" fillId="13" borderId="0" xfId="2" applyFont="1" applyFill="1" applyAlignment="1">
      <alignment horizontal="center"/>
    </xf>
    <xf numFmtId="0" fontId="21" fillId="7" borderId="0" xfId="0" applyFont="1" applyFill="1" applyAlignment="1">
      <alignment horizontal="center"/>
    </xf>
    <xf numFmtId="165" fontId="21" fillId="7" borderId="0" xfId="2" applyNumberFormat="1" applyFont="1" applyFill="1" applyAlignment="1">
      <alignment horizontal="center"/>
    </xf>
    <xf numFmtId="0" fontId="14" fillId="0" borderId="0" xfId="0" applyNumberFormat="1" applyFont="1" applyAlignment="1">
      <alignment horizontal="center" vertical="center"/>
    </xf>
    <xf numFmtId="165" fontId="14" fillId="0" borderId="0" xfId="0" applyNumberFormat="1" applyFont="1" applyAlignment="1">
      <alignment horizontal="center" vertical="center"/>
    </xf>
    <xf numFmtId="165" fontId="14" fillId="0" borderId="0" xfId="2" applyNumberFormat="1" applyFont="1" applyAlignment="1">
      <alignment horizontal="center" vertical="center"/>
    </xf>
    <xf numFmtId="0" fontId="40" fillId="0" borderId="0" xfId="0" applyFont="1" applyAlignment="1">
      <alignment horizontal="center" vertical="center"/>
    </xf>
    <xf numFmtId="165" fontId="40" fillId="0" borderId="0" xfId="2" applyNumberFormat="1" applyFont="1" applyAlignment="1">
      <alignment horizontal="center" vertical="center"/>
    </xf>
    <xf numFmtId="0" fontId="21" fillId="7" borderId="0" xfId="0" applyFont="1" applyFill="1" applyAlignment="1">
      <alignment horizontal="center" vertical="center"/>
    </xf>
    <xf numFmtId="165" fontId="21" fillId="7" borderId="0" xfId="2" applyNumberFormat="1" applyFont="1" applyFill="1" applyAlignment="1">
      <alignment horizontal="center" vertical="center"/>
    </xf>
    <xf numFmtId="0" fontId="30" fillId="2" borderId="0" xfId="0" applyFont="1" applyFill="1" applyAlignment="1">
      <alignment vertical="center"/>
    </xf>
    <xf numFmtId="0" fontId="29" fillId="2" borderId="12" xfId="0" applyFont="1" applyFill="1" applyBorder="1" applyAlignment="1">
      <alignment vertical="center" wrapText="1"/>
    </xf>
    <xf numFmtId="0" fontId="0" fillId="2" borderId="0" xfId="0" applyFill="1"/>
    <xf numFmtId="0" fontId="14" fillId="2" borderId="0" xfId="0" applyFont="1" applyFill="1" applyAlignment="1">
      <alignment horizontal="center"/>
    </xf>
    <xf numFmtId="0" fontId="14" fillId="2" borderId="0" xfId="0" applyFont="1" applyFill="1"/>
    <xf numFmtId="0" fontId="14" fillId="2" borderId="0" xfId="0" applyFont="1" applyFill="1" applyBorder="1" applyAlignment="1">
      <alignment horizontal="center"/>
    </xf>
    <xf numFmtId="0" fontId="14" fillId="2" borderId="0" xfId="0" applyFont="1" applyFill="1" applyBorder="1"/>
    <xf numFmtId="0" fontId="14" fillId="2" borderId="0" xfId="0" applyNumberFormat="1" applyFont="1" applyFill="1" applyBorder="1" applyAlignment="1">
      <alignment horizontal="center"/>
    </xf>
    <xf numFmtId="0" fontId="14" fillId="2" borderId="20" xfId="0" applyFont="1" applyFill="1" applyBorder="1" applyAlignment="1">
      <alignment horizontal="center"/>
    </xf>
    <xf numFmtId="0" fontId="14" fillId="2" borderId="13" xfId="0" applyFont="1" applyFill="1" applyBorder="1"/>
    <xf numFmtId="0" fontId="14" fillId="2" borderId="12" xfId="0" applyFont="1" applyFill="1" applyBorder="1"/>
    <xf numFmtId="0" fontId="14" fillId="2" borderId="12" xfId="0" applyNumberFormat="1" applyFont="1" applyFill="1" applyBorder="1" applyAlignment="1">
      <alignment horizontal="center"/>
    </xf>
    <xf numFmtId="0" fontId="14" fillId="2" borderId="18" xfId="0" applyNumberFormat="1" applyFont="1" applyFill="1" applyBorder="1" applyAlignment="1">
      <alignment horizontal="center"/>
    </xf>
    <xf numFmtId="0" fontId="14" fillId="2" borderId="15" xfId="0" applyFont="1" applyFill="1" applyBorder="1"/>
    <xf numFmtId="0" fontId="14" fillId="2" borderId="14" xfId="0" applyNumberFormat="1" applyFont="1" applyFill="1" applyBorder="1" applyAlignment="1">
      <alignment horizontal="center"/>
    </xf>
    <xf numFmtId="0" fontId="14" fillId="2" borderId="21" xfId="0" applyFont="1" applyFill="1" applyBorder="1"/>
    <xf numFmtId="0" fontId="21" fillId="7" borderId="15" xfId="0" applyFont="1" applyFill="1" applyBorder="1"/>
    <xf numFmtId="0" fontId="21" fillId="7" borderId="19" xfId="0" applyNumberFormat="1" applyFont="1" applyFill="1" applyBorder="1" applyAlignment="1">
      <alignment horizontal="center"/>
    </xf>
    <xf numFmtId="0" fontId="21" fillId="7" borderId="14" xfId="0" applyNumberFormat="1" applyFont="1" applyFill="1" applyBorder="1" applyAlignment="1">
      <alignment horizontal="center"/>
    </xf>
    <xf numFmtId="0" fontId="42" fillId="7" borderId="19" xfId="0" applyNumberFormat="1" applyFont="1" applyFill="1" applyBorder="1" applyAlignment="1">
      <alignment horizontal="center"/>
    </xf>
    <xf numFmtId="0" fontId="42" fillId="7" borderId="14" xfId="0" applyNumberFormat="1" applyFont="1" applyFill="1" applyBorder="1" applyAlignment="1">
      <alignment horizontal="center"/>
    </xf>
    <xf numFmtId="0" fontId="41" fillId="10" borderId="20" xfId="0" applyFont="1" applyFill="1" applyBorder="1" applyAlignment="1">
      <alignment horizontal="center"/>
    </xf>
    <xf numFmtId="0" fontId="41" fillId="10" borderId="16" xfId="0" applyFont="1" applyFill="1" applyBorder="1" applyAlignment="1">
      <alignment horizontal="center"/>
    </xf>
    <xf numFmtId="0" fontId="14" fillId="2" borderId="17" xfId="0" applyFont="1" applyFill="1" applyBorder="1"/>
    <xf numFmtId="0" fontId="14" fillId="2" borderId="16" xfId="0" applyFont="1" applyFill="1" applyBorder="1"/>
    <xf numFmtId="0" fontId="14" fillId="2" borderId="13" xfId="0" applyFont="1" applyFill="1" applyBorder="1" applyAlignment="1">
      <alignment horizontal="center"/>
    </xf>
    <xf numFmtId="0" fontId="14" fillId="10" borderId="13" xfId="0" applyFont="1" applyFill="1" applyBorder="1" applyAlignment="1">
      <alignment horizontal="center"/>
    </xf>
    <xf numFmtId="0" fontId="14" fillId="2" borderId="18" xfId="0" applyFont="1" applyFill="1" applyBorder="1" applyAlignment="1">
      <alignment horizontal="center"/>
    </xf>
    <xf numFmtId="0" fontId="41" fillId="2" borderId="0" xfId="0" applyFont="1" applyFill="1" applyBorder="1" applyAlignment="1">
      <alignment horizontal="center"/>
    </xf>
    <xf numFmtId="0" fontId="14" fillId="2" borderId="12" xfId="0" applyFont="1" applyFill="1" applyBorder="1" applyAlignment="1">
      <alignment horizontal="center"/>
    </xf>
    <xf numFmtId="0" fontId="14" fillId="2" borderId="14" xfId="0" applyFont="1" applyFill="1" applyBorder="1"/>
    <xf numFmtId="0" fontId="14" fillId="2" borderId="22" xfId="0" applyFont="1" applyFill="1" applyBorder="1"/>
    <xf numFmtId="0" fontId="14" fillId="2" borderId="21" xfId="0" applyNumberFormat="1" applyFont="1" applyFill="1" applyBorder="1" applyAlignment="1">
      <alignment horizontal="center"/>
    </xf>
    <xf numFmtId="0" fontId="14" fillId="10" borderId="16" xfId="0" applyFont="1" applyFill="1" applyBorder="1" applyAlignment="1">
      <alignment horizontal="center" vertical="center"/>
    </xf>
    <xf numFmtId="0" fontId="14" fillId="10" borderId="17" xfId="0" applyFont="1" applyFill="1" applyBorder="1" applyAlignment="1">
      <alignment horizontal="center" vertical="center"/>
    </xf>
    <xf numFmtId="0" fontId="21" fillId="7" borderId="13" xfId="0" applyFont="1" applyFill="1" applyBorder="1" applyAlignment="1">
      <alignment horizontal="center"/>
    </xf>
    <xf numFmtId="0" fontId="21" fillId="2" borderId="0" xfId="0" applyFont="1" applyFill="1" applyAlignment="1">
      <alignment horizontal="center"/>
    </xf>
    <xf numFmtId="0" fontId="21" fillId="2" borderId="0" xfId="0" applyFont="1" applyFill="1"/>
    <xf numFmtId="0" fontId="14" fillId="2" borderId="19" xfId="0" applyFont="1" applyFill="1" applyBorder="1" applyAlignment="1">
      <alignment horizontal="center"/>
    </xf>
    <xf numFmtId="0" fontId="14" fillId="2" borderId="14" xfId="0" applyFont="1" applyFill="1" applyBorder="1" applyAlignment="1">
      <alignment horizontal="center"/>
    </xf>
    <xf numFmtId="0" fontId="42" fillId="7" borderId="15" xfId="0" applyNumberFormat="1" applyFont="1" applyFill="1" applyBorder="1" applyAlignment="1">
      <alignment horizontal="left"/>
    </xf>
    <xf numFmtId="0" fontId="21" fillId="2" borderId="0" xfId="0" applyNumberFormat="1" applyFont="1" applyFill="1" applyBorder="1" applyAlignment="1">
      <alignment horizontal="center"/>
    </xf>
    <xf numFmtId="0" fontId="14" fillId="2" borderId="23" xfId="0" applyFont="1" applyFill="1" applyBorder="1"/>
    <xf numFmtId="0" fontId="14" fillId="2" borderId="23" xfId="0" applyFont="1" applyFill="1" applyBorder="1" applyAlignment="1">
      <alignment horizontal="center"/>
    </xf>
    <xf numFmtId="0" fontId="14" fillId="2" borderId="23" xfId="0" applyNumberFormat="1" applyFont="1" applyFill="1" applyBorder="1" applyAlignment="1">
      <alignment horizontal="center"/>
    </xf>
    <xf numFmtId="0" fontId="21" fillId="2" borderId="23" xfId="0" applyNumberFormat="1" applyFont="1" applyFill="1" applyBorder="1" applyAlignment="1">
      <alignment horizontal="center"/>
    </xf>
    <xf numFmtId="0" fontId="21" fillId="2" borderId="23" xfId="0" applyFont="1" applyFill="1" applyBorder="1" applyAlignment="1">
      <alignment horizontal="center"/>
    </xf>
    <xf numFmtId="0" fontId="15" fillId="2" borderId="0" xfId="0" applyFont="1" applyFill="1"/>
    <xf numFmtId="0" fontId="15" fillId="2" borderId="17" xfId="0" applyFont="1" applyFill="1" applyBorder="1"/>
    <xf numFmtId="0" fontId="15" fillId="2" borderId="0" xfId="0" applyFont="1" applyFill="1" applyAlignment="1">
      <alignment horizontal="center"/>
    </xf>
    <xf numFmtId="0" fontId="15" fillId="2" borderId="0" xfId="0" applyFont="1" applyFill="1" applyBorder="1"/>
    <xf numFmtId="0" fontId="15" fillId="2" borderId="0" xfId="0" applyFont="1" applyFill="1" applyBorder="1" applyAlignment="1">
      <alignment horizontal="center"/>
    </xf>
    <xf numFmtId="0" fontId="21" fillId="2" borderId="0" xfId="0" applyFont="1" applyFill="1" applyBorder="1"/>
    <xf numFmtId="0" fontId="21" fillId="2" borderId="0" xfId="0" applyFont="1" applyFill="1" applyBorder="1" applyAlignment="1">
      <alignment horizontal="center"/>
    </xf>
    <xf numFmtId="0" fontId="21" fillId="2" borderId="0" xfId="0" applyFont="1" applyFill="1" applyBorder="1" applyAlignment="1">
      <alignment horizontal="center" vertical="center"/>
    </xf>
    <xf numFmtId="0" fontId="42" fillId="2" borderId="0" xfId="0" applyNumberFormat="1" applyFont="1" applyFill="1" applyBorder="1" applyAlignment="1">
      <alignment horizontal="center"/>
    </xf>
    <xf numFmtId="0" fontId="14" fillId="10" borderId="0" xfId="0" applyFont="1" applyFill="1" applyBorder="1" applyAlignment="1">
      <alignment horizontal="center" vertical="center"/>
    </xf>
    <xf numFmtId="0" fontId="14" fillId="0" borderId="0" xfId="0" applyFont="1" applyBorder="1"/>
    <xf numFmtId="0" fontId="14" fillId="10" borderId="20" xfId="0" applyFont="1" applyFill="1" applyBorder="1" applyAlignment="1">
      <alignment horizontal="center" vertical="center"/>
    </xf>
    <xf numFmtId="0" fontId="14" fillId="0" borderId="13" xfId="0" applyFont="1" applyBorder="1"/>
    <xf numFmtId="0" fontId="14" fillId="0" borderId="12" xfId="0" applyFont="1" applyBorder="1"/>
    <xf numFmtId="0" fontId="14" fillId="13" borderId="12" xfId="0" applyFont="1" applyFill="1" applyBorder="1"/>
    <xf numFmtId="0" fontId="21" fillId="7" borderId="19" xfId="0" applyFont="1" applyFill="1" applyBorder="1"/>
    <xf numFmtId="0" fontId="14" fillId="2" borderId="24" xfId="0" applyFont="1" applyFill="1" applyBorder="1"/>
    <xf numFmtId="0" fontId="14" fillId="0" borderId="12" xfId="0" applyNumberFormat="1" applyFont="1" applyBorder="1" applyAlignment="1">
      <alignment horizontal="center"/>
    </xf>
    <xf numFmtId="0" fontId="14" fillId="0" borderId="18" xfId="0" applyNumberFormat="1" applyFont="1" applyBorder="1" applyAlignment="1">
      <alignment horizontal="center"/>
    </xf>
    <xf numFmtId="0" fontId="14" fillId="13" borderId="12" xfId="0" applyNumberFormat="1" applyFont="1" applyFill="1" applyBorder="1" applyAlignment="1">
      <alignment horizontal="center"/>
    </xf>
    <xf numFmtId="0" fontId="14" fillId="13" borderId="18" xfId="0" applyNumberFormat="1" applyFont="1" applyFill="1" applyBorder="1" applyAlignment="1">
      <alignment horizontal="center"/>
    </xf>
    <xf numFmtId="0" fontId="21" fillId="2" borderId="16" xfId="0" applyFont="1" applyFill="1" applyBorder="1"/>
    <xf numFmtId="0" fontId="21" fillId="2" borderId="22" xfId="0" applyFont="1" applyFill="1" applyBorder="1"/>
    <xf numFmtId="0" fontId="14" fillId="2" borderId="24" xfId="0" applyFont="1" applyFill="1" applyBorder="1" applyAlignment="1">
      <alignment horizontal="center"/>
    </xf>
    <xf numFmtId="0" fontId="14" fillId="2" borderId="24" xfId="0" applyNumberFormat="1" applyFont="1" applyFill="1" applyBorder="1" applyAlignment="1">
      <alignment horizontal="center"/>
    </xf>
    <xf numFmtId="0" fontId="21" fillId="2" borderId="24" xfId="0" applyNumberFormat="1" applyFont="1" applyFill="1" applyBorder="1" applyAlignment="1">
      <alignment horizontal="center"/>
    </xf>
    <xf numFmtId="0" fontId="14" fillId="2" borderId="21" xfId="0" applyFont="1" applyFill="1" applyBorder="1" applyAlignment="1">
      <alignment horizontal="center"/>
    </xf>
    <xf numFmtId="0" fontId="15" fillId="2" borderId="15" xfId="0" applyFont="1" applyFill="1" applyBorder="1"/>
    <xf numFmtId="0" fontId="15" fillId="2" borderId="24" xfId="0" applyFont="1" applyFill="1" applyBorder="1"/>
    <xf numFmtId="0" fontId="14" fillId="10" borderId="0" xfId="0" applyFont="1" applyFill="1" applyBorder="1"/>
    <xf numFmtId="0" fontId="15" fillId="2" borderId="24" xfId="0" applyFont="1" applyFill="1" applyBorder="1" applyAlignment="1">
      <alignment horizontal="center"/>
    </xf>
    <xf numFmtId="0" fontId="14" fillId="2" borderId="16" xfId="0" applyNumberFormat="1" applyFont="1" applyFill="1" applyBorder="1" applyAlignment="1">
      <alignment horizontal="center"/>
    </xf>
    <xf numFmtId="0" fontId="14" fillId="2" borderId="22" xfId="0" applyNumberFormat="1" applyFont="1" applyFill="1" applyBorder="1" applyAlignment="1">
      <alignment horizontal="center"/>
    </xf>
    <xf numFmtId="0" fontId="14" fillId="2" borderId="22" xfId="0" applyFont="1" applyFill="1" applyBorder="1" applyAlignment="1">
      <alignment horizontal="center"/>
    </xf>
    <xf numFmtId="0" fontId="15" fillId="2" borderId="23" xfId="0" applyFont="1" applyFill="1" applyBorder="1"/>
    <xf numFmtId="0" fontId="14" fillId="10" borderId="13" xfId="0" applyFont="1" applyFill="1" applyBorder="1" applyAlignment="1">
      <alignment horizontal="center" vertical="center"/>
    </xf>
    <xf numFmtId="0" fontId="14" fillId="10" borderId="12" xfId="0" applyFont="1" applyFill="1" applyBorder="1" applyAlignment="1">
      <alignment horizontal="center" vertical="center"/>
    </xf>
    <xf numFmtId="0" fontId="14" fillId="10" borderId="13" xfId="0" applyFont="1" applyFill="1" applyBorder="1"/>
    <xf numFmtId="0" fontId="14" fillId="10" borderId="12" xfId="0" applyFont="1" applyFill="1" applyBorder="1" applyAlignment="1">
      <alignment horizontal="center"/>
    </xf>
    <xf numFmtId="0" fontId="14" fillId="10" borderId="18" xfId="0" applyFont="1" applyFill="1" applyBorder="1" applyAlignment="1">
      <alignment horizontal="center"/>
    </xf>
    <xf numFmtId="0" fontId="21" fillId="7" borderId="18" xfId="0" applyFont="1" applyFill="1" applyBorder="1"/>
    <xf numFmtId="0" fontId="21" fillId="7" borderId="13" xfId="0" applyFont="1" applyFill="1" applyBorder="1"/>
    <xf numFmtId="0" fontId="21" fillId="7" borderId="12" xfId="0" applyNumberFormat="1" applyFont="1" applyFill="1" applyBorder="1" applyAlignment="1">
      <alignment horizontal="center"/>
    </xf>
    <xf numFmtId="0" fontId="21" fillId="7" borderId="18" xfId="0" applyNumberFormat="1" applyFont="1" applyFill="1" applyBorder="1" applyAlignment="1">
      <alignment horizontal="center"/>
    </xf>
    <xf numFmtId="0" fontId="14" fillId="13" borderId="13" xfId="0" applyFont="1" applyFill="1" applyBorder="1"/>
    <xf numFmtId="165" fontId="11" fillId="6" borderId="1" xfId="2" applyNumberFormat="1" applyFont="1" applyFill="1" applyBorder="1" applyAlignment="1">
      <alignment horizontal="center" vertical="center"/>
    </xf>
    <xf numFmtId="0" fontId="14" fillId="0" borderId="0" xfId="0" applyFont="1" applyAlignment="1">
      <alignment horizontal="center" vertical="center"/>
    </xf>
    <xf numFmtId="0" fontId="14" fillId="0" borderId="17" xfId="0" pivotButton="1" applyFont="1" applyBorder="1"/>
    <xf numFmtId="0" fontId="14" fillId="0" borderId="20" xfId="0" pivotButton="1" applyFont="1" applyBorder="1"/>
    <xf numFmtId="0" fontId="14" fillId="2" borderId="19" xfId="0" applyFont="1" applyFill="1" applyBorder="1"/>
    <xf numFmtId="0" fontId="21" fillId="7" borderId="17" xfId="0" applyFont="1" applyFill="1" applyBorder="1" applyAlignment="1">
      <alignment horizontal="center" vertical="center" wrapText="1"/>
    </xf>
    <xf numFmtId="0" fontId="21" fillId="7" borderId="20" xfId="0" applyFont="1" applyFill="1" applyBorder="1" applyAlignment="1">
      <alignment horizontal="center" vertical="center" wrapText="1"/>
    </xf>
    <xf numFmtId="0" fontId="21" fillId="7" borderId="16" xfId="0" applyFont="1" applyFill="1" applyBorder="1" applyAlignment="1">
      <alignment horizontal="center" vertical="center" wrapText="1"/>
    </xf>
    <xf numFmtId="165" fontId="14" fillId="2" borderId="12" xfId="0" applyNumberFormat="1" applyFont="1" applyFill="1" applyBorder="1" applyAlignment="1">
      <alignment horizontal="center"/>
    </xf>
    <xf numFmtId="9" fontId="14" fillId="2" borderId="18" xfId="2" applyFont="1" applyFill="1" applyBorder="1"/>
    <xf numFmtId="165" fontId="14" fillId="2" borderId="12" xfId="2" applyNumberFormat="1" applyFont="1" applyFill="1" applyBorder="1" applyAlignment="1">
      <alignment horizontal="center"/>
    </xf>
    <xf numFmtId="165" fontId="14" fillId="2" borderId="19" xfId="2" applyNumberFormat="1" applyFont="1" applyFill="1" applyBorder="1" applyAlignment="1">
      <alignment horizontal="center"/>
    </xf>
    <xf numFmtId="9" fontId="14" fillId="2" borderId="14" xfId="2" applyFont="1" applyFill="1" applyBorder="1"/>
    <xf numFmtId="9" fontId="14" fillId="2" borderId="23" xfId="0" applyNumberFormat="1" applyFont="1" applyFill="1" applyBorder="1"/>
    <xf numFmtId="1" fontId="3" fillId="16" borderId="1" xfId="2" applyNumberFormat="1" applyFont="1" applyFill="1" applyBorder="1" applyAlignment="1">
      <alignment horizontal="center" vertical="center"/>
    </xf>
    <xf numFmtId="165" fontId="3" fillId="2" borderId="0" xfId="2" applyNumberFormat="1" applyFont="1" applyFill="1" applyBorder="1" applyAlignment="1">
      <alignment horizontal="left" vertical="center"/>
    </xf>
    <xf numFmtId="10" fontId="3" fillId="2" borderId="0" xfId="2" applyNumberFormat="1" applyFont="1" applyFill="1" applyBorder="1" applyAlignment="1">
      <alignment horizontal="left" vertical="center"/>
    </xf>
    <xf numFmtId="0" fontId="3" fillId="2" borderId="0" xfId="4" applyFont="1" applyFill="1" applyBorder="1" applyAlignment="1">
      <alignment horizontal="left" vertical="center"/>
    </xf>
    <xf numFmtId="0" fontId="5" fillId="2" borderId="0" xfId="4" applyFont="1" applyFill="1" applyBorder="1" applyAlignment="1">
      <alignment horizontal="left" vertical="center"/>
    </xf>
    <xf numFmtId="0" fontId="3" fillId="3" borderId="0" xfId="4" applyFont="1" applyFill="1" applyBorder="1" applyAlignment="1">
      <alignment horizontal="left" vertical="center"/>
    </xf>
    <xf numFmtId="0" fontId="3" fillId="2" borderId="1" xfId="4" applyFont="1" applyFill="1" applyBorder="1" applyAlignment="1">
      <alignment horizontal="center" vertical="center"/>
    </xf>
    <xf numFmtId="0" fontId="6" fillId="4" borderId="1" xfId="4" applyFont="1" applyFill="1" applyBorder="1" applyAlignment="1">
      <alignment horizontal="left" vertical="center" indent="1"/>
    </xf>
    <xf numFmtId="0" fontId="3" fillId="2" borderId="0" xfId="4" applyFont="1" applyFill="1" applyBorder="1" applyAlignment="1">
      <alignment horizontal="center" vertical="center"/>
    </xf>
    <xf numFmtId="0" fontId="7" fillId="2" borderId="0" xfId="4" applyFont="1" applyFill="1" applyBorder="1" applyAlignment="1">
      <alignment horizontal="left" vertical="center"/>
    </xf>
    <xf numFmtId="3" fontId="3" fillId="2" borderId="1" xfId="5" applyNumberFormat="1" applyFont="1" applyFill="1" applyBorder="1" applyAlignment="1">
      <alignment horizontal="center" vertical="center"/>
    </xf>
    <xf numFmtId="164" fontId="3" fillId="2" borderId="1" xfId="6" applyNumberFormat="1" applyFont="1" applyFill="1" applyBorder="1" applyAlignment="1">
      <alignment horizontal="center" vertical="center"/>
    </xf>
    <xf numFmtId="0" fontId="7" fillId="5" borderId="2" xfId="4" applyFont="1" applyFill="1" applyBorder="1" applyAlignment="1">
      <alignment horizontal="center" vertical="center"/>
    </xf>
    <xf numFmtId="0" fontId="3" fillId="2" borderId="1" xfId="4" applyFont="1" applyFill="1" applyBorder="1" applyAlignment="1">
      <alignment horizontal="left" vertical="center" indent="1"/>
    </xf>
    <xf numFmtId="0" fontId="7" fillId="6" borderId="2" xfId="4" applyFont="1" applyFill="1" applyBorder="1" applyAlignment="1">
      <alignment horizontal="center" vertical="center"/>
    </xf>
    <xf numFmtId="0" fontId="9" fillId="2" borderId="1" xfId="4" applyFont="1" applyFill="1" applyBorder="1" applyAlignment="1">
      <alignment horizontal="center" vertical="center"/>
    </xf>
    <xf numFmtId="0" fontId="3" fillId="2" borderId="0" xfId="4" applyFont="1" applyFill="1" applyBorder="1" applyAlignment="1">
      <alignment horizontal="right" vertical="center"/>
    </xf>
    <xf numFmtId="0" fontId="8" fillId="5" borderId="1" xfId="4" applyFont="1" applyFill="1" applyBorder="1" applyAlignment="1">
      <alignment horizontal="center" vertical="center"/>
    </xf>
    <xf numFmtId="165" fontId="3" fillId="2" borderId="1" xfId="5" applyNumberFormat="1" applyFont="1" applyFill="1" applyBorder="1" applyAlignment="1">
      <alignment horizontal="center" vertical="center"/>
    </xf>
    <xf numFmtId="0" fontId="11" fillId="2" borderId="0" xfId="4" applyFont="1" applyFill="1" applyBorder="1" applyAlignment="1">
      <alignment horizontal="left" vertical="center"/>
    </xf>
    <xf numFmtId="0" fontId="5" fillId="2" borderId="0" xfId="4" quotePrefix="1" applyFont="1" applyFill="1" applyBorder="1" applyAlignment="1">
      <alignment horizontal="left" vertical="center"/>
    </xf>
    <xf numFmtId="0" fontId="8" fillId="5" borderId="1" xfId="4" applyFont="1" applyFill="1" applyBorder="1" applyAlignment="1">
      <alignment horizontal="left" vertical="center" wrapText="1"/>
    </xf>
    <xf numFmtId="0" fontId="3" fillId="2" borderId="0" xfId="4" applyFont="1" applyFill="1" applyBorder="1" applyAlignment="1">
      <alignment vertical="center"/>
    </xf>
    <xf numFmtId="0" fontId="3" fillId="2" borderId="11" xfId="4" applyFont="1" applyFill="1" applyBorder="1" applyAlignment="1">
      <alignment horizontal="left" vertical="center"/>
    </xf>
    <xf numFmtId="0" fontId="15" fillId="0" borderId="12" xfId="0" applyFont="1" applyFill="1" applyBorder="1" applyAlignment="1">
      <alignment vertical="center" wrapText="1"/>
    </xf>
    <xf numFmtId="0" fontId="43" fillId="6" borderId="12" xfId="0" applyFont="1" applyFill="1" applyBorder="1" applyAlignment="1">
      <alignment horizontal="center" vertical="center" wrapText="1"/>
    </xf>
    <xf numFmtId="0" fontId="43" fillId="6" borderId="0" xfId="0" applyFont="1" applyFill="1" applyAlignment="1">
      <alignment vertical="center"/>
    </xf>
    <xf numFmtId="0" fontId="43" fillId="6" borderId="12" xfId="0" applyFont="1" applyFill="1" applyBorder="1" applyAlignment="1">
      <alignment vertical="center" wrapText="1"/>
    </xf>
    <xf numFmtId="3" fontId="43" fillId="6" borderId="12" xfId="2" applyNumberFormat="1" applyFont="1" applyFill="1" applyBorder="1" applyAlignment="1">
      <alignment horizontal="center" vertical="center"/>
    </xf>
    <xf numFmtId="165" fontId="43" fillId="6" borderId="12" xfId="2" applyNumberFormat="1" applyFont="1" applyFill="1" applyBorder="1" applyAlignment="1">
      <alignment horizontal="center" vertical="center"/>
    </xf>
    <xf numFmtId="0" fontId="43" fillId="6" borderId="12" xfId="0" applyFont="1" applyFill="1" applyBorder="1" applyAlignment="1">
      <alignment horizontal="center" vertical="center"/>
    </xf>
    <xf numFmtId="0" fontId="44" fillId="2" borderId="0" xfId="0" applyFont="1" applyFill="1" applyAlignment="1">
      <alignment vertical="center"/>
    </xf>
    <xf numFmtId="0" fontId="6" fillId="4" borderId="1" xfId="0" applyFont="1" applyFill="1" applyBorder="1" applyAlignment="1">
      <alignment horizontal="left" vertical="center" indent="1"/>
    </xf>
    <xf numFmtId="0" fontId="7" fillId="2" borderId="0" xfId="0" applyFont="1" applyFill="1" applyBorder="1" applyAlignment="1">
      <alignment horizontal="left" vertical="center"/>
    </xf>
    <xf numFmtId="0" fontId="16" fillId="7" borderId="12" xfId="0" applyFont="1" applyFill="1" applyBorder="1" applyAlignment="1">
      <alignment horizontal="center" vertical="center"/>
    </xf>
    <xf numFmtId="0" fontId="17" fillId="0" borderId="0" xfId="0" applyFont="1" applyAlignment="1">
      <alignment horizontal="center" vertical="center"/>
    </xf>
    <xf numFmtId="0" fontId="14" fillId="2" borderId="0" xfId="0" applyFont="1" applyFill="1" applyAlignment="1">
      <alignment horizontal="left" vertical="center" wrapText="1"/>
    </xf>
    <xf numFmtId="0" fontId="21" fillId="7" borderId="0" xfId="0" applyFont="1" applyFill="1" applyAlignment="1">
      <alignment horizontal="center"/>
    </xf>
    <xf numFmtId="0" fontId="14" fillId="2" borderId="13" xfId="0" applyFont="1" applyFill="1" applyBorder="1" applyAlignment="1">
      <alignment horizontal="center" vertical="center" wrapText="1"/>
    </xf>
    <xf numFmtId="0" fontId="14" fillId="2" borderId="15" xfId="0" applyFont="1" applyFill="1" applyBorder="1" applyAlignment="1">
      <alignment horizontal="center" vertical="center" wrapText="1"/>
    </xf>
    <xf numFmtId="9" fontId="14" fillId="2" borderId="12" xfId="0" applyNumberFormat="1" applyFont="1" applyFill="1" applyBorder="1" applyAlignment="1">
      <alignment horizontal="center" vertical="center" wrapText="1"/>
    </xf>
    <xf numFmtId="0" fontId="14" fillId="2" borderId="12" xfId="0" applyFont="1" applyFill="1" applyBorder="1" applyAlignment="1">
      <alignment horizontal="center" vertical="center" wrapText="1"/>
    </xf>
    <xf numFmtId="0" fontId="14" fillId="2" borderId="19" xfId="0" applyFont="1" applyFill="1" applyBorder="1" applyAlignment="1">
      <alignment horizontal="center" vertical="center" wrapText="1"/>
    </xf>
    <xf numFmtId="0" fontId="14" fillId="0" borderId="0" xfId="0" applyFont="1" applyAlignment="1">
      <alignment horizontal="center" vertical="center"/>
    </xf>
    <xf numFmtId="0" fontId="30" fillId="7" borderId="12" xfId="0" applyFont="1" applyFill="1" applyBorder="1" applyAlignment="1">
      <alignment horizontal="center" vertical="center" wrapText="1"/>
    </xf>
    <xf numFmtId="0" fontId="30" fillId="7" borderId="12" xfId="0" applyFont="1" applyFill="1" applyBorder="1" applyAlignment="1">
      <alignment horizontal="center" vertical="center"/>
    </xf>
    <xf numFmtId="0" fontId="17" fillId="2" borderId="0" xfId="0" applyFont="1" applyFill="1" applyAlignment="1">
      <alignment horizontal="center" vertical="center" wrapText="1"/>
    </xf>
    <xf numFmtId="0" fontId="6" fillId="4" borderId="5"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9" xfId="0" applyFont="1" applyFill="1" applyBorder="1" applyAlignment="1">
      <alignment horizontal="center" vertical="center" wrapText="1"/>
    </xf>
    <xf numFmtId="0" fontId="6" fillId="4" borderId="10" xfId="0" applyFont="1" applyFill="1" applyBorder="1" applyAlignment="1">
      <alignment horizontal="center" vertical="center" wrapText="1"/>
    </xf>
    <xf numFmtId="0" fontId="3" fillId="2" borderId="2" xfId="0" applyFont="1" applyFill="1" applyBorder="1" applyAlignment="1">
      <alignment horizontal="left" vertical="center" indent="1"/>
    </xf>
    <xf numFmtId="0" fontId="3" fillId="2" borderId="4" xfId="0" applyFont="1" applyFill="1" applyBorder="1" applyAlignment="1">
      <alignment horizontal="left" vertical="center" indent="1"/>
    </xf>
    <xf numFmtId="0" fontId="3" fillId="2" borderId="3" xfId="0" applyFont="1" applyFill="1" applyBorder="1" applyAlignment="1">
      <alignment horizontal="left" vertical="center" indent="1"/>
    </xf>
    <xf numFmtId="0" fontId="4" fillId="2" borderId="0" xfId="0" applyFont="1" applyFill="1" applyBorder="1" applyAlignment="1">
      <alignment horizontal="center" vertical="center" wrapText="1"/>
    </xf>
    <xf numFmtId="0" fontId="6" fillId="4" borderId="1" xfId="0" applyFont="1" applyFill="1" applyBorder="1" applyAlignment="1">
      <alignment horizontal="left" vertical="center" indent="1"/>
    </xf>
    <xf numFmtId="0" fontId="6" fillId="4" borderId="2" xfId="0" applyFont="1" applyFill="1" applyBorder="1" applyAlignment="1">
      <alignment horizontal="left" vertical="center" wrapText="1" indent="1"/>
    </xf>
    <xf numFmtId="0" fontId="6" fillId="4" borderId="3" xfId="0" applyFont="1" applyFill="1" applyBorder="1" applyAlignment="1">
      <alignment horizontal="left" vertical="center" wrapText="1" indent="1"/>
    </xf>
    <xf numFmtId="0" fontId="3" fillId="2" borderId="2" xfId="0" applyFont="1" applyFill="1" applyBorder="1" applyAlignment="1">
      <alignment horizontal="left" vertical="center" wrapText="1" indent="1"/>
    </xf>
    <xf numFmtId="0" fontId="3" fillId="2" borderId="4" xfId="0" applyFont="1" applyFill="1" applyBorder="1" applyAlignment="1">
      <alignment horizontal="left" vertical="center" wrapText="1" indent="1"/>
    </xf>
    <xf numFmtId="0" fontId="3" fillId="2" borderId="3" xfId="0" applyFont="1" applyFill="1" applyBorder="1" applyAlignment="1">
      <alignment horizontal="left" vertical="center" wrapText="1" indent="1"/>
    </xf>
    <xf numFmtId="0" fontId="6" fillId="4" borderId="1" xfId="0" applyFont="1" applyFill="1" applyBorder="1" applyAlignment="1">
      <alignment horizontal="left" vertical="center" wrapText="1" indent="1"/>
    </xf>
    <xf numFmtId="0" fontId="3" fillId="2" borderId="1" xfId="0" applyFont="1" applyFill="1" applyBorder="1" applyAlignment="1">
      <alignment horizontal="left" vertical="center" wrapText="1" indent="1"/>
    </xf>
    <xf numFmtId="0" fontId="6" fillId="4" borderId="5" xfId="0" applyFont="1" applyFill="1" applyBorder="1" applyAlignment="1">
      <alignment horizontal="left" vertical="center" wrapText="1" indent="1"/>
    </xf>
    <xf numFmtId="0" fontId="6" fillId="4" borderId="6" xfId="0" applyFont="1" applyFill="1" applyBorder="1" applyAlignment="1">
      <alignment horizontal="left" vertical="center" wrapText="1" indent="1"/>
    </xf>
    <xf numFmtId="0" fontId="6" fillId="4" borderId="7" xfId="0" applyFont="1" applyFill="1" applyBorder="1" applyAlignment="1">
      <alignment horizontal="left" vertical="center" wrapText="1" indent="1"/>
    </xf>
    <xf numFmtId="0" fontId="6" fillId="4" borderId="8" xfId="0" applyFont="1" applyFill="1" applyBorder="1" applyAlignment="1">
      <alignment horizontal="left" vertical="center" wrapText="1" indent="1"/>
    </xf>
    <xf numFmtId="0" fontId="7" fillId="5" borderId="2" xfId="0" applyFont="1" applyFill="1" applyBorder="1" applyAlignment="1">
      <alignment horizontal="left" vertical="center" indent="1"/>
    </xf>
    <xf numFmtId="0" fontId="7" fillId="5" borderId="4" xfId="0" applyFont="1" applyFill="1" applyBorder="1" applyAlignment="1">
      <alignment horizontal="left" vertical="center" indent="1"/>
    </xf>
    <xf numFmtId="0" fontId="7" fillId="5" borderId="3" xfId="0" applyFont="1" applyFill="1" applyBorder="1" applyAlignment="1">
      <alignment horizontal="left" vertical="center" indent="1"/>
    </xf>
    <xf numFmtId="0" fontId="8" fillId="5" borderId="5" xfId="0" applyFont="1" applyFill="1" applyBorder="1" applyAlignment="1">
      <alignment horizontal="left" vertical="center" wrapText="1" indent="1"/>
    </xf>
    <xf numFmtId="0" fontId="8" fillId="5" borderId="6" xfId="0" applyFont="1" applyFill="1" applyBorder="1" applyAlignment="1">
      <alignment horizontal="left" vertical="center" wrapText="1" indent="1"/>
    </xf>
    <xf numFmtId="0" fontId="8" fillId="5" borderId="7" xfId="0" applyFont="1" applyFill="1" applyBorder="1" applyAlignment="1">
      <alignment horizontal="left" vertical="center" wrapText="1" indent="1"/>
    </xf>
    <xf numFmtId="0" fontId="8" fillId="5" borderId="8" xfId="0" applyFont="1" applyFill="1" applyBorder="1" applyAlignment="1">
      <alignment horizontal="left" vertical="center" wrapText="1" indent="1"/>
    </xf>
    <xf numFmtId="0" fontId="7" fillId="6" borderId="2" xfId="0" applyFont="1" applyFill="1" applyBorder="1" applyAlignment="1">
      <alignment horizontal="left" vertical="center" indent="1"/>
    </xf>
    <xf numFmtId="0" fontId="7" fillId="6" borderId="4" xfId="0" applyFont="1" applyFill="1" applyBorder="1" applyAlignment="1">
      <alignment horizontal="left" vertical="center" indent="1"/>
    </xf>
    <xf numFmtId="0" fontId="7" fillId="6" borderId="3" xfId="0" applyFont="1" applyFill="1" applyBorder="1" applyAlignment="1">
      <alignment horizontal="left" vertical="center" indent="1"/>
    </xf>
    <xf numFmtId="0" fontId="8" fillId="5" borderId="1" xfId="0" applyFont="1" applyFill="1" applyBorder="1" applyAlignment="1">
      <alignment horizontal="left" vertical="center" wrapText="1" indent="1"/>
    </xf>
    <xf numFmtId="0" fontId="8" fillId="5" borderId="1" xfId="0" applyFont="1" applyFill="1" applyBorder="1" applyAlignment="1">
      <alignment horizontal="left" vertical="center" indent="1"/>
    </xf>
    <xf numFmtId="0" fontId="7" fillId="2" borderId="0" xfId="0" applyFont="1" applyFill="1" applyBorder="1" applyAlignment="1">
      <alignment horizontal="left" vertical="center"/>
    </xf>
    <xf numFmtId="0" fontId="6" fillId="4" borderId="1"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10" fillId="2" borderId="2" xfId="0" applyFont="1" applyFill="1" applyBorder="1" applyAlignment="1">
      <alignment horizontal="left" vertical="center" wrapText="1" indent="1"/>
    </xf>
    <xf numFmtId="0" fontId="10" fillId="2" borderId="4" xfId="0" applyFont="1" applyFill="1" applyBorder="1" applyAlignment="1">
      <alignment horizontal="left" vertical="center" wrapText="1" indent="1"/>
    </xf>
    <xf numFmtId="0" fontId="10" fillId="2" borderId="3" xfId="0" applyFont="1" applyFill="1" applyBorder="1" applyAlignment="1">
      <alignment horizontal="left" vertical="center" wrapText="1" indent="1"/>
    </xf>
    <xf numFmtId="0" fontId="3" fillId="2" borderId="2" xfId="0" quotePrefix="1" applyFont="1" applyFill="1" applyBorder="1" applyAlignment="1">
      <alignment horizontal="left" vertical="center" wrapText="1" indent="1"/>
    </xf>
    <xf numFmtId="0" fontId="37" fillId="5" borderId="1" xfId="0" applyFont="1" applyFill="1" applyBorder="1" applyAlignment="1">
      <alignment horizontal="left" vertical="center" wrapText="1" indent="1"/>
    </xf>
    <xf numFmtId="0" fontId="31" fillId="2" borderId="1" xfId="0" applyFont="1" applyFill="1" applyBorder="1" applyAlignment="1">
      <alignment horizontal="left" vertical="center" wrapText="1" indent="1"/>
    </xf>
    <xf numFmtId="0" fontId="34" fillId="4" borderId="5" xfId="0" applyFont="1" applyFill="1" applyBorder="1" applyAlignment="1">
      <alignment horizontal="center" vertical="center" wrapText="1"/>
    </xf>
    <xf numFmtId="0" fontId="34" fillId="4" borderId="6" xfId="0" applyFont="1" applyFill="1" applyBorder="1" applyAlignment="1">
      <alignment horizontal="center" vertical="center" wrapText="1"/>
    </xf>
    <xf numFmtId="0" fontId="34" fillId="4" borderId="9" xfId="0" applyFont="1" applyFill="1" applyBorder="1" applyAlignment="1">
      <alignment horizontal="center" vertical="center" wrapText="1"/>
    </xf>
    <xf numFmtId="0" fontId="34" fillId="4" borderId="10" xfId="0" applyFont="1" applyFill="1" applyBorder="1" applyAlignment="1">
      <alignment horizontal="center" vertical="center" wrapText="1"/>
    </xf>
    <xf numFmtId="0" fontId="31" fillId="2" borderId="2" xfId="0" applyFont="1" applyFill="1" applyBorder="1" applyAlignment="1">
      <alignment horizontal="left" vertical="center"/>
    </xf>
    <xf numFmtId="0" fontId="31" fillId="2" borderId="4" xfId="0" applyFont="1" applyFill="1" applyBorder="1" applyAlignment="1">
      <alignment horizontal="left" vertical="center"/>
    </xf>
    <xf numFmtId="0" fontId="31" fillId="2" borderId="3" xfId="0" applyFont="1" applyFill="1" applyBorder="1" applyAlignment="1">
      <alignment horizontal="left" vertical="center"/>
    </xf>
    <xf numFmtId="0" fontId="34" fillId="4" borderId="2" xfId="0" applyFont="1" applyFill="1" applyBorder="1" applyAlignment="1">
      <alignment horizontal="left" vertical="center" wrapText="1" indent="1"/>
    </xf>
    <xf numFmtId="0" fontId="34" fillId="4" borderId="3" xfId="0" applyFont="1" applyFill="1" applyBorder="1" applyAlignment="1">
      <alignment horizontal="left" vertical="center" wrapText="1" indent="1"/>
    </xf>
    <xf numFmtId="0" fontId="31" fillId="2" borderId="2" xfId="0" applyFont="1" applyFill="1" applyBorder="1" applyAlignment="1">
      <alignment horizontal="justify" vertical="center" wrapText="1"/>
    </xf>
    <xf numFmtId="0" fontId="31" fillId="2" borderId="4" xfId="0" applyFont="1" applyFill="1" applyBorder="1" applyAlignment="1">
      <alignment horizontal="justify" vertical="center" wrapText="1"/>
    </xf>
    <xf numFmtId="0" fontId="31" fillId="2" borderId="3" xfId="0" applyFont="1" applyFill="1" applyBorder="1" applyAlignment="1">
      <alignment horizontal="justify" vertical="center" wrapText="1"/>
    </xf>
    <xf numFmtId="0" fontId="31" fillId="2" borderId="2" xfId="0" applyFont="1" applyFill="1" applyBorder="1" applyAlignment="1">
      <alignment horizontal="left" vertical="center" indent="1"/>
    </xf>
    <xf numFmtId="0" fontId="31" fillId="2" borderId="4" xfId="0" applyFont="1" applyFill="1" applyBorder="1" applyAlignment="1">
      <alignment horizontal="left" vertical="center" indent="1"/>
    </xf>
    <xf numFmtId="0" fontId="31" fillId="2" borderId="3" xfId="0" applyFont="1" applyFill="1" applyBorder="1" applyAlignment="1">
      <alignment horizontal="left" vertical="center" indent="1"/>
    </xf>
    <xf numFmtId="0" fontId="37" fillId="5" borderId="1" xfId="0" applyFont="1" applyFill="1" applyBorder="1" applyAlignment="1">
      <alignment horizontal="left" vertical="center" indent="1"/>
    </xf>
    <xf numFmtId="0" fontId="34" fillId="4" borderId="1" xfId="0" applyFont="1" applyFill="1" applyBorder="1" applyAlignment="1">
      <alignment horizontal="left" vertical="center" indent="1"/>
    </xf>
    <xf numFmtId="0" fontId="38" fillId="2" borderId="0" xfId="0" applyFont="1" applyFill="1" applyBorder="1" applyAlignment="1">
      <alignment horizontal="center" vertical="center"/>
    </xf>
    <xf numFmtId="0" fontId="31" fillId="2" borderId="2" xfId="0" applyFont="1" applyFill="1" applyBorder="1" applyAlignment="1">
      <alignment horizontal="left" vertical="center" wrapText="1" indent="1"/>
    </xf>
    <xf numFmtId="0" fontId="31" fillId="2" borderId="4" xfId="0" applyFont="1" applyFill="1" applyBorder="1" applyAlignment="1">
      <alignment horizontal="left" vertical="center" wrapText="1" indent="1"/>
    </xf>
    <xf numFmtId="0" fontId="31" fillId="2" borderId="3" xfId="0" applyFont="1" applyFill="1" applyBorder="1" applyAlignment="1">
      <alignment horizontal="left" vertical="center" wrapText="1" indent="1"/>
    </xf>
    <xf numFmtId="0" fontId="36" fillId="2" borderId="0" xfId="0" applyFont="1" applyFill="1" applyBorder="1" applyAlignment="1">
      <alignment horizontal="left" vertical="center"/>
    </xf>
    <xf numFmtId="0" fontId="34" fillId="4" borderId="1" xfId="0" applyFont="1" applyFill="1" applyBorder="1" applyAlignment="1">
      <alignment horizontal="left" vertical="center" wrapText="1" indent="1"/>
    </xf>
    <xf numFmtId="0" fontId="34" fillId="4" borderId="1" xfId="0" applyFont="1" applyFill="1" applyBorder="1" applyAlignment="1">
      <alignment horizontal="center" vertical="center"/>
    </xf>
    <xf numFmtId="0" fontId="37" fillId="2" borderId="2" xfId="0" applyFont="1" applyFill="1" applyBorder="1" applyAlignment="1">
      <alignment horizontal="center" vertical="center"/>
    </xf>
    <xf numFmtId="0" fontId="37" fillId="2" borderId="3" xfId="0" applyFont="1" applyFill="1" applyBorder="1" applyAlignment="1">
      <alignment horizontal="center" vertical="center"/>
    </xf>
    <xf numFmtId="0" fontId="37" fillId="5" borderId="5" xfId="0" applyFont="1" applyFill="1" applyBorder="1" applyAlignment="1">
      <alignment horizontal="left" vertical="center" wrapText="1" indent="1"/>
    </xf>
    <xf numFmtId="0" fontId="37" fillId="5" borderId="6" xfId="0" applyFont="1" applyFill="1" applyBorder="1" applyAlignment="1">
      <alignment horizontal="left" vertical="center" wrapText="1" indent="1"/>
    </xf>
    <xf numFmtId="0" fontId="37" fillId="5" borderId="7" xfId="0" applyFont="1" applyFill="1" applyBorder="1" applyAlignment="1">
      <alignment horizontal="left" vertical="center" wrapText="1" indent="1"/>
    </xf>
    <xf numFmtId="0" fontId="37" fillId="5" borderId="8" xfId="0" applyFont="1" applyFill="1" applyBorder="1" applyAlignment="1">
      <alignment horizontal="left" vertical="center" wrapText="1" indent="1"/>
    </xf>
    <xf numFmtId="0" fontId="36" fillId="6" borderId="2" xfId="0" applyFont="1" applyFill="1" applyBorder="1" applyAlignment="1">
      <alignment horizontal="left" vertical="center" indent="1"/>
    </xf>
    <xf numFmtId="0" fontId="36" fillId="6" borderId="4" xfId="0" applyFont="1" applyFill="1" applyBorder="1" applyAlignment="1">
      <alignment horizontal="left" vertical="center" indent="1"/>
    </xf>
    <xf numFmtId="0" fontId="36" fillId="6" borderId="3" xfId="0" applyFont="1" applyFill="1" applyBorder="1" applyAlignment="1">
      <alignment horizontal="left" vertical="center" indent="1"/>
    </xf>
    <xf numFmtId="0" fontId="34" fillId="4" borderId="5" xfId="0" applyFont="1" applyFill="1" applyBorder="1" applyAlignment="1">
      <alignment horizontal="left" vertical="center" wrapText="1" indent="1"/>
    </xf>
    <xf numFmtId="0" fontId="34" fillId="4" borderId="6" xfId="0" applyFont="1" applyFill="1" applyBorder="1" applyAlignment="1">
      <alignment horizontal="left" vertical="center" wrapText="1" indent="1"/>
    </xf>
    <xf numFmtId="0" fontId="34" fillId="4" borderId="7" xfId="0" applyFont="1" applyFill="1" applyBorder="1" applyAlignment="1">
      <alignment horizontal="left" vertical="center" wrapText="1" indent="1"/>
    </xf>
    <xf numFmtId="0" fontId="34" fillId="4" borderId="8" xfId="0" applyFont="1" applyFill="1" applyBorder="1" applyAlignment="1">
      <alignment horizontal="left" vertical="center" wrapText="1" indent="1"/>
    </xf>
    <xf numFmtId="0" fontId="36" fillId="5" borderId="2" xfId="0" applyFont="1" applyFill="1" applyBorder="1" applyAlignment="1">
      <alignment horizontal="left" vertical="center" indent="1"/>
    </xf>
    <xf numFmtId="0" fontId="36" fillId="5" borderId="4" xfId="0" applyFont="1" applyFill="1" applyBorder="1" applyAlignment="1">
      <alignment horizontal="left" vertical="center" indent="1"/>
    </xf>
    <xf numFmtId="0" fontId="36" fillId="5" borderId="3" xfId="0" applyFont="1" applyFill="1" applyBorder="1" applyAlignment="1">
      <alignment horizontal="left" vertical="center" indent="1"/>
    </xf>
    <xf numFmtId="0" fontId="33" fillId="2" borderId="0" xfId="0" applyFont="1" applyFill="1" applyBorder="1" applyAlignment="1">
      <alignment horizontal="center" vertical="center" wrapText="1"/>
    </xf>
    <xf numFmtId="0" fontId="3" fillId="2" borderId="2" xfId="0" applyFont="1" applyFill="1" applyBorder="1" applyAlignment="1">
      <alignment horizontal="left" vertical="top" wrapText="1" indent="1"/>
    </xf>
    <xf numFmtId="0" fontId="3" fillId="2" borderId="4" xfId="0" applyFont="1" applyFill="1" applyBorder="1" applyAlignment="1">
      <alignment horizontal="left" vertical="top" indent="1"/>
    </xf>
    <xf numFmtId="0" fontId="3" fillId="2" borderId="3" xfId="0" applyFont="1" applyFill="1" applyBorder="1" applyAlignment="1">
      <alignment horizontal="left" vertical="top" indent="1"/>
    </xf>
    <xf numFmtId="0" fontId="3" fillId="2" borderId="4" xfId="0" applyFont="1" applyFill="1" applyBorder="1" applyAlignment="1">
      <alignment horizontal="left" vertical="top" wrapText="1" indent="1"/>
    </xf>
    <xf numFmtId="0" fontId="3" fillId="2" borderId="3" xfId="0" applyFont="1" applyFill="1" applyBorder="1" applyAlignment="1">
      <alignment horizontal="left" vertical="top" wrapText="1" indent="1"/>
    </xf>
    <xf numFmtId="0" fontId="12" fillId="2" borderId="2" xfId="0" applyFont="1" applyFill="1" applyBorder="1" applyAlignment="1">
      <alignment horizontal="left" vertical="center" wrapText="1" indent="1"/>
    </xf>
    <xf numFmtId="0" fontId="12" fillId="2" borderId="4" xfId="0" applyFont="1" applyFill="1" applyBorder="1" applyAlignment="1">
      <alignment horizontal="left" vertical="center" wrapText="1" indent="1"/>
    </xf>
    <xf numFmtId="0" fontId="12" fillId="2" borderId="3" xfId="0" applyFont="1" applyFill="1" applyBorder="1" applyAlignment="1">
      <alignment horizontal="left" vertical="center" wrapText="1" indent="1"/>
    </xf>
    <xf numFmtId="0" fontId="9" fillId="2" borderId="2" xfId="0" applyFont="1" applyFill="1" applyBorder="1" applyAlignment="1">
      <alignment horizontal="left" vertical="center" wrapText="1" indent="1"/>
    </xf>
    <xf numFmtId="0" fontId="9" fillId="2" borderId="4" xfId="0" applyFont="1" applyFill="1" applyBorder="1" applyAlignment="1">
      <alignment horizontal="left" vertical="center" indent="1"/>
    </xf>
    <xf numFmtId="0" fontId="9" fillId="2" borderId="3" xfId="0" applyFont="1" applyFill="1" applyBorder="1" applyAlignment="1">
      <alignment horizontal="left" vertical="center" indent="1"/>
    </xf>
    <xf numFmtId="0" fontId="9" fillId="2" borderId="4" xfId="0" applyFont="1" applyFill="1" applyBorder="1" applyAlignment="1">
      <alignment horizontal="left" vertical="center" wrapText="1" indent="1"/>
    </xf>
    <xf numFmtId="0" fontId="9" fillId="2" borderId="3" xfId="0" applyFont="1" applyFill="1" applyBorder="1" applyAlignment="1">
      <alignment horizontal="left" vertical="center" wrapText="1" indent="1"/>
    </xf>
    <xf numFmtId="0" fontId="3" fillId="2" borderId="2" xfId="0" applyFont="1" applyFill="1" applyBorder="1" applyAlignment="1">
      <alignment horizontal="justify" vertical="center" wrapText="1"/>
    </xf>
    <xf numFmtId="0" fontId="3" fillId="2" borderId="4" xfId="0" applyFont="1" applyFill="1" applyBorder="1" applyAlignment="1">
      <alignment horizontal="justify" vertical="center" wrapText="1"/>
    </xf>
    <xf numFmtId="0" fontId="3" fillId="2" borderId="3" xfId="0" applyFont="1" applyFill="1" applyBorder="1" applyAlignment="1">
      <alignment horizontal="justify" vertical="center" wrapText="1"/>
    </xf>
    <xf numFmtId="0" fontId="10" fillId="2" borderId="4" xfId="0" applyFont="1" applyFill="1" applyBorder="1" applyAlignment="1">
      <alignment horizontal="left" vertical="center" indent="1"/>
    </xf>
    <xf numFmtId="0" fontId="10" fillId="2" borderId="3" xfId="0" applyFont="1" applyFill="1" applyBorder="1" applyAlignment="1">
      <alignment horizontal="left" vertical="center" indent="1"/>
    </xf>
    <xf numFmtId="0" fontId="4" fillId="2" borderId="0" xfId="4" applyFont="1" applyFill="1" applyBorder="1" applyAlignment="1">
      <alignment horizontal="center" vertical="center" wrapText="1"/>
    </xf>
    <xf numFmtId="0" fontId="6" fillId="4" borderId="1" xfId="4" applyFont="1" applyFill="1" applyBorder="1" applyAlignment="1">
      <alignment horizontal="left" vertical="center" indent="1"/>
    </xf>
    <xf numFmtId="0" fontId="6" fillId="4" borderId="2" xfId="4" applyFont="1" applyFill="1" applyBorder="1" applyAlignment="1">
      <alignment horizontal="left" vertical="center" wrapText="1" indent="1"/>
    </xf>
    <xf numFmtId="0" fontId="6" fillId="4" borderId="3" xfId="4" applyFont="1" applyFill="1" applyBorder="1" applyAlignment="1">
      <alignment horizontal="left" vertical="center" wrapText="1" indent="1"/>
    </xf>
    <xf numFmtId="0" fontId="3" fillId="2" borderId="2" xfId="4" applyFont="1" applyFill="1" applyBorder="1" applyAlignment="1">
      <alignment horizontal="left" vertical="center" wrapText="1" indent="1"/>
    </xf>
    <xf numFmtId="0" fontId="3" fillId="2" borderId="4" xfId="4" applyFont="1" applyFill="1" applyBorder="1" applyAlignment="1">
      <alignment horizontal="left" vertical="center" wrapText="1" indent="1"/>
    </xf>
    <xf numFmtId="0" fontId="3" fillId="2" borderId="3" xfId="4" applyFont="1" applyFill="1" applyBorder="1" applyAlignment="1">
      <alignment horizontal="left" vertical="center" wrapText="1" indent="1"/>
    </xf>
    <xf numFmtId="0" fontId="6" fillId="4" borderId="1" xfId="4" applyFont="1" applyFill="1" applyBorder="1" applyAlignment="1">
      <alignment horizontal="left" vertical="center" wrapText="1" indent="1"/>
    </xf>
    <xf numFmtId="0" fontId="3" fillId="2" borderId="1" xfId="4" applyFont="1" applyFill="1" applyBorder="1" applyAlignment="1">
      <alignment horizontal="left" vertical="center" wrapText="1" indent="1"/>
    </xf>
    <xf numFmtId="0" fontId="6" fillId="4" borderId="5" xfId="4" applyFont="1" applyFill="1" applyBorder="1" applyAlignment="1">
      <alignment horizontal="left" vertical="center" wrapText="1" indent="1"/>
    </xf>
    <xf numFmtId="0" fontId="6" fillId="4" borderId="6" xfId="4" applyFont="1" applyFill="1" applyBorder="1" applyAlignment="1">
      <alignment horizontal="left" vertical="center" wrapText="1" indent="1"/>
    </xf>
    <xf numFmtId="0" fontId="6" fillId="4" borderId="7" xfId="4" applyFont="1" applyFill="1" applyBorder="1" applyAlignment="1">
      <alignment horizontal="left" vertical="center" wrapText="1" indent="1"/>
    </xf>
    <xf numFmtId="0" fontId="6" fillId="4" borderId="8" xfId="4" applyFont="1" applyFill="1" applyBorder="1" applyAlignment="1">
      <alignment horizontal="left" vertical="center" wrapText="1" indent="1"/>
    </xf>
    <xf numFmtId="0" fontId="7" fillId="5" borderId="2" xfId="4" applyFont="1" applyFill="1" applyBorder="1" applyAlignment="1">
      <alignment horizontal="left" vertical="center" indent="1"/>
    </xf>
    <xf numFmtId="0" fontId="7" fillId="5" borderId="4" xfId="4" applyFont="1" applyFill="1" applyBorder="1" applyAlignment="1">
      <alignment horizontal="left" vertical="center" indent="1"/>
    </xf>
    <xf numFmtId="0" fontId="7" fillId="5" borderId="3" xfId="4" applyFont="1" applyFill="1" applyBorder="1" applyAlignment="1">
      <alignment horizontal="left" vertical="center" indent="1"/>
    </xf>
    <xf numFmtId="0" fontId="8" fillId="5" borderId="5" xfId="4" applyFont="1" applyFill="1" applyBorder="1" applyAlignment="1">
      <alignment horizontal="left" vertical="center" wrapText="1" indent="1"/>
    </xf>
    <xf numFmtId="0" fontId="8" fillId="5" borderId="6" xfId="4" applyFont="1" applyFill="1" applyBorder="1" applyAlignment="1">
      <alignment horizontal="left" vertical="center" wrapText="1" indent="1"/>
    </xf>
    <xf numFmtId="0" fontId="8" fillId="5" borderId="7" xfId="4" applyFont="1" applyFill="1" applyBorder="1" applyAlignment="1">
      <alignment horizontal="left" vertical="center" wrapText="1" indent="1"/>
    </xf>
    <xf numFmtId="0" fontId="8" fillId="5" borderId="8" xfId="4" applyFont="1" applyFill="1" applyBorder="1" applyAlignment="1">
      <alignment horizontal="left" vertical="center" wrapText="1" indent="1"/>
    </xf>
    <xf numFmtId="0" fontId="7" fillId="6" borderId="2" xfId="4" applyFont="1" applyFill="1" applyBorder="1" applyAlignment="1">
      <alignment horizontal="left" vertical="center" indent="1"/>
    </xf>
    <xf numFmtId="0" fontId="7" fillId="6" borderId="4" xfId="4" applyFont="1" applyFill="1" applyBorder="1" applyAlignment="1">
      <alignment horizontal="left" vertical="center" indent="1"/>
    </xf>
    <xf numFmtId="0" fontId="7" fillId="6" borderId="3" xfId="4" applyFont="1" applyFill="1" applyBorder="1" applyAlignment="1">
      <alignment horizontal="left" vertical="center" indent="1"/>
    </xf>
    <xf numFmtId="0" fontId="8" fillId="5" borderId="1" xfId="4" applyFont="1" applyFill="1" applyBorder="1" applyAlignment="1">
      <alignment horizontal="left" vertical="center" wrapText="1" indent="1"/>
    </xf>
    <xf numFmtId="0" fontId="8" fillId="5" borderId="1" xfId="4" applyFont="1" applyFill="1" applyBorder="1" applyAlignment="1">
      <alignment horizontal="left" vertical="center" indent="1"/>
    </xf>
    <xf numFmtId="0" fontId="7" fillId="2" borderId="0" xfId="4" applyFont="1" applyFill="1" applyBorder="1" applyAlignment="1">
      <alignment horizontal="left" vertical="center"/>
    </xf>
    <xf numFmtId="0" fontId="6" fillId="4" borderId="1" xfId="4" applyFont="1" applyFill="1" applyBorder="1" applyAlignment="1">
      <alignment horizontal="center" vertical="center"/>
    </xf>
    <xf numFmtId="0" fontId="8" fillId="2" borderId="2" xfId="4" applyFont="1" applyFill="1" applyBorder="1" applyAlignment="1">
      <alignment horizontal="center" vertical="center"/>
    </xf>
    <xf numFmtId="0" fontId="8" fillId="2" borderId="3" xfId="4" applyFont="1" applyFill="1" applyBorder="1" applyAlignment="1">
      <alignment horizontal="center" vertical="center"/>
    </xf>
    <xf numFmtId="0" fontId="6" fillId="4" borderId="5" xfId="4" applyFont="1" applyFill="1" applyBorder="1" applyAlignment="1">
      <alignment horizontal="center" vertical="center" wrapText="1"/>
    </xf>
    <xf numFmtId="0" fontId="6" fillId="4" borderId="6" xfId="4" applyFont="1" applyFill="1" applyBorder="1" applyAlignment="1">
      <alignment horizontal="center" vertical="center" wrapText="1"/>
    </xf>
    <xf numFmtId="0" fontId="6" fillId="4" borderId="9" xfId="4" applyFont="1" applyFill="1" applyBorder="1" applyAlignment="1">
      <alignment horizontal="center" vertical="center" wrapText="1"/>
    </xf>
    <xf numFmtId="0" fontId="6" fillId="4" borderId="10" xfId="4" applyFont="1" applyFill="1" applyBorder="1" applyAlignment="1">
      <alignment horizontal="center" vertical="center" wrapText="1"/>
    </xf>
    <xf numFmtId="0" fontId="3" fillId="2" borderId="2" xfId="4" applyFont="1" applyFill="1" applyBorder="1" applyAlignment="1">
      <alignment horizontal="left" vertical="center" indent="1"/>
    </xf>
    <xf numFmtId="0" fontId="3" fillId="2" borderId="4" xfId="4" applyFont="1" applyFill="1" applyBorder="1" applyAlignment="1">
      <alignment horizontal="left" vertical="center" indent="1"/>
    </xf>
    <xf numFmtId="0" fontId="3" fillId="2" borderId="3" xfId="4" applyFont="1" applyFill="1" applyBorder="1" applyAlignment="1">
      <alignment horizontal="left" vertical="center" indent="1"/>
    </xf>
    <xf numFmtId="0" fontId="26" fillId="2" borderId="2" xfId="0" applyFont="1" applyFill="1" applyBorder="1" applyAlignment="1">
      <alignment horizontal="left" vertical="center" wrapText="1" indent="1"/>
    </xf>
    <xf numFmtId="0" fontId="26" fillId="2" borderId="4" xfId="0" applyFont="1" applyFill="1" applyBorder="1" applyAlignment="1">
      <alignment horizontal="left" vertical="center" wrapText="1" indent="1"/>
    </xf>
    <xf numFmtId="0" fontId="26" fillId="2" borderId="3" xfId="0" applyFont="1" applyFill="1" applyBorder="1" applyAlignment="1">
      <alignment horizontal="left" vertical="center" wrapText="1" indent="1"/>
    </xf>
    <xf numFmtId="0" fontId="3" fillId="2" borderId="4" xfId="0" applyFont="1" applyFill="1" applyBorder="1" applyAlignment="1">
      <alignment horizontal="justify" vertical="center"/>
    </xf>
    <xf numFmtId="0" fontId="3" fillId="2" borderId="3" xfId="0" applyFont="1" applyFill="1" applyBorder="1" applyAlignment="1">
      <alignment horizontal="justify" vertical="center"/>
    </xf>
    <xf numFmtId="0" fontId="3" fillId="0" borderId="1" xfId="0" applyFont="1" applyFill="1" applyBorder="1" applyAlignment="1">
      <alignment horizontal="left" vertical="center" wrapText="1" indent="1"/>
    </xf>
    <xf numFmtId="0" fontId="11" fillId="2" borderId="1" xfId="0" applyFont="1" applyFill="1" applyBorder="1" applyAlignment="1">
      <alignment horizontal="left" vertical="center" wrapText="1" indent="1"/>
    </xf>
    <xf numFmtId="0" fontId="3" fillId="2" borderId="1" xfId="2" applyNumberFormat="1" applyFont="1" applyFill="1" applyBorder="1" applyAlignment="1">
      <alignment horizontal="left" vertical="center" wrapText="1" indent="1"/>
    </xf>
    <xf numFmtId="9" fontId="3" fillId="2" borderId="2" xfId="2" applyFont="1" applyFill="1" applyBorder="1" applyAlignment="1">
      <alignment horizontal="left" vertical="center" wrapText="1" indent="1"/>
    </xf>
    <xf numFmtId="9" fontId="3" fillId="2" borderId="4" xfId="2" applyFont="1" applyFill="1" applyBorder="1" applyAlignment="1">
      <alignment horizontal="left" vertical="center" wrapText="1" indent="1"/>
    </xf>
    <xf numFmtId="9" fontId="3" fillId="2" borderId="3" xfId="2" applyFont="1" applyFill="1" applyBorder="1" applyAlignment="1">
      <alignment horizontal="left" vertical="center" wrapText="1" indent="1"/>
    </xf>
    <xf numFmtId="0" fontId="3" fillId="2" borderId="0" xfId="0" applyFont="1" applyFill="1" applyBorder="1" applyAlignment="1">
      <alignment horizontal="left" vertical="center" indent="1"/>
    </xf>
    <xf numFmtId="0" fontId="10" fillId="2" borderId="2" xfId="0" applyFont="1" applyFill="1" applyBorder="1" applyAlignment="1">
      <alignment horizontal="left" vertical="top" wrapText="1" indent="1"/>
    </xf>
    <xf numFmtId="0" fontId="10" fillId="2" borderId="4" xfId="0" applyFont="1" applyFill="1" applyBorder="1" applyAlignment="1">
      <alignment horizontal="left" vertical="top" indent="1"/>
    </xf>
    <xf numFmtId="0" fontId="10" fillId="2" borderId="3" xfId="0" applyFont="1" applyFill="1" applyBorder="1" applyAlignment="1">
      <alignment horizontal="left" vertical="top" indent="1"/>
    </xf>
    <xf numFmtId="0" fontId="12" fillId="2" borderId="1" xfId="2" applyNumberFormat="1" applyFont="1" applyFill="1" applyBorder="1" applyAlignment="1">
      <alignment horizontal="left" vertical="center" wrapText="1" indent="1"/>
    </xf>
    <xf numFmtId="0" fontId="12" fillId="2" borderId="1" xfId="0" applyFont="1" applyFill="1" applyBorder="1" applyAlignment="1">
      <alignment horizontal="left" vertical="center" wrapText="1" indent="1"/>
    </xf>
    <xf numFmtId="9" fontId="12" fillId="2" borderId="2" xfId="2" applyFont="1" applyFill="1" applyBorder="1" applyAlignment="1">
      <alignment horizontal="left" vertical="center" wrapText="1" indent="1"/>
    </xf>
    <xf numFmtId="9" fontId="12" fillId="2" borderId="4" xfId="2" applyFont="1" applyFill="1" applyBorder="1" applyAlignment="1">
      <alignment horizontal="left" vertical="center" wrapText="1" indent="1"/>
    </xf>
    <xf numFmtId="9" fontId="12" fillId="2" borderId="3" xfId="2" applyFont="1" applyFill="1" applyBorder="1" applyAlignment="1">
      <alignment horizontal="left" vertical="center" wrapText="1" indent="1"/>
    </xf>
    <xf numFmtId="0" fontId="15" fillId="0" borderId="13" xfId="0" applyFont="1" applyBorder="1" applyAlignment="1">
      <alignment vertical="center" wrapText="1"/>
    </xf>
    <xf numFmtId="165" fontId="28" fillId="16" borderId="12" xfId="2" applyNumberFormat="1" applyFont="1" applyFill="1" applyBorder="1" applyAlignment="1">
      <alignment horizontal="center" vertical="center"/>
    </xf>
    <xf numFmtId="0" fontId="28" fillId="16" borderId="12" xfId="0" applyFont="1" applyFill="1" applyBorder="1" applyAlignment="1">
      <alignment horizontal="center" vertical="center" wrapText="1"/>
    </xf>
    <xf numFmtId="0" fontId="28" fillId="16" borderId="0" xfId="0" applyFont="1" applyFill="1" applyAlignment="1">
      <alignment vertical="center"/>
    </xf>
    <xf numFmtId="0" fontId="30" fillId="16" borderId="0" xfId="0" applyFont="1" applyFill="1" applyAlignment="1">
      <alignment vertical="center"/>
    </xf>
    <xf numFmtId="0" fontId="29" fillId="16" borderId="12" xfId="0" applyFont="1" applyFill="1" applyBorder="1" applyAlignment="1">
      <alignment vertical="center" wrapText="1"/>
    </xf>
    <xf numFmtId="9" fontId="28" fillId="16" borderId="12" xfId="2" applyFont="1" applyFill="1" applyBorder="1" applyAlignment="1">
      <alignment horizontal="center" vertical="center"/>
    </xf>
    <xf numFmtId="0" fontId="28" fillId="16" borderId="12" xfId="0" applyFont="1" applyFill="1" applyBorder="1" applyAlignment="1">
      <alignment horizontal="center" vertical="center"/>
    </xf>
    <xf numFmtId="0" fontId="29" fillId="16" borderId="12" xfId="0" applyFont="1" applyFill="1" applyBorder="1" applyAlignment="1">
      <alignment horizontal="center" vertical="center"/>
    </xf>
    <xf numFmtId="0" fontId="29" fillId="16" borderId="0" xfId="0" applyFont="1" applyFill="1" applyAlignment="1">
      <alignment vertical="center"/>
    </xf>
    <xf numFmtId="0" fontId="10" fillId="2" borderId="1" xfId="0" applyFont="1" applyFill="1" applyBorder="1" applyAlignment="1">
      <alignment horizontal="center" vertical="center"/>
    </xf>
    <xf numFmtId="165" fontId="10" fillId="2" borderId="1" xfId="0" applyNumberFormat="1" applyFont="1" applyFill="1" applyBorder="1" applyAlignment="1">
      <alignment horizontal="center" vertical="center"/>
    </xf>
    <xf numFmtId="165" fontId="10" fillId="2" borderId="1" xfId="2" applyNumberFormat="1" applyFont="1" applyFill="1" applyBorder="1" applyAlignment="1">
      <alignment horizontal="center" vertical="center"/>
    </xf>
  </cellXfs>
  <cellStyles count="7">
    <cellStyle name="Hipervínculo" xfId="3" builtinId="8"/>
    <cellStyle name="Millares" xfId="1" builtinId="3"/>
    <cellStyle name="Millares 2" xfId="6"/>
    <cellStyle name="Normal" xfId="0" builtinId="0"/>
    <cellStyle name="Normal 2" xfId="4"/>
    <cellStyle name="Porcentaje" xfId="2" builtinId="5"/>
    <cellStyle name="Porcentaje 2" xfId="5"/>
  </cellStyles>
  <dxfs count="4175">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theme="0" tint="-4.9989318521683403E-2"/>
      </font>
      <fill>
        <patternFill>
          <bgColor theme="0" tint="-4.9989318521683403E-2"/>
        </patternFill>
      </fill>
      <border>
        <vertical/>
        <horizontal/>
      </border>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rgb="FFEAEAEA"/>
      </font>
      <fill>
        <patternFill>
          <bgColor rgb="FFEAEAEA"/>
        </patternFill>
      </fill>
    </dxf>
    <dxf>
      <font>
        <color rgb="FFEAEAEA"/>
      </font>
      <fill>
        <patternFill>
          <bgColor rgb="FFEAEAEA"/>
        </patternFill>
      </fill>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rgb="FFEAEAEA"/>
      </font>
      <fill>
        <patternFill>
          <bgColor rgb="FFEAEAEA"/>
        </patternFill>
      </fill>
    </dxf>
    <dxf>
      <font>
        <color rgb="FFEAEAEA"/>
      </font>
      <fill>
        <patternFill>
          <bgColor rgb="FFEAEAEA"/>
        </patternFill>
      </fill>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rgb="FFEAEAEA"/>
      </font>
      <fill>
        <patternFill>
          <bgColor rgb="FFEAEAEA"/>
        </patternFill>
      </fill>
    </dxf>
    <dxf>
      <font>
        <color rgb="FFEAEAEA"/>
      </font>
      <fill>
        <patternFill>
          <bgColor rgb="FFEAEAEA"/>
        </patternFill>
      </fill>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rgb="FFEAEAEA"/>
      </font>
      <fill>
        <patternFill>
          <bgColor rgb="FFEAEAEA"/>
        </patternFill>
      </fill>
    </dxf>
    <dxf>
      <font>
        <color rgb="FFEAEAEA"/>
      </font>
      <fill>
        <patternFill>
          <bgColor rgb="FFEAEAEA"/>
        </patternFill>
      </fill>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rgb="FFEAEAEA"/>
      </font>
      <fill>
        <patternFill>
          <bgColor rgb="FFEAEAEA"/>
        </patternFill>
      </fill>
    </dxf>
    <dxf>
      <font>
        <color rgb="FFEAEAEA"/>
      </font>
      <fill>
        <patternFill>
          <bgColor rgb="FFEAEAEA"/>
        </patternFill>
      </fill>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rgb="FFEAEAEA"/>
      </font>
      <fill>
        <patternFill>
          <bgColor rgb="FFEAEAEA"/>
        </patternFill>
      </fill>
    </dxf>
    <dxf>
      <font>
        <color rgb="FFEAEAEA"/>
      </font>
      <fill>
        <patternFill>
          <bgColor rgb="FFEAEAEA"/>
        </patternFill>
      </fill>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rgb="FFEAEAEA"/>
      </font>
      <fill>
        <patternFill>
          <bgColor rgb="FFEAEAEA"/>
        </patternFill>
      </fill>
    </dxf>
    <dxf>
      <font>
        <color rgb="FFEAEAEA"/>
      </font>
      <fill>
        <patternFill>
          <bgColor rgb="FFEAEAEA"/>
        </patternFill>
      </fill>
    </dxf>
    <dxf>
      <font>
        <color theme="0" tint="-4.9989318521683403E-2"/>
      </font>
      <fill>
        <patternFill>
          <bgColor theme="0" tint="-4.9989318521683403E-2"/>
        </patternFill>
      </fill>
      <border>
        <vertical/>
        <horizontal/>
      </border>
    </dxf>
    <dxf>
      <font>
        <color theme="0" tint="-4.9989318521683403E-2"/>
      </font>
      <fill>
        <patternFill>
          <bgColor theme="0" tint="-4.9989318521683403E-2"/>
        </patternFill>
      </fill>
      <border>
        <vertical/>
        <horizontal/>
      </border>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theme="0" tint="-4.9989318521683403E-2"/>
      </font>
      <fill>
        <patternFill>
          <bgColor theme="0" tint="-4.9989318521683403E-2"/>
        </patternFill>
      </fill>
      <border>
        <vertical/>
        <horizontal/>
      </border>
    </dxf>
    <dxf>
      <font>
        <color theme="0" tint="-4.9989318521683403E-2"/>
      </font>
      <fill>
        <patternFill>
          <bgColor theme="0" tint="-4.9989318521683403E-2"/>
        </patternFill>
      </fill>
      <border>
        <vertical/>
        <horizontal/>
      </border>
    </dxf>
    <dxf>
      <font>
        <color theme="0" tint="-4.9989318521683403E-2"/>
      </font>
      <fill>
        <patternFill>
          <bgColor theme="0" tint="-4.9989318521683403E-2"/>
        </patternFill>
      </fill>
      <border>
        <vertical/>
        <horizontal/>
      </border>
    </dxf>
    <dxf>
      <font>
        <color theme="0" tint="-4.9989318521683403E-2"/>
      </font>
      <fill>
        <patternFill>
          <bgColor theme="0" tint="-4.9989318521683403E-2"/>
        </patternFill>
      </fill>
      <border>
        <vertical/>
        <horizontal/>
      </border>
    </dxf>
    <dxf>
      <font>
        <color theme="0"/>
      </font>
    </dxf>
    <dxf>
      <font>
        <color rgb="FFEAEAEA"/>
      </font>
      <fill>
        <patternFill>
          <bgColor rgb="FFEAEAEA"/>
        </patternFill>
      </fill>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rgb="FFEAEAEA"/>
      </font>
      <fill>
        <patternFill>
          <bgColor rgb="FFEAEAEA"/>
        </patternFill>
      </fill>
    </dxf>
    <dxf>
      <font>
        <color rgb="FFEAEAEA"/>
      </font>
      <fill>
        <patternFill>
          <bgColor rgb="FFEAEAEA"/>
        </patternFill>
      </fill>
    </dxf>
    <dxf>
      <font>
        <color theme="0" tint="-4.9989318521683403E-2"/>
      </font>
      <fill>
        <patternFill>
          <bgColor theme="0" tint="-4.9989318521683403E-2"/>
        </patternFill>
      </fill>
      <border>
        <vertical/>
        <horizontal/>
      </border>
    </dxf>
    <dxf>
      <font>
        <color theme="0" tint="-4.9989318521683403E-2"/>
      </font>
      <fill>
        <patternFill>
          <bgColor theme="0" tint="-4.9989318521683403E-2"/>
        </patternFill>
      </fill>
      <border>
        <vertical/>
        <horizontal/>
      </border>
    </dxf>
    <dxf>
      <font>
        <color theme="0" tint="-4.9989318521683403E-2"/>
      </font>
      <fill>
        <patternFill>
          <bgColor theme="0" tint="-4.9989318521683403E-2"/>
        </patternFill>
      </fill>
      <border>
        <vertical/>
        <horizontal/>
      </border>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theme="0" tint="-4.9989318521683403E-2"/>
      </font>
      <fill>
        <patternFill>
          <bgColor theme="0" tint="-4.9989318521683403E-2"/>
        </patternFill>
      </fill>
      <border>
        <vertical/>
        <horizontal/>
      </border>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theme="0" tint="-4.9989318521683403E-2"/>
      </font>
      <fill>
        <patternFill>
          <bgColor theme="0" tint="-4.9989318521683403E-2"/>
        </patternFill>
      </fill>
      <border>
        <vertical/>
        <horizontal/>
      </border>
    </dxf>
    <dxf>
      <font>
        <color theme="0" tint="-4.9989318521683403E-2"/>
      </font>
      <fill>
        <patternFill>
          <bgColor theme="0" tint="-4.9989318521683403E-2"/>
        </patternFill>
      </fill>
      <border>
        <vertical/>
        <horizontal/>
      </border>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theme="0" tint="-4.9989318521683403E-2"/>
      </font>
      <fill>
        <patternFill>
          <bgColor theme="0" tint="-4.9989318521683403E-2"/>
        </patternFill>
      </fill>
      <border>
        <vertical/>
        <horizontal/>
      </border>
    </dxf>
    <dxf>
      <font>
        <color theme="0" tint="-4.9989318521683403E-2"/>
      </font>
      <fill>
        <patternFill>
          <bgColor theme="0" tint="-4.9989318521683403E-2"/>
        </patternFill>
      </fill>
      <border>
        <vertical/>
        <horizontal/>
      </border>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theme="0" tint="-4.9989318521683403E-2"/>
      </font>
      <fill>
        <patternFill>
          <bgColor theme="0" tint="-4.9989318521683403E-2"/>
        </patternFill>
      </fill>
      <border>
        <vertical/>
        <horizontal/>
      </border>
    </dxf>
    <dxf>
      <font>
        <color theme="0" tint="-4.9989318521683403E-2"/>
      </font>
      <fill>
        <patternFill>
          <bgColor theme="0" tint="-4.9989318521683403E-2"/>
        </patternFill>
      </fill>
      <border>
        <vertical/>
        <horizontal/>
      </border>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theme="0" tint="-4.9989318521683403E-2"/>
      </font>
      <fill>
        <patternFill>
          <bgColor theme="0" tint="-4.9989318521683403E-2"/>
        </patternFill>
      </fill>
      <border>
        <vertical/>
        <horizontal/>
      </border>
    </dxf>
    <dxf>
      <font>
        <color theme="0" tint="-4.9989318521683403E-2"/>
      </font>
      <fill>
        <patternFill>
          <bgColor theme="0" tint="-4.9989318521683403E-2"/>
        </patternFill>
      </fill>
      <border>
        <vertical/>
        <horizontal/>
      </border>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font>
    </dxf>
    <dxf>
      <font>
        <color rgb="FFEAEAEA"/>
      </font>
      <fill>
        <patternFill>
          <bgColor rgb="FFEAEAEA"/>
        </patternFill>
      </fill>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rgb="FFEAEAEA"/>
      </font>
      <fill>
        <patternFill>
          <bgColor rgb="FFEAEAEA"/>
        </patternFill>
      </fill>
    </dxf>
    <dxf>
      <font>
        <color rgb="FFEAEAEA"/>
      </font>
      <fill>
        <patternFill>
          <bgColor rgb="FFEAEAEA"/>
        </patternFill>
      </fill>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rgb="FFEAEAEA"/>
      </font>
      <fill>
        <patternFill>
          <bgColor rgb="FFEAEAEA"/>
        </patternFill>
      </fill>
    </dxf>
    <dxf>
      <font>
        <color rgb="FFEAEAEA"/>
      </font>
      <fill>
        <patternFill>
          <bgColor rgb="FFEAEAEA"/>
        </patternFill>
      </fill>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rgb="FFEAEAEA"/>
      </font>
      <fill>
        <patternFill>
          <bgColor rgb="FFEAEAEA"/>
        </patternFill>
      </fill>
    </dxf>
    <dxf>
      <font>
        <color rgb="FFEAEAEA"/>
      </font>
      <fill>
        <patternFill>
          <bgColor rgb="FFEAEAEA"/>
        </patternFill>
      </fill>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rgb="FFEAEAEA"/>
      </font>
      <fill>
        <patternFill>
          <bgColor rgb="FFEAEAEA"/>
        </patternFill>
      </fill>
    </dxf>
    <dxf>
      <font>
        <color rgb="FFEAEAEA"/>
      </font>
      <fill>
        <patternFill>
          <bgColor rgb="FFEAEAEA"/>
        </patternFill>
      </fill>
    </dxf>
    <dxf>
      <font>
        <color theme="0" tint="-4.9989318521683403E-2"/>
      </font>
      <fill>
        <patternFill>
          <bgColor theme="0" tint="-4.9989318521683403E-2"/>
        </patternFill>
      </fill>
      <border>
        <vertical/>
        <horizontal/>
      </border>
    </dxf>
    <dxf>
      <font>
        <color theme="0" tint="-4.9989318521683403E-2"/>
      </font>
      <fill>
        <patternFill>
          <bgColor theme="0" tint="-4.9989318521683403E-2"/>
        </patternFill>
      </fill>
      <border>
        <vertical/>
        <horizontal/>
      </border>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theme="0" tint="-4.9989318521683403E-2"/>
      </font>
      <fill>
        <patternFill>
          <bgColor theme="0" tint="-4.9989318521683403E-2"/>
        </patternFill>
      </fill>
      <border>
        <vertical/>
        <horizontal/>
      </border>
    </dxf>
    <dxf>
      <font>
        <color theme="0" tint="-4.9989318521683403E-2"/>
      </font>
      <fill>
        <patternFill>
          <bgColor theme="0" tint="-4.9989318521683403E-2"/>
        </patternFill>
      </fill>
      <border>
        <vertical/>
        <horizontal/>
      </border>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font>
    </dxf>
    <dxf>
      <font>
        <color rgb="FFEAEAEA"/>
      </font>
      <fill>
        <patternFill>
          <bgColor rgb="FFEAEAEA"/>
        </patternFill>
      </fill>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rgb="FFEAEAEA"/>
      </font>
      <fill>
        <patternFill>
          <bgColor rgb="FFEAEAEA"/>
        </patternFill>
      </fill>
    </dxf>
    <dxf>
      <font>
        <color rgb="FFEAEAEA"/>
      </font>
      <fill>
        <patternFill>
          <bgColor rgb="FFEAEAEA"/>
        </patternFill>
      </fill>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rgb="FFEAEAEA"/>
      </font>
      <fill>
        <patternFill>
          <bgColor rgb="FFEAEAEA"/>
        </patternFill>
      </fill>
    </dxf>
    <dxf>
      <font>
        <color rgb="FFEAEAEA"/>
      </font>
      <fill>
        <patternFill>
          <bgColor rgb="FFEAEAEA"/>
        </patternFill>
      </fill>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rgb="FFEAEAEA"/>
      </font>
      <fill>
        <patternFill>
          <bgColor rgb="FFEAEAEA"/>
        </patternFill>
      </fill>
    </dxf>
    <dxf>
      <font>
        <color rgb="FFEAEAEA"/>
      </font>
      <fill>
        <patternFill>
          <bgColor rgb="FFEAEAEA"/>
        </patternFill>
      </fill>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rgb="FFEAEAEA"/>
      </font>
      <fill>
        <patternFill>
          <bgColor rgb="FFEAEAEA"/>
        </patternFill>
      </fill>
    </dxf>
    <dxf>
      <font>
        <color rgb="FFEAEAEA"/>
      </font>
      <fill>
        <patternFill>
          <bgColor rgb="FFEAEAEA"/>
        </patternFill>
      </fill>
    </dxf>
    <dxf>
      <font>
        <color theme="0" tint="-4.9989318521683403E-2"/>
      </font>
      <fill>
        <patternFill>
          <bgColor theme="0" tint="-4.9989318521683403E-2"/>
        </patternFill>
      </fill>
      <border>
        <vertical/>
        <horizontal/>
      </border>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rgb="FFEAEAEA"/>
      </font>
      <fill>
        <patternFill>
          <bgColor rgb="FFEAEAEA"/>
        </patternFill>
      </fill>
    </dxf>
    <dxf>
      <font>
        <color rgb="FFEAEAEA"/>
      </font>
      <fill>
        <patternFill>
          <bgColor rgb="FFEAEAEA"/>
        </patternFill>
      </fill>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rgb="FFEAEAEA"/>
      </font>
      <fill>
        <patternFill>
          <bgColor rgb="FFEAEAEA"/>
        </patternFill>
      </fill>
    </dxf>
    <dxf>
      <font>
        <color rgb="FFEAEAEA"/>
      </font>
      <fill>
        <patternFill>
          <bgColor rgb="FFEAEAEA"/>
        </patternFill>
      </fill>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rgb="FFEAEAEA"/>
      </font>
      <fill>
        <patternFill>
          <bgColor rgb="FFEAEAEA"/>
        </patternFill>
      </fill>
    </dxf>
    <dxf>
      <font>
        <color rgb="FFEAEAEA"/>
      </font>
      <fill>
        <patternFill>
          <bgColor rgb="FFEAEAEA"/>
        </patternFill>
      </fill>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rgb="FFEAEAEA"/>
      </font>
      <fill>
        <patternFill>
          <bgColor rgb="FFEAEAEA"/>
        </patternFill>
      </fill>
    </dxf>
    <dxf>
      <font>
        <color rgb="FFEAEAEA"/>
      </font>
      <fill>
        <patternFill>
          <bgColor rgb="FFEAEAEA"/>
        </patternFill>
      </fill>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rgb="FFEAEAEA"/>
      </font>
      <fill>
        <patternFill>
          <bgColor rgb="FFEAEAEA"/>
        </patternFill>
      </fill>
    </dxf>
    <dxf>
      <font>
        <color rgb="FFEAEAEA"/>
      </font>
      <fill>
        <patternFill>
          <bgColor rgb="FFEAEAEA"/>
        </patternFill>
      </fill>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rgb="FFEAEAEA"/>
      </font>
      <fill>
        <patternFill>
          <bgColor rgb="FFEAEAEA"/>
        </patternFill>
      </fill>
    </dxf>
    <dxf>
      <font>
        <color rgb="FFEAEAEA"/>
      </font>
      <fill>
        <patternFill>
          <bgColor rgb="FFEAEAEA"/>
        </patternFill>
      </fill>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rgb="FFEAEAEA"/>
      </font>
      <fill>
        <patternFill>
          <bgColor rgb="FFEAEAEA"/>
        </patternFill>
      </fill>
    </dxf>
    <dxf>
      <font>
        <color rgb="FFEAEAEA"/>
      </font>
      <fill>
        <patternFill>
          <bgColor rgb="FFEAEAEA"/>
        </patternFill>
      </fill>
    </dxf>
    <dxf>
      <font>
        <color theme="0"/>
      </font>
    </dxf>
    <dxf>
      <font>
        <color rgb="FFEAEAEA"/>
      </font>
      <fill>
        <patternFill>
          <bgColor rgb="FFEAEAEA"/>
        </patternFill>
      </fill>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rgb="FFEAEAEA"/>
      </font>
      <fill>
        <patternFill>
          <bgColor rgb="FFEAEAEA"/>
        </patternFill>
      </fill>
    </dxf>
    <dxf>
      <font>
        <color rgb="FFEAEAEA"/>
      </font>
      <fill>
        <patternFill>
          <bgColor rgb="FFEAEAEA"/>
        </patternFill>
      </fill>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rgb="FFEAEAEA"/>
      </font>
      <fill>
        <patternFill>
          <bgColor rgb="FFEAEAEA"/>
        </patternFill>
      </fill>
    </dxf>
    <dxf>
      <font>
        <color rgb="FFEAEAEA"/>
      </font>
      <fill>
        <patternFill>
          <bgColor rgb="FFEAEAEA"/>
        </patternFill>
      </fill>
    </dxf>
    <dxf>
      <font>
        <color theme="0"/>
      </font>
    </dxf>
    <dxf>
      <font>
        <color rgb="FFEAEAEA"/>
      </font>
      <fill>
        <patternFill>
          <bgColor rgb="FFEAEAEA"/>
        </patternFill>
      </fill>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rgb="FFEAEAEA"/>
      </font>
      <fill>
        <patternFill>
          <bgColor rgb="FFEAEAEA"/>
        </patternFill>
      </fill>
    </dxf>
    <dxf>
      <font>
        <color rgb="FFEAEAEA"/>
      </font>
      <fill>
        <patternFill>
          <bgColor rgb="FFEAEAEA"/>
        </patternFill>
      </fill>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rgb="FFEAEAEA"/>
      </font>
      <fill>
        <patternFill>
          <bgColor rgb="FFEAEAEA"/>
        </patternFill>
      </fill>
    </dxf>
    <dxf>
      <font>
        <color rgb="FFEAEAEA"/>
      </font>
      <fill>
        <patternFill>
          <bgColor rgb="FFEAEAEA"/>
        </patternFill>
      </fill>
    </dxf>
    <dxf>
      <font>
        <color theme="0"/>
      </font>
    </dxf>
    <dxf>
      <font>
        <color rgb="FFEAEAEA"/>
      </font>
      <fill>
        <patternFill>
          <bgColor rgb="FFEAEAEA"/>
        </patternFill>
      </fill>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rgb="FFEAEAEA"/>
      </font>
      <fill>
        <patternFill>
          <bgColor rgb="FFEAEAEA"/>
        </patternFill>
      </fill>
    </dxf>
    <dxf>
      <font>
        <color rgb="FFEAEAEA"/>
      </font>
      <fill>
        <patternFill>
          <bgColor rgb="FFEAEAEA"/>
        </patternFill>
      </fill>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rgb="FFEAEAEA"/>
      </font>
      <fill>
        <patternFill>
          <bgColor rgb="FFEAEAEA"/>
        </patternFill>
      </fill>
    </dxf>
    <dxf>
      <font>
        <color rgb="FFEAEAEA"/>
      </font>
      <fill>
        <patternFill>
          <bgColor rgb="FFEAEAEA"/>
        </patternFill>
      </fill>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rgb="FFEAEAEA"/>
      </font>
      <fill>
        <patternFill>
          <bgColor rgb="FFEAEAEA"/>
        </patternFill>
      </fill>
    </dxf>
    <dxf>
      <font>
        <color rgb="FFEAEAEA"/>
      </font>
      <fill>
        <patternFill>
          <bgColor rgb="FFEAEAEA"/>
        </patternFill>
      </fill>
    </dxf>
    <dxf>
      <font>
        <color theme="0" tint="-4.9989318521683403E-2"/>
      </font>
      <fill>
        <patternFill>
          <bgColor theme="0" tint="-4.9989318521683403E-2"/>
        </patternFill>
      </fill>
      <border>
        <vertical/>
        <horizontal/>
      </border>
    </dxf>
    <dxf>
      <font>
        <color theme="0" tint="-4.9989318521683403E-2"/>
      </font>
      <fill>
        <patternFill>
          <bgColor theme="0" tint="-4.9989318521683403E-2"/>
        </patternFill>
      </fill>
      <border>
        <vertical/>
        <horizontal/>
      </border>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theme="0" tint="-4.9989318521683403E-2"/>
      </font>
      <fill>
        <patternFill>
          <bgColor theme="0" tint="-4.9989318521683403E-2"/>
        </patternFill>
      </fill>
      <border>
        <vertical/>
        <horizontal/>
      </border>
    </dxf>
    <dxf>
      <font>
        <color rgb="FFEAEAEA"/>
      </font>
      <fill>
        <patternFill>
          <bgColor rgb="FFEAEAEA"/>
        </patternFill>
      </fill>
    </dxf>
    <dxf>
      <font>
        <color rgb="FFEAEAEA"/>
      </font>
      <fill>
        <patternFill>
          <bgColor rgb="FFEAEAEA"/>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rgb="FFEAEAEA"/>
      </font>
      <fill>
        <patternFill>
          <bgColor rgb="FFEAEAEA"/>
        </patternFill>
      </fill>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theme="0" tint="-4.9989318521683403E-2"/>
      </font>
      <fill>
        <patternFill>
          <bgColor theme="0" tint="-4.9989318521683403E-2"/>
        </patternFill>
      </fill>
      <border>
        <vertical/>
        <horizontal/>
      </border>
    </dxf>
    <dxf>
      <font>
        <color theme="0" tint="-4.9989318521683403E-2"/>
      </font>
      <fill>
        <patternFill>
          <bgColor theme="0" tint="-4.9989318521683403E-2"/>
        </patternFill>
      </fill>
      <border>
        <vertical/>
        <horizontal/>
      </border>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theme="0" tint="-4.9989318521683403E-2"/>
      </font>
      <fill>
        <patternFill>
          <bgColor theme="0" tint="-4.9989318521683403E-2"/>
        </patternFill>
      </fill>
      <border>
        <vertical/>
        <horizontal/>
      </border>
    </dxf>
    <dxf>
      <font>
        <color theme="0" tint="-4.9989318521683403E-2"/>
      </font>
      <fill>
        <patternFill>
          <bgColor theme="0" tint="-4.9989318521683403E-2"/>
        </patternFill>
      </fill>
      <border>
        <vertical/>
        <horizontal/>
      </border>
    </dxf>
    <dxf>
      <font>
        <color theme="0" tint="-4.9989318521683403E-2"/>
      </font>
      <fill>
        <patternFill>
          <bgColor theme="0" tint="-4.9989318521683403E-2"/>
        </patternFill>
      </fill>
      <border>
        <vertical/>
        <horizontal/>
      </border>
    </dxf>
    <dxf>
      <font>
        <color theme="0" tint="-4.9989318521683403E-2"/>
      </font>
      <fill>
        <patternFill>
          <bgColor theme="0" tint="-4.9989318521683403E-2"/>
        </patternFill>
      </fill>
      <border>
        <vertical/>
        <horizontal/>
      </border>
    </dxf>
    <dxf>
      <font>
        <color theme="0" tint="-4.9989318521683403E-2"/>
      </font>
      <fill>
        <patternFill>
          <bgColor theme="0" tint="-4.9989318521683403E-2"/>
        </patternFill>
      </fill>
      <border>
        <vertical/>
        <horizontal/>
      </border>
    </dxf>
    <dxf>
      <font>
        <color theme="0" tint="-4.9989318521683403E-2"/>
      </font>
      <fill>
        <patternFill>
          <bgColor theme="0" tint="-4.9989318521683403E-2"/>
        </patternFill>
      </fill>
      <border>
        <vertical/>
        <horizontal/>
      </border>
    </dxf>
    <dxf>
      <font>
        <color theme="0" tint="-4.9989318521683403E-2"/>
      </font>
      <fill>
        <patternFill>
          <bgColor theme="0" tint="-4.9989318521683403E-2"/>
        </patternFill>
      </fill>
      <border>
        <vertical/>
        <horizontal/>
      </border>
    </dxf>
    <dxf>
      <font>
        <color theme="0" tint="-4.9989318521683403E-2"/>
      </font>
      <fill>
        <patternFill>
          <bgColor theme="0" tint="-4.9989318521683403E-2"/>
        </patternFill>
      </fill>
      <border>
        <vertical/>
        <horizontal/>
      </border>
    </dxf>
    <dxf>
      <font>
        <color theme="0" tint="-4.9989318521683403E-2"/>
      </font>
      <fill>
        <patternFill>
          <bgColor theme="0" tint="-4.9989318521683403E-2"/>
        </patternFill>
      </fill>
      <border>
        <vertical/>
        <horizontal/>
      </border>
    </dxf>
    <dxf>
      <font>
        <color theme="0" tint="-4.9989318521683403E-2"/>
      </font>
      <fill>
        <patternFill>
          <bgColor theme="0" tint="-4.9989318521683403E-2"/>
        </patternFill>
      </fill>
      <border>
        <vertical/>
        <horizontal/>
      </border>
    </dxf>
    <dxf>
      <font>
        <color theme="0" tint="-4.9989318521683403E-2"/>
      </font>
      <fill>
        <patternFill>
          <bgColor theme="0" tint="-4.9989318521683403E-2"/>
        </patternFill>
      </fill>
      <border>
        <vertical/>
        <horizontal/>
      </border>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theme="0" tint="-4.9989318521683403E-2"/>
      </font>
      <fill>
        <patternFill>
          <bgColor theme="0" tint="-4.9989318521683403E-2"/>
        </patternFill>
      </fill>
      <border>
        <vertical/>
        <horizontal/>
      </border>
    </dxf>
    <dxf>
      <font>
        <color theme="0" tint="-4.9989318521683403E-2"/>
      </font>
      <fill>
        <patternFill>
          <bgColor theme="0" tint="-4.9989318521683403E-2"/>
        </patternFill>
      </fill>
      <border>
        <vertical/>
        <horizontal/>
      </border>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rgb="FFEAEAEA"/>
      </font>
      <fill>
        <patternFill>
          <bgColor rgb="FFEAEAEA"/>
        </patternFill>
      </fill>
      <border>
        <vertical/>
        <horizontal/>
      </border>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rgb="FFEAEAEA"/>
      </font>
      <fill>
        <patternFill>
          <bgColor rgb="FFEAEAEA"/>
        </patternFill>
      </fill>
    </dxf>
    <dxf>
      <font>
        <color theme="0" tint="-4.9989318521683403E-2"/>
      </font>
      <fill>
        <patternFill>
          <bgColor theme="0" tint="-4.9989318521683403E-2"/>
        </patternFill>
      </fill>
      <border>
        <vertical/>
        <horizontal/>
      </border>
    </dxf>
    <dxf>
      <font>
        <color theme="0" tint="-4.9989318521683403E-2"/>
      </font>
      <fill>
        <patternFill>
          <bgColor theme="0" tint="-4.9989318521683403E-2"/>
        </patternFill>
      </fill>
      <border>
        <vertical/>
        <horizontal/>
      </border>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theme="0" tint="-4.9989318521683403E-2"/>
      </font>
      <fill>
        <patternFill>
          <bgColor theme="0" tint="-4.9989318521683403E-2"/>
        </patternFill>
      </fill>
      <border>
        <vertical/>
        <horizontal/>
      </border>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theme="0" tint="-4.9989318521683403E-2"/>
      </font>
      <fill>
        <patternFill>
          <bgColor theme="0" tint="-4.9989318521683403E-2"/>
        </patternFill>
      </fill>
      <border>
        <vertical/>
        <horizontal/>
      </border>
    </dxf>
    <dxf>
      <font>
        <color theme="0" tint="-4.9989318521683403E-2"/>
      </font>
      <fill>
        <patternFill>
          <bgColor theme="0" tint="-4.9989318521683403E-2"/>
        </patternFill>
      </fill>
      <border>
        <vertical/>
        <horizontal/>
      </border>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theme="0" tint="-4.9989318521683403E-2"/>
      </font>
      <fill>
        <patternFill>
          <bgColor theme="0" tint="-4.9989318521683403E-2"/>
        </patternFill>
      </fill>
      <border>
        <vertical/>
        <horizontal/>
      </border>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theme="0" tint="-4.9989318521683403E-2"/>
      </font>
      <fill>
        <patternFill>
          <bgColor theme="0" tint="-4.9989318521683403E-2"/>
        </patternFill>
      </fill>
      <border>
        <vertical/>
        <horizontal/>
      </border>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theme="0" tint="-4.9989318521683403E-2"/>
      </font>
      <fill>
        <patternFill>
          <bgColor theme="0" tint="-4.9989318521683403E-2"/>
        </patternFill>
      </fill>
      <border>
        <vertical/>
        <horizontal/>
      </border>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theme="0" tint="-4.9989318521683403E-2"/>
      </font>
      <fill>
        <patternFill>
          <bgColor theme="0" tint="-4.9989318521683403E-2"/>
        </patternFill>
      </fill>
      <border>
        <vertical/>
        <horizontal/>
      </border>
    </dxf>
    <dxf>
      <font>
        <color theme="0" tint="-4.9989318521683403E-2"/>
      </font>
      <fill>
        <patternFill>
          <bgColor theme="0" tint="-4.9989318521683403E-2"/>
        </patternFill>
      </fill>
      <border>
        <vertical/>
        <horizontal/>
      </border>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theme="0" tint="-4.9989318521683403E-2"/>
      </font>
      <fill>
        <patternFill>
          <bgColor theme="0" tint="-4.9989318521683403E-2"/>
        </patternFill>
      </fill>
      <border>
        <vertical/>
        <horizontal/>
      </border>
    </dxf>
    <dxf>
      <font>
        <color theme="0" tint="-4.9989318521683403E-2"/>
      </font>
      <fill>
        <patternFill>
          <bgColor theme="0" tint="-4.9989318521683403E-2"/>
        </patternFill>
      </fill>
      <border>
        <vertical/>
        <horizontal/>
      </border>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theme="0" tint="-4.9989318521683403E-2"/>
      </font>
      <fill>
        <patternFill>
          <bgColor theme="0" tint="-4.9989318521683403E-2"/>
        </patternFill>
      </fill>
      <border>
        <vertical/>
        <horizontal/>
      </border>
    </dxf>
    <dxf>
      <font>
        <color theme="0" tint="-4.9989318521683403E-2"/>
      </font>
      <fill>
        <patternFill>
          <bgColor theme="0" tint="-4.9989318521683403E-2"/>
        </patternFill>
      </fill>
      <border>
        <vertical/>
        <horizontal/>
      </border>
    </dxf>
    <dxf>
      <font>
        <color theme="0" tint="-4.9989318521683403E-2"/>
      </font>
      <fill>
        <patternFill>
          <bgColor theme="0" tint="-4.9989318521683403E-2"/>
        </patternFill>
      </fill>
      <border>
        <vertical/>
        <horizontal/>
      </border>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theme="0" tint="-4.9989318521683403E-2"/>
      </font>
      <fill>
        <patternFill>
          <bgColor theme="0" tint="-4.9989318521683403E-2"/>
        </patternFill>
      </fill>
      <border>
        <vertical/>
        <horizontal/>
      </border>
    </dxf>
    <dxf>
      <font>
        <color theme="0" tint="-4.9989318521683403E-2"/>
      </font>
      <fill>
        <patternFill>
          <bgColor theme="0" tint="-4.9989318521683403E-2"/>
        </patternFill>
      </fill>
      <border>
        <vertical/>
        <horizontal/>
      </border>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theme="0" tint="-4.9989318521683403E-2"/>
      </font>
      <fill>
        <patternFill>
          <bgColor theme="0" tint="-4.9989318521683403E-2"/>
        </patternFill>
      </fill>
      <border>
        <vertical/>
        <horizontal/>
      </border>
    </dxf>
    <dxf>
      <font>
        <color theme="0" tint="-4.9989318521683403E-2"/>
      </font>
      <fill>
        <patternFill>
          <bgColor theme="0" tint="-4.9989318521683403E-2"/>
        </patternFill>
      </fill>
      <border>
        <vertical/>
        <horizontal/>
      </border>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theme="0" tint="-4.9989318521683403E-2"/>
      </font>
      <fill>
        <patternFill>
          <bgColor theme="0" tint="-4.9989318521683403E-2"/>
        </patternFill>
      </fill>
      <border>
        <vertical/>
        <horizontal/>
      </border>
    </dxf>
    <dxf>
      <font>
        <color theme="0" tint="-4.9989318521683403E-2"/>
      </font>
      <fill>
        <patternFill>
          <bgColor theme="0" tint="-4.9989318521683403E-2"/>
        </patternFill>
      </fill>
      <border>
        <vertical/>
        <horizontal/>
      </border>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theme="0" tint="-4.9989318521683403E-2"/>
      </font>
      <fill>
        <patternFill>
          <bgColor theme="0" tint="-4.9989318521683403E-2"/>
        </patternFill>
      </fill>
      <border>
        <vertical/>
        <horizontal/>
      </border>
    </dxf>
    <dxf>
      <font>
        <color theme="0" tint="-4.9989318521683403E-2"/>
      </font>
      <fill>
        <patternFill>
          <bgColor theme="0" tint="-4.9989318521683403E-2"/>
        </patternFill>
      </fill>
      <border>
        <vertical/>
        <horizontal/>
      </border>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theme="0" tint="-4.9989318521683403E-2"/>
      </font>
      <fill>
        <patternFill>
          <bgColor theme="0" tint="-4.9989318521683403E-2"/>
        </patternFill>
      </fill>
      <border>
        <vertical/>
        <horizontal/>
      </border>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theme="0" tint="-4.9989318521683403E-2"/>
      </font>
      <fill>
        <patternFill>
          <bgColor theme="0" tint="-4.9989318521683403E-2"/>
        </patternFill>
      </fill>
      <border>
        <vertical/>
        <horizontal/>
      </border>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font>
    </dxf>
    <dxf>
      <font>
        <color theme="0"/>
      </font>
    </dxf>
    <dxf>
      <font>
        <color rgb="FFEAEAEA"/>
      </font>
      <fill>
        <patternFill>
          <bgColor rgb="FFEAEAEA"/>
        </patternFill>
      </fill>
    </dxf>
    <dxf>
      <font>
        <color rgb="FFEAEAEA"/>
      </font>
      <fill>
        <patternFill>
          <bgColor rgb="FFEAEAEA"/>
        </patternFill>
      </fill>
    </dxf>
    <dxf>
      <font>
        <color theme="0" tint="-4.9989318521683403E-2"/>
      </font>
      <fill>
        <patternFill>
          <bgColor theme="0" tint="-4.9989318521683403E-2"/>
        </patternFill>
      </fill>
      <border>
        <vertical/>
        <horizontal/>
      </border>
    </dxf>
    <dxf>
      <font>
        <color theme="0" tint="-4.9989318521683403E-2"/>
      </font>
      <fill>
        <patternFill>
          <bgColor theme="0" tint="-4.9989318521683403E-2"/>
        </patternFill>
      </fill>
      <border>
        <vertical/>
        <horizontal/>
      </border>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theme="0" tint="-4.9989318521683403E-2"/>
      </font>
      <fill>
        <patternFill>
          <bgColor theme="0" tint="-4.9989318521683403E-2"/>
        </patternFill>
      </fill>
      <border>
        <vertical/>
        <horizontal/>
      </border>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theme="0" tint="-4.9989318521683403E-2"/>
      </font>
      <fill>
        <patternFill>
          <bgColor theme="0" tint="-4.9989318521683403E-2"/>
        </patternFill>
      </fill>
      <border>
        <vertical/>
        <horizontal/>
      </border>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rgb="FFEAEAEA"/>
      </font>
      <fill>
        <patternFill>
          <bgColor rgb="FFEAEAEA"/>
        </patternFill>
      </fill>
      <border>
        <vertical/>
        <horizontal/>
      </border>
    </dxf>
    <dxf>
      <font>
        <color rgb="FFEAEAEA"/>
      </font>
      <fill>
        <patternFill>
          <bgColor rgb="FFEAEAEA"/>
        </patternFill>
      </fill>
      <border>
        <vertical/>
        <horizontal/>
      </border>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alignment horizontal="center" readingOrder="0"/>
    </dxf>
    <dxf>
      <border>
        <vertical style="hair">
          <color theme="9" tint="-0.24994659260841701"/>
        </vertical>
        <horizontal style="hair">
          <color theme="9" tint="-0.24994659260841701"/>
        </horizontal>
      </border>
    </dxf>
    <dxf>
      <border>
        <vertical style="hair">
          <color theme="9" tint="-0.24994659260841701"/>
        </vertical>
        <horizontal style="hair">
          <color theme="9" tint="-0.24994659260841701"/>
        </horizontal>
      </border>
    </dxf>
    <dxf>
      <border>
        <vertical style="hair">
          <color theme="9" tint="-0.24994659260841701"/>
        </vertical>
        <horizontal style="hair">
          <color theme="9" tint="-0.24994659260841701"/>
        </horizontal>
      </border>
    </dxf>
    <dxf>
      <border>
        <vertical style="hair">
          <color theme="9" tint="-0.24994659260841701"/>
        </vertical>
        <horizontal style="hair">
          <color theme="9" tint="-0.24994659260841701"/>
        </horizontal>
      </border>
    </dxf>
    <dxf>
      <border>
        <vertical style="hair">
          <color theme="9" tint="-0.24994659260841701"/>
        </vertical>
        <horizontal style="hair">
          <color theme="9" tint="-0.24994659260841701"/>
        </horizontal>
      </border>
    </dxf>
    <dxf>
      <border>
        <vertical style="hair">
          <color theme="9" tint="-0.24994659260841701"/>
        </vertical>
        <horizontal style="hair">
          <color theme="9" tint="-0.24994659260841701"/>
        </horizontal>
      </border>
    </dxf>
    <dxf>
      <font>
        <color theme="0"/>
      </font>
    </dxf>
    <dxf>
      <font>
        <color theme="0"/>
      </font>
    </dxf>
    <dxf>
      <fill>
        <patternFill>
          <bgColor theme="9" tint="-0.249977111117893"/>
        </patternFill>
      </fill>
    </dxf>
    <dxf>
      <fill>
        <patternFill>
          <bgColor theme="9" tint="-0.249977111117893"/>
        </patternFill>
      </fill>
    </dxf>
    <dxf>
      <alignment horizontal="center" readingOrder="0"/>
    </dxf>
    <dxf>
      <alignment horizontal="center" readingOrder="0"/>
    </dxf>
    <dxf>
      <alignment vertical="center" readingOrder="0"/>
    </dxf>
    <dxf>
      <alignment vertical="center" readingOrder="0"/>
    </dxf>
    <dxf>
      <fill>
        <patternFill patternType="solid">
          <bgColor theme="9" tint="0.59999389629810485"/>
        </patternFill>
      </fill>
    </dxf>
    <dxf>
      <fill>
        <patternFill patternType="solid">
          <bgColor theme="9" tint="0.59999389629810485"/>
        </patternFill>
      </fill>
    </dxf>
    <dxf>
      <font>
        <sz val="9"/>
      </font>
    </dxf>
    <dxf>
      <font>
        <sz val="9"/>
      </font>
    </dxf>
    <dxf>
      <font>
        <sz val="9"/>
      </font>
    </dxf>
    <dxf>
      <font>
        <sz val="9"/>
      </font>
    </dxf>
    <dxf>
      <font>
        <sz val="9"/>
      </font>
    </dxf>
    <dxf>
      <font>
        <sz val="9"/>
      </font>
    </dxf>
    <dxf>
      <fill>
        <patternFill patternType="solid">
          <bgColor theme="8" tint="0.39997558519241921"/>
        </patternFill>
      </fill>
    </dxf>
    <dxf>
      <fill>
        <patternFill patternType="solid">
          <bgColor theme="8" tint="0.79998168889431442"/>
        </patternFill>
      </fill>
    </dxf>
    <dxf>
      <border>
        <right style="hair">
          <color theme="9" tint="-0.24994659260841701"/>
        </right>
        <top style="hair">
          <color theme="9" tint="-0.24994659260841701"/>
        </top>
        <bottom style="hair">
          <color theme="9" tint="-0.24994659260841701"/>
        </bottom>
      </border>
    </dxf>
    <dxf>
      <border>
        <right style="hair">
          <color theme="9" tint="-0.24994659260841701"/>
        </right>
        <top style="hair">
          <color theme="9" tint="-0.24994659260841701"/>
        </top>
        <bottom style="hair">
          <color theme="9" tint="-0.24994659260841701"/>
        </bottom>
      </border>
    </dxf>
    <dxf>
      <border>
        <right style="hair">
          <color theme="9" tint="-0.24994659260841701"/>
        </right>
        <top style="hair">
          <color theme="9" tint="-0.24994659260841701"/>
        </top>
        <bottom style="hair">
          <color theme="9" tint="-0.24994659260841701"/>
        </bottom>
      </border>
    </dxf>
    <dxf>
      <border>
        <right style="hair">
          <color theme="9" tint="-0.24994659260841701"/>
        </right>
        <top style="hair">
          <color theme="9" tint="-0.24994659260841701"/>
        </top>
        <bottom style="hair">
          <color theme="9" tint="-0.24994659260841701"/>
        </bottom>
      </border>
    </dxf>
    <dxf>
      <border>
        <right style="hair">
          <color theme="9" tint="-0.24994659260841701"/>
        </right>
        <top style="hair">
          <color theme="9" tint="-0.24994659260841701"/>
        </top>
        <bottom style="hair">
          <color theme="9" tint="-0.24994659260841701"/>
        </bottom>
      </border>
    </dxf>
    <dxf>
      <font>
        <sz val="9"/>
      </font>
    </dxf>
    <dxf>
      <font>
        <sz val="9"/>
      </font>
    </dxf>
    <dxf>
      <font>
        <sz val="9"/>
      </font>
    </dxf>
    <dxf>
      <font>
        <sz val="9"/>
      </font>
    </dxf>
    <dxf>
      <font>
        <sz val="9"/>
      </font>
    </dxf>
    <dxf>
      <font>
        <color theme="0"/>
      </font>
    </dxf>
    <dxf>
      <fill>
        <patternFill>
          <bgColor theme="9" tint="-0.249977111117893"/>
        </patternFill>
      </fill>
    </dxf>
    <dxf>
      <fill>
        <patternFill>
          <bgColor theme="9" tint="0.59999389629810485"/>
        </patternFill>
      </fill>
    </dxf>
    <dxf>
      <alignment horizontal="center" readingOrder="0"/>
    </dxf>
    <dxf>
      <fill>
        <patternFill>
          <bgColor theme="0"/>
        </patternFill>
      </fill>
    </dxf>
    <dxf>
      <fill>
        <patternFill>
          <bgColor theme="0"/>
        </patternFill>
      </fill>
    </dxf>
    <dxf>
      <alignment horizontal="center" readingOrder="0"/>
    </dxf>
    <dxf>
      <alignment vertical="center" readingOrder="0"/>
    </dxf>
    <dxf>
      <alignment horizontal="center" readingOrder="0"/>
    </dxf>
    <dxf>
      <font>
        <color theme="0"/>
      </font>
    </dxf>
    <dxf>
      <font>
        <color theme="0"/>
      </font>
    </dxf>
    <dxf>
      <fill>
        <patternFill>
          <bgColor theme="9" tint="-0.249977111117893"/>
        </patternFill>
      </fill>
    </dxf>
    <dxf>
      <fill>
        <patternFill>
          <bgColor theme="9" tint="-0.249977111117893"/>
        </patternFill>
      </fill>
    </dxf>
    <dxf>
      <border>
        <vertical/>
      </border>
    </dxf>
    <dxf>
      <border>
        <vertical style="hair">
          <color theme="9" tint="-0.24994659260841701"/>
        </vertical>
        <horizontal style="hair">
          <color theme="9" tint="-0.24994659260841701"/>
        </horizontal>
      </border>
    </dxf>
    <dxf>
      <border>
        <vertical style="hair">
          <color theme="9" tint="-0.24994659260841701"/>
        </vertical>
        <horizontal style="hair">
          <color theme="9" tint="-0.24994659260841701"/>
        </horizontal>
      </border>
    </dxf>
    <dxf>
      <border>
        <vertical style="hair">
          <color theme="9" tint="-0.24994659260841701"/>
        </vertical>
        <horizontal style="hair">
          <color theme="9" tint="-0.24994659260841701"/>
        </horizontal>
      </border>
    </dxf>
    <dxf>
      <fill>
        <patternFill>
          <bgColor theme="0"/>
        </patternFill>
      </fill>
    </dxf>
    <dxf>
      <fill>
        <patternFill>
          <bgColor theme="0"/>
        </patternFill>
      </fill>
    </dxf>
    <dxf>
      <fill>
        <patternFill>
          <bgColor theme="0"/>
        </patternFill>
      </fill>
    </dxf>
    <dxf>
      <fill>
        <patternFill>
          <bgColor theme="0"/>
        </patternFill>
      </fill>
    </dxf>
    <dxf>
      <alignment horizontal="center" readingOrder="0"/>
    </dxf>
    <dxf>
      <alignment horizontal="center" readingOrder="0"/>
    </dxf>
    <dxf>
      <font>
        <sz val="9"/>
      </font>
    </dxf>
    <dxf>
      <font>
        <sz val="9"/>
      </font>
    </dxf>
    <dxf>
      <fill>
        <patternFill patternType="solid">
          <bgColor theme="8" tint="0.39997558519241921"/>
        </patternFill>
      </fill>
    </dxf>
    <dxf>
      <border>
        <right style="hair">
          <color theme="9" tint="-0.24994659260841701"/>
        </right>
        <top style="hair">
          <color theme="9" tint="-0.24994659260841701"/>
        </top>
        <bottom style="hair">
          <color theme="9" tint="-0.24994659260841701"/>
        </bottom>
      </border>
    </dxf>
    <dxf>
      <border>
        <right style="hair">
          <color theme="9" tint="-0.24994659260841701"/>
        </right>
        <top style="hair">
          <color theme="9" tint="-0.24994659260841701"/>
        </top>
        <bottom style="hair">
          <color theme="9" tint="-0.24994659260841701"/>
        </bottom>
      </border>
    </dxf>
    <dxf>
      <border>
        <right style="hair">
          <color theme="9" tint="-0.24994659260841701"/>
        </right>
        <top style="hair">
          <color theme="9" tint="-0.24994659260841701"/>
        </top>
        <bottom style="hair">
          <color theme="9" tint="-0.24994659260841701"/>
        </bottom>
      </border>
    </dxf>
    <dxf>
      <border>
        <right style="hair">
          <color theme="9" tint="-0.24994659260841701"/>
        </right>
        <top style="hair">
          <color theme="9" tint="-0.24994659260841701"/>
        </top>
        <bottom style="hair">
          <color theme="9" tint="-0.24994659260841701"/>
        </bottom>
      </border>
    </dxf>
    <dxf>
      <border>
        <right style="hair">
          <color theme="9" tint="-0.24994659260841701"/>
        </right>
        <top style="hair">
          <color theme="9" tint="-0.24994659260841701"/>
        </top>
        <bottom style="hair">
          <color theme="9" tint="-0.24994659260841701"/>
        </bottom>
      </border>
    </dxf>
    <dxf>
      <font>
        <sz val="9"/>
      </font>
    </dxf>
    <dxf>
      <font>
        <sz val="9"/>
      </font>
    </dxf>
    <dxf>
      <font>
        <sz val="9"/>
      </font>
    </dxf>
    <dxf>
      <font>
        <sz val="9"/>
      </font>
    </dxf>
    <dxf>
      <font>
        <sz val="9"/>
      </font>
    </dxf>
    <dxf>
      <fill>
        <patternFill>
          <bgColor theme="9" tint="0.59999389629810485"/>
        </patternFill>
      </fill>
    </dxf>
    <dxf>
      <fill>
        <patternFill>
          <bgColor theme="9" tint="0.59999389629810485"/>
        </patternFill>
      </fill>
    </dxf>
    <dxf>
      <fill>
        <patternFill>
          <bgColor theme="0"/>
        </patternFill>
      </fill>
    </dxf>
    <dxf>
      <fill>
        <patternFill>
          <bgColor theme="0"/>
        </patternFill>
      </fill>
    </dxf>
    <dxf>
      <fill>
        <patternFill>
          <bgColor theme="0"/>
        </patternFill>
      </fill>
    </dxf>
    <dxf>
      <fill>
        <patternFill>
          <bgColor theme="0"/>
        </patternFill>
      </fill>
    </dxf>
    <dxf>
      <alignment horizontal="center" readingOrder="0"/>
    </dxf>
    <dxf>
      <alignment horizontal="center" readingOrder="0"/>
    </dxf>
    <dxf>
      <alignment vertical="center" readingOrder="0"/>
    </dxf>
    <dxf>
      <alignment vertical="center" readingOrder="0"/>
    </dxf>
    <dxf>
      <alignment horizontal="center" readingOrder="0"/>
    </dxf>
    <dxf>
      <alignment horizontal="center" readingOrder="0"/>
    </dxf>
    <dxf>
      <alignment horizontal="center" readingOrder="0"/>
    </dxf>
    <dxf>
      <alignment horizontal="center" readingOrder="0"/>
    </dxf>
    <dxf>
      <font>
        <color theme="0"/>
      </font>
    </dxf>
    <dxf>
      <font>
        <color theme="0"/>
      </font>
    </dxf>
    <dxf>
      <fill>
        <patternFill>
          <bgColor theme="9" tint="-0.249977111117893"/>
        </patternFill>
      </fill>
    </dxf>
    <dxf>
      <fill>
        <patternFill>
          <bgColor theme="9" tint="-0.249977111117893"/>
        </patternFill>
      </fill>
    </dxf>
    <dxf>
      <border>
        <vertical/>
      </border>
    </dxf>
    <dxf>
      <border>
        <vertical style="hair">
          <color theme="9" tint="-0.24994659260841701"/>
        </vertical>
        <horizontal style="hair">
          <color theme="9" tint="-0.24994659260841701"/>
        </horizontal>
      </border>
    </dxf>
    <dxf>
      <border>
        <vertical style="hair">
          <color theme="9" tint="-0.24994659260841701"/>
        </vertical>
        <horizontal style="hair">
          <color theme="9" tint="-0.24994659260841701"/>
        </horizontal>
      </border>
    </dxf>
    <dxf>
      <border>
        <vertical style="hair">
          <color theme="9" tint="-0.24994659260841701"/>
        </vertical>
        <horizontal style="hair">
          <color theme="9" tint="-0.24994659260841701"/>
        </horizontal>
      </border>
    </dxf>
    <dxf>
      <fill>
        <patternFill>
          <bgColor theme="0"/>
        </patternFill>
      </fill>
    </dxf>
    <dxf>
      <fill>
        <patternFill>
          <bgColor theme="0"/>
        </patternFill>
      </fill>
    </dxf>
    <dxf>
      <fill>
        <patternFill>
          <bgColor theme="0"/>
        </patternFill>
      </fill>
    </dxf>
    <dxf>
      <fill>
        <patternFill>
          <bgColor theme="0"/>
        </patternFill>
      </fill>
    </dxf>
    <dxf>
      <alignment horizontal="center" readingOrder="0"/>
    </dxf>
    <dxf>
      <alignment horizontal="center" readingOrder="0"/>
    </dxf>
    <dxf>
      <font>
        <sz val="9"/>
      </font>
    </dxf>
    <dxf>
      <font>
        <sz val="9"/>
      </font>
    </dxf>
    <dxf>
      <fill>
        <patternFill patternType="solid">
          <bgColor theme="8" tint="0.39997558519241921"/>
        </patternFill>
      </fill>
    </dxf>
    <dxf>
      <border>
        <left style="hair">
          <color theme="9" tint="-0.24994659260841701"/>
        </left>
        <top style="hair">
          <color theme="9" tint="-0.24994659260841701"/>
        </top>
        <bottom style="hair">
          <color theme="9" tint="-0.24994659260841701"/>
        </bottom>
      </border>
    </dxf>
    <dxf>
      <border>
        <left style="hair">
          <color theme="9" tint="-0.24994659260841701"/>
        </left>
        <top style="hair">
          <color theme="9" tint="-0.24994659260841701"/>
        </top>
        <bottom style="hair">
          <color theme="9" tint="-0.24994659260841701"/>
        </bottom>
      </border>
    </dxf>
    <dxf>
      <border>
        <left style="hair">
          <color theme="9" tint="-0.24994659260841701"/>
        </left>
        <top style="hair">
          <color theme="9" tint="-0.24994659260841701"/>
        </top>
        <bottom style="hair">
          <color theme="9" tint="-0.24994659260841701"/>
        </bottom>
      </border>
    </dxf>
    <dxf>
      <border>
        <left style="hair">
          <color theme="9" tint="-0.24994659260841701"/>
        </left>
        <top style="hair">
          <color theme="9" tint="-0.24994659260841701"/>
        </top>
        <bottom style="hair">
          <color theme="9" tint="-0.24994659260841701"/>
        </bottom>
      </border>
    </dxf>
    <dxf>
      <border>
        <left style="hair">
          <color theme="9" tint="-0.24994659260841701"/>
        </left>
        <top style="hair">
          <color theme="9" tint="-0.24994659260841701"/>
        </top>
        <bottom style="hair">
          <color theme="9" tint="-0.24994659260841701"/>
        </bottom>
      </border>
    </dxf>
    <dxf>
      <border>
        <left style="hair">
          <color theme="9" tint="-0.24994659260841701"/>
        </left>
        <top style="hair">
          <color theme="9" tint="-0.24994659260841701"/>
        </top>
        <bottom style="hair">
          <color theme="9" tint="-0.24994659260841701"/>
        </bottom>
      </border>
    </dxf>
    <dxf>
      <border>
        <left style="hair">
          <color theme="9" tint="-0.24994659260841701"/>
        </left>
        <top style="hair">
          <color theme="9" tint="-0.24994659260841701"/>
        </top>
        <bottom style="hair">
          <color theme="9" tint="-0.24994659260841701"/>
        </bottom>
      </border>
    </dxf>
    <dxf>
      <border>
        <left style="hair">
          <color theme="9" tint="-0.24994659260841701"/>
        </left>
        <top style="hair">
          <color theme="9" tint="-0.24994659260841701"/>
        </top>
        <bottom style="hair">
          <color theme="9" tint="-0.24994659260841701"/>
        </bottom>
      </border>
    </dxf>
    <dxf>
      <border>
        <left style="hair">
          <color theme="9" tint="-0.24994659260841701"/>
        </left>
        <top style="hair">
          <color theme="9" tint="-0.24994659260841701"/>
        </top>
        <bottom style="hair">
          <color theme="9" tint="-0.24994659260841701"/>
        </bottom>
      </border>
    </dxf>
    <dxf>
      <border>
        <left style="hair">
          <color theme="9" tint="-0.24994659260841701"/>
        </left>
        <top style="hair">
          <color theme="9" tint="-0.24994659260841701"/>
        </top>
        <bottom style="hair">
          <color theme="9" tint="-0.24994659260841701"/>
        </bottom>
      </border>
    </dxf>
    <dxf>
      <border>
        <left style="hair">
          <color theme="9" tint="-0.24994659260841701"/>
        </left>
        <top style="hair">
          <color theme="9" tint="-0.24994659260841701"/>
        </top>
        <bottom style="hair">
          <color theme="9" tint="-0.24994659260841701"/>
        </bottom>
      </border>
    </dxf>
    <dxf>
      <border>
        <left style="hair">
          <color theme="9" tint="-0.24994659260841701"/>
        </left>
        <top style="hair">
          <color theme="9" tint="-0.24994659260841701"/>
        </top>
        <bottom style="hair">
          <color theme="9" tint="-0.24994659260841701"/>
        </bottom>
      </border>
    </dxf>
    <dxf>
      <border>
        <left style="hair">
          <color theme="9" tint="-0.24994659260841701"/>
        </left>
        <top style="hair">
          <color theme="9" tint="-0.24994659260841701"/>
        </top>
        <bottom style="hair">
          <color theme="9" tint="-0.24994659260841701"/>
        </bottom>
      </border>
    </dxf>
    <dxf>
      <border>
        <left style="hair">
          <color theme="9" tint="-0.24994659260841701"/>
        </left>
        <top style="hair">
          <color theme="9" tint="-0.24994659260841701"/>
        </top>
        <bottom style="hair">
          <color theme="9" tint="-0.24994659260841701"/>
        </bottom>
      </border>
    </dxf>
    <dxf>
      <border>
        <left style="hair">
          <color theme="9" tint="-0.24994659260841701"/>
        </left>
        <top style="hair">
          <color theme="9" tint="-0.24994659260841701"/>
        </top>
        <bottom style="hair">
          <color theme="9" tint="-0.24994659260841701"/>
        </bottom>
      </border>
    </dxf>
    <dxf>
      <border>
        <left style="hair">
          <color theme="9" tint="-0.24994659260841701"/>
        </left>
        <top style="hair">
          <color theme="9" tint="-0.24994659260841701"/>
        </top>
        <bottom style="hair">
          <color theme="9" tint="-0.24994659260841701"/>
        </bottom>
      </border>
    </dxf>
    <dxf>
      <border>
        <left style="hair">
          <color theme="9" tint="-0.24994659260841701"/>
        </left>
        <top style="hair">
          <color theme="9" tint="-0.24994659260841701"/>
        </top>
        <bottom style="hair">
          <color theme="9" tint="-0.24994659260841701"/>
        </bottom>
      </border>
    </dxf>
    <dxf>
      <border>
        <left style="hair">
          <color theme="9" tint="-0.24994659260841701"/>
        </left>
        <top style="hair">
          <color theme="9" tint="-0.24994659260841701"/>
        </top>
        <bottom style="hair">
          <color theme="9" tint="-0.24994659260841701"/>
        </bottom>
      </border>
    </dxf>
    <dxf>
      <border>
        <left style="hair">
          <color theme="9" tint="-0.24994659260841701"/>
        </left>
        <top style="hair">
          <color theme="9" tint="-0.24994659260841701"/>
        </top>
        <bottom style="hair">
          <color theme="9" tint="-0.24994659260841701"/>
        </bottom>
      </border>
    </dxf>
    <dxf>
      <border>
        <left style="hair">
          <color theme="9" tint="-0.24994659260841701"/>
        </left>
        <top style="hair">
          <color theme="9" tint="-0.24994659260841701"/>
        </top>
        <bottom style="hair">
          <color theme="9" tint="-0.24994659260841701"/>
        </bottom>
      </border>
    </dxf>
    <dxf>
      <border>
        <left style="hair">
          <color theme="9" tint="-0.24994659260841701"/>
        </left>
        <top style="hair">
          <color theme="9" tint="-0.24994659260841701"/>
        </top>
        <bottom style="hair">
          <color theme="9" tint="-0.24994659260841701"/>
        </bottom>
      </border>
    </dxf>
    <dxf>
      <border>
        <left style="hair">
          <color theme="9" tint="-0.24994659260841701"/>
        </left>
        <top style="hair">
          <color theme="9" tint="-0.24994659260841701"/>
        </top>
        <bottom style="hair">
          <color theme="9" tint="-0.24994659260841701"/>
        </bottom>
      </border>
    </dxf>
    <dxf>
      <alignment horizontal="center" readingOrder="0"/>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ill>
        <patternFill>
          <bgColor theme="9" tint="0.59999389629810485"/>
        </patternFill>
      </fill>
    </dxf>
    <dxf>
      <font>
        <color theme="0"/>
      </font>
    </dxf>
    <dxf>
      <font>
        <color theme="0"/>
      </font>
    </dxf>
    <dxf>
      <fill>
        <patternFill>
          <bgColor theme="9" tint="-0.249977111117893"/>
        </patternFill>
      </fill>
    </dxf>
    <dxf>
      <fill>
        <patternFill>
          <bgColor theme="9" tint="-0.249977111117893"/>
        </patternFill>
      </fill>
    </dxf>
    <dxf>
      <border>
        <vertical/>
      </border>
    </dxf>
    <dxf>
      <border>
        <vertical style="hair">
          <color theme="9" tint="-0.24994659260841701"/>
        </vertical>
        <horizontal style="hair">
          <color theme="9" tint="-0.24994659260841701"/>
        </horizontal>
      </border>
    </dxf>
    <dxf>
      <border>
        <vertical style="hair">
          <color theme="9" tint="-0.24994659260841701"/>
        </vertical>
        <horizontal style="hair">
          <color theme="9" tint="-0.24994659260841701"/>
        </horizontal>
      </border>
    </dxf>
    <dxf>
      <border>
        <vertical style="hair">
          <color theme="9" tint="-0.24994659260841701"/>
        </vertical>
        <horizontal style="hair">
          <color theme="9" tint="-0.24994659260841701"/>
        </horizontal>
      </border>
    </dxf>
    <dxf>
      <border>
        <vertical style="hair">
          <color theme="9" tint="-0.24994659260841701"/>
        </vertical>
        <horizontal style="hair">
          <color theme="9" tint="-0.24994659260841701"/>
        </horizontal>
      </border>
    </dxf>
    <dxf>
      <border>
        <vertical style="hair">
          <color theme="9" tint="-0.24994659260841701"/>
        </vertical>
        <horizontal style="hair">
          <color theme="9" tint="-0.24994659260841701"/>
        </horizontal>
      </border>
    </dxf>
    <dxf>
      <border>
        <vertical style="hair">
          <color theme="9" tint="-0.24994659260841701"/>
        </vertical>
        <horizontal style="hair">
          <color theme="9" tint="-0.24994659260841701"/>
        </horizontal>
      </border>
    </dxf>
    <dxf>
      <border>
        <vertical style="hair">
          <color theme="9" tint="-0.24994659260841701"/>
        </vertical>
        <horizontal style="hair">
          <color theme="9" tint="-0.24994659260841701"/>
        </horizontal>
      </border>
    </dxf>
    <dxf>
      <border>
        <vertical style="hair">
          <color theme="9" tint="-0.24994659260841701"/>
        </vertical>
        <horizontal style="hair">
          <color theme="9" tint="-0.24994659260841701"/>
        </horizontal>
      </border>
    </dxf>
    <dxf>
      <border>
        <vertical style="hair">
          <color theme="9" tint="-0.24994659260841701"/>
        </vertical>
        <horizontal style="hair">
          <color theme="9" tint="-0.24994659260841701"/>
        </horizontal>
      </border>
    </dxf>
    <dxf>
      <border>
        <vertical style="hair">
          <color theme="9" tint="-0.24994659260841701"/>
        </vertical>
        <horizontal style="hair">
          <color theme="9" tint="-0.24994659260841701"/>
        </horizontal>
      </border>
    </dxf>
    <dxf>
      <border>
        <vertical style="hair">
          <color theme="9" tint="-0.24994659260841701"/>
        </vertical>
        <horizontal style="hair">
          <color theme="9" tint="-0.24994659260841701"/>
        </horizontal>
      </border>
    </dxf>
    <dxf>
      <border>
        <vertical style="hair">
          <color theme="9" tint="-0.24994659260841701"/>
        </vertical>
        <horizontal style="hair">
          <color theme="9" tint="-0.24994659260841701"/>
        </horizontal>
      </border>
    </dxf>
    <dxf>
      <border>
        <vertical style="hair">
          <color theme="9" tint="-0.24994659260841701"/>
        </vertical>
        <horizontal style="hair">
          <color theme="9" tint="-0.24994659260841701"/>
        </horizontal>
      </border>
    </dxf>
    <dxf>
      <border>
        <vertical style="hair">
          <color theme="9" tint="-0.24994659260841701"/>
        </vertical>
        <horizontal style="hair">
          <color theme="9" tint="-0.24994659260841701"/>
        </horizontal>
      </border>
    </dxf>
    <dxf>
      <border>
        <vertical style="hair">
          <color theme="9" tint="-0.24994659260841701"/>
        </vertical>
        <horizontal style="hair">
          <color theme="9" tint="-0.24994659260841701"/>
        </horizontal>
      </border>
    </dxf>
    <dxf>
      <border>
        <vertical style="hair">
          <color theme="9" tint="-0.24994659260841701"/>
        </vertical>
        <horizontal style="hair">
          <color theme="9" tint="-0.24994659260841701"/>
        </horizontal>
      </border>
    </dxf>
    <dxf>
      <border>
        <vertical style="hair">
          <color theme="9" tint="-0.24994659260841701"/>
        </vertical>
        <horizontal style="hair">
          <color theme="9" tint="-0.24994659260841701"/>
        </horizontal>
      </border>
    </dxf>
    <dxf>
      <border>
        <vertical style="hair">
          <color theme="9" tint="-0.24994659260841701"/>
        </vertical>
        <horizontal style="hair">
          <color theme="9" tint="-0.24994659260841701"/>
        </horizontal>
      </border>
    </dxf>
    <dxf>
      <border>
        <vertical style="hair">
          <color theme="9" tint="-0.24994659260841701"/>
        </vertical>
        <horizontal style="hair">
          <color theme="9" tint="-0.24994659260841701"/>
        </horizontal>
      </border>
    </dxf>
    <dxf>
      <border>
        <vertical style="hair">
          <color theme="9" tint="-0.24994659260841701"/>
        </vertical>
        <horizontal style="hair">
          <color theme="9" tint="-0.24994659260841701"/>
        </horizontal>
      </border>
    </dxf>
    <dxf>
      <border>
        <vertical style="hair">
          <color theme="9" tint="-0.24994659260841701"/>
        </vertical>
        <horizontal style="hair">
          <color theme="9" tint="-0.24994659260841701"/>
        </horizontal>
      </border>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alignment horizontal="center" readingOrder="0"/>
    </dxf>
    <dxf>
      <alignment horizontal="center" readingOrder="0"/>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ill>
        <patternFill patternType="solid">
          <bgColor theme="8" tint="0.39997558519241921"/>
        </patternFill>
      </fill>
    </dxf>
    <dxf>
      <alignment horizontal="center" readingOrder="0"/>
    </dxf>
    <dxf>
      <border>
        <horizontal/>
      </border>
    </dxf>
    <dxf>
      <fill>
        <patternFill patternType="solid">
          <bgColor theme="0"/>
        </patternFill>
      </fill>
    </dxf>
    <dxf>
      <fill>
        <patternFill patternType="solid">
          <bgColor theme="0"/>
        </patternFill>
      </fill>
    </dxf>
    <dxf>
      <border>
        <horizontal/>
      </border>
    </dxf>
    <dxf>
      <border>
        <vertical style="hair">
          <color theme="9" tint="-0.24994659260841701"/>
        </vertical>
        <horizontal style="hair">
          <color theme="9" tint="-0.24994659260841701"/>
        </horizontal>
      </border>
    </dxf>
    <dxf>
      <border>
        <vertical style="hair">
          <color theme="9" tint="-0.24994659260841701"/>
        </vertical>
        <horizontal style="hair">
          <color theme="9" tint="-0.24994659260841701"/>
        </horizontal>
      </border>
    </dxf>
    <dxf>
      <border>
        <vertical style="hair">
          <color theme="9" tint="-0.24994659260841701"/>
        </vertical>
        <horizontal style="hair">
          <color theme="9" tint="-0.24994659260841701"/>
        </horizontal>
      </border>
    </dxf>
    <dxf>
      <border>
        <vertical style="hair">
          <color theme="9" tint="-0.24994659260841701"/>
        </vertical>
        <horizontal style="hair">
          <color theme="9" tint="-0.24994659260841701"/>
        </horizontal>
      </border>
    </dxf>
    <dxf>
      <border>
        <vertical style="hair">
          <color theme="9" tint="-0.24994659260841701"/>
        </vertical>
        <horizontal style="hair">
          <color theme="9" tint="-0.24994659260841701"/>
        </horizontal>
      </border>
    </dxf>
    <dxf>
      <border>
        <vertical style="hair">
          <color theme="9" tint="-0.24994659260841701"/>
        </vertical>
        <horizontal style="hair">
          <color theme="9" tint="-0.24994659260841701"/>
        </horizontal>
      </border>
    </dxf>
    <dxf>
      <border>
        <vertical style="hair">
          <color theme="9" tint="-0.24994659260841701"/>
        </vertical>
        <horizontal style="hair">
          <color theme="9" tint="-0.24994659260841701"/>
        </horizontal>
      </border>
    </dxf>
    <dxf>
      <border>
        <vertical style="hair">
          <color theme="9" tint="-0.24994659260841701"/>
        </vertical>
        <horizontal style="hair">
          <color theme="9" tint="-0.24994659260841701"/>
        </horizontal>
      </border>
    </dxf>
    <dxf>
      <fill>
        <patternFill patternType="solid">
          <bgColor theme="9" tint="0.79998168889431442"/>
        </patternFill>
      </fill>
    </dxf>
    <dxf>
      <fill>
        <patternFill patternType="solid">
          <bgColor theme="9" tint="0.79998168889431442"/>
        </patternFill>
      </fill>
    </dxf>
    <dxf>
      <fill>
        <patternFill patternType="solid">
          <bgColor theme="9" tint="0.79998168889431442"/>
        </patternFill>
      </fill>
    </dxf>
    <dxf>
      <fill>
        <patternFill patternType="solid">
          <bgColor theme="9" tint="0.79998168889431442"/>
        </patternFill>
      </fill>
    </dxf>
    <dxf>
      <font>
        <color theme="0"/>
      </font>
    </dxf>
    <dxf>
      <font>
        <color theme="0"/>
      </font>
    </dxf>
    <dxf>
      <fill>
        <patternFill>
          <bgColor theme="9" tint="-0.249977111117893"/>
        </patternFill>
      </fill>
    </dxf>
    <dxf>
      <fill>
        <patternFill>
          <bgColor theme="9" tint="-0.249977111117893"/>
        </patternFill>
      </fill>
    </dxf>
    <dxf>
      <alignment vertical="center" readingOrder="0"/>
    </dxf>
    <dxf>
      <alignment horizontal="center" readingOrder="0"/>
    </dxf>
    <dxf>
      <fill>
        <patternFill patternType="solid">
          <bgColor theme="9" tint="0.59999389629810485"/>
        </patternFill>
      </fill>
    </dxf>
    <dxf>
      <font>
        <sz val="9"/>
      </font>
    </dxf>
    <dxf>
      <font>
        <sz val="9"/>
      </font>
    </dxf>
    <dxf>
      <font>
        <sz val="9"/>
      </font>
    </dxf>
    <dxf>
      <font>
        <sz val="9"/>
      </font>
    </dxf>
    <dxf>
      <font>
        <sz val="9"/>
      </font>
    </dxf>
    <dxf>
      <font>
        <sz val="9"/>
      </font>
    </dxf>
    <dxf>
      <font>
        <sz val="9"/>
      </font>
    </dxf>
    <dxf>
      <font>
        <sz val="9"/>
      </font>
    </dxf>
    <dxf>
      <fill>
        <patternFill patternType="solid">
          <bgColor theme="8" tint="0.39997558519241921"/>
        </patternFill>
      </fill>
    </dxf>
    <dxf>
      <border>
        <right style="hair">
          <color theme="9" tint="-0.24994659260841701"/>
        </right>
        <top style="hair">
          <color theme="9" tint="-0.24994659260841701"/>
        </top>
        <bottom style="hair">
          <color theme="9" tint="-0.24994659260841701"/>
        </bottom>
      </border>
    </dxf>
    <dxf>
      <border>
        <right style="hair">
          <color theme="9" tint="-0.24994659260841701"/>
        </right>
        <top style="hair">
          <color theme="9" tint="-0.24994659260841701"/>
        </top>
        <bottom style="hair">
          <color theme="9" tint="-0.24994659260841701"/>
        </bottom>
      </border>
    </dxf>
    <dxf>
      <border>
        <right style="hair">
          <color theme="9" tint="-0.24994659260841701"/>
        </right>
        <top style="hair">
          <color theme="9" tint="-0.24994659260841701"/>
        </top>
        <bottom style="hair">
          <color theme="9" tint="-0.24994659260841701"/>
        </bottom>
      </border>
    </dxf>
    <dxf>
      <border>
        <right style="hair">
          <color theme="9" tint="-0.24994659260841701"/>
        </right>
        <top style="hair">
          <color theme="9" tint="-0.24994659260841701"/>
        </top>
        <bottom style="hair">
          <color theme="9" tint="-0.24994659260841701"/>
        </bottom>
      </border>
    </dxf>
    <dxf>
      <border>
        <right style="hair">
          <color theme="9" tint="-0.24994659260841701"/>
        </right>
        <top style="hair">
          <color theme="9" tint="-0.24994659260841701"/>
        </top>
        <bottom style="hair">
          <color theme="9" tint="-0.24994659260841701"/>
        </bottom>
      </border>
    </dxf>
    <dxf>
      <font>
        <sz val="9"/>
      </font>
    </dxf>
    <dxf>
      <font>
        <sz val="9"/>
      </font>
    </dxf>
    <dxf>
      <font>
        <sz val="9"/>
      </font>
    </dxf>
    <dxf>
      <font>
        <sz val="9"/>
      </font>
    </dxf>
    <dxf>
      <font>
        <sz val="9"/>
      </font>
    </dxf>
    <dxf>
      <fill>
        <patternFill>
          <bgColor theme="9" tint="0.59999389629810485"/>
        </patternFill>
      </fill>
    </dxf>
    <dxf>
      <fill>
        <patternFill>
          <bgColor theme="9" tint="0.59999389629810485"/>
        </patternFill>
      </fill>
    </dxf>
    <dxf>
      <fill>
        <patternFill>
          <bgColor theme="0"/>
        </patternFill>
      </fill>
    </dxf>
    <dxf>
      <fill>
        <patternFill>
          <bgColor theme="0"/>
        </patternFill>
      </fill>
    </dxf>
    <dxf>
      <fill>
        <patternFill>
          <bgColor theme="0"/>
        </patternFill>
      </fill>
    </dxf>
    <dxf>
      <fill>
        <patternFill>
          <bgColor theme="0"/>
        </patternFill>
      </fill>
    </dxf>
    <dxf>
      <alignment horizontal="center" readingOrder="0"/>
    </dxf>
    <dxf>
      <alignment horizontal="center" readingOrder="0"/>
    </dxf>
    <dxf>
      <alignment vertical="center" readingOrder="0"/>
    </dxf>
    <dxf>
      <alignment vertical="center" readingOrder="0"/>
    </dxf>
    <dxf>
      <alignment horizontal="center" readingOrder="0"/>
    </dxf>
    <dxf>
      <alignment horizontal="center" readingOrder="0"/>
    </dxf>
    <dxf>
      <alignment horizontal="center" readingOrder="0"/>
    </dxf>
    <dxf>
      <alignment horizontal="center" readingOrder="0"/>
    </dxf>
    <dxf>
      <font>
        <color theme="0"/>
      </font>
    </dxf>
    <dxf>
      <font>
        <color theme="0"/>
      </font>
    </dxf>
    <dxf>
      <fill>
        <patternFill>
          <bgColor theme="9" tint="-0.249977111117893"/>
        </patternFill>
      </fill>
    </dxf>
    <dxf>
      <fill>
        <patternFill>
          <bgColor theme="9" tint="-0.249977111117893"/>
        </patternFill>
      </fill>
    </dxf>
    <dxf>
      <border>
        <vertical/>
      </border>
    </dxf>
    <dxf>
      <border>
        <vertical style="hair">
          <color theme="9" tint="-0.24994659260841701"/>
        </vertical>
        <horizontal style="hair">
          <color theme="9" tint="-0.24994659260841701"/>
        </horizontal>
      </border>
    </dxf>
    <dxf>
      <border>
        <vertical style="hair">
          <color theme="9" tint="-0.24994659260841701"/>
        </vertical>
        <horizontal style="hair">
          <color theme="9" tint="-0.24994659260841701"/>
        </horizontal>
      </border>
    </dxf>
    <dxf>
      <border>
        <vertical style="hair">
          <color theme="9" tint="-0.24994659260841701"/>
        </vertical>
        <horizontal style="hair">
          <color theme="9" tint="-0.24994659260841701"/>
        </horizontal>
      </border>
    </dxf>
    <dxf>
      <fill>
        <patternFill>
          <bgColor theme="0"/>
        </patternFill>
      </fill>
    </dxf>
    <dxf>
      <fill>
        <patternFill>
          <bgColor theme="0"/>
        </patternFill>
      </fill>
    </dxf>
    <dxf>
      <fill>
        <patternFill>
          <bgColor theme="0"/>
        </patternFill>
      </fill>
    </dxf>
    <dxf>
      <fill>
        <patternFill>
          <bgColor theme="0"/>
        </patternFill>
      </fill>
    </dxf>
    <dxf>
      <alignment horizontal="center" readingOrder="0"/>
    </dxf>
    <dxf>
      <alignment horizontal="center" readingOrder="0"/>
    </dxf>
    <dxf>
      <font>
        <sz val="9"/>
      </font>
    </dxf>
    <dxf>
      <font>
        <sz val="9"/>
      </font>
    </dxf>
    <dxf>
      <fill>
        <patternFill patternType="solid">
          <bgColor theme="8" tint="0.39997558519241921"/>
        </patternFill>
      </fill>
    </dxf>
    <dxf>
      <border>
        <right style="hair">
          <color theme="9" tint="-0.24994659260841701"/>
        </right>
        <top style="hair">
          <color theme="9" tint="-0.24994659260841701"/>
        </top>
        <bottom style="hair">
          <color theme="9" tint="-0.24994659260841701"/>
        </bottom>
      </border>
    </dxf>
    <dxf>
      <border>
        <right style="hair">
          <color theme="9" tint="-0.24994659260841701"/>
        </right>
        <top style="hair">
          <color theme="9" tint="-0.24994659260841701"/>
        </top>
        <bottom style="hair">
          <color theme="9" tint="-0.24994659260841701"/>
        </bottom>
      </border>
    </dxf>
    <dxf>
      <border>
        <right style="hair">
          <color theme="9" tint="-0.24994659260841701"/>
        </right>
        <top style="hair">
          <color theme="9" tint="-0.24994659260841701"/>
        </top>
        <bottom style="hair">
          <color theme="9" tint="-0.24994659260841701"/>
        </bottom>
      </border>
    </dxf>
    <dxf>
      <border>
        <right style="hair">
          <color theme="9" tint="-0.24994659260841701"/>
        </right>
        <top style="hair">
          <color theme="9" tint="-0.24994659260841701"/>
        </top>
        <bottom style="hair">
          <color theme="9" tint="-0.24994659260841701"/>
        </bottom>
      </border>
    </dxf>
    <dxf>
      <border>
        <right style="hair">
          <color theme="9" tint="-0.24994659260841701"/>
        </right>
        <top style="hair">
          <color theme="9" tint="-0.24994659260841701"/>
        </top>
        <bottom style="hair">
          <color theme="9" tint="-0.24994659260841701"/>
        </bottom>
      </border>
    </dxf>
    <dxf>
      <font>
        <sz val="9"/>
      </font>
    </dxf>
    <dxf>
      <font>
        <sz val="9"/>
      </font>
    </dxf>
    <dxf>
      <font>
        <sz val="9"/>
      </font>
    </dxf>
    <dxf>
      <font>
        <sz val="9"/>
      </font>
    </dxf>
    <dxf>
      <font>
        <sz val="9"/>
      </font>
    </dxf>
    <dxf>
      <fill>
        <patternFill>
          <bgColor theme="9" tint="0.59999389629810485"/>
        </patternFill>
      </fill>
    </dxf>
    <dxf>
      <fill>
        <patternFill>
          <bgColor theme="9" tint="0.59999389629810485"/>
        </patternFill>
      </fill>
    </dxf>
    <dxf>
      <fill>
        <patternFill>
          <bgColor theme="0"/>
        </patternFill>
      </fill>
    </dxf>
    <dxf>
      <fill>
        <patternFill>
          <bgColor theme="0"/>
        </patternFill>
      </fill>
    </dxf>
    <dxf>
      <alignment horizontal="center" readingOrder="0"/>
    </dxf>
    <dxf>
      <alignment vertical="center" readingOrder="0"/>
    </dxf>
    <dxf>
      <alignment horizontal="center" readingOrder="0"/>
    </dxf>
    <dxf>
      <alignment horizontal="center" readingOrder="0"/>
    </dxf>
    <dxf>
      <fill>
        <patternFill>
          <bgColor theme="9" tint="0.59999389629810485"/>
        </patternFill>
      </fill>
    </dxf>
    <dxf>
      <font>
        <color theme="0"/>
      </font>
    </dxf>
    <dxf>
      <font>
        <color theme="0"/>
      </font>
    </dxf>
    <dxf>
      <fill>
        <patternFill>
          <bgColor theme="9" tint="-0.249977111117893"/>
        </patternFill>
      </fill>
    </dxf>
    <dxf>
      <fill>
        <patternFill>
          <bgColor theme="9" tint="-0.249977111117893"/>
        </patternFill>
      </fill>
    </dxf>
    <dxf>
      <border>
        <vertical/>
      </border>
    </dxf>
    <dxf>
      <border>
        <vertical style="hair">
          <color theme="9" tint="-0.24994659260841701"/>
        </vertical>
        <horizontal style="hair">
          <color theme="9" tint="-0.24994659260841701"/>
        </horizontal>
      </border>
    </dxf>
    <dxf>
      <border>
        <vertical style="hair">
          <color theme="9" tint="-0.24994659260841701"/>
        </vertical>
        <horizontal style="hair">
          <color theme="9" tint="-0.24994659260841701"/>
        </horizontal>
      </border>
    </dxf>
    <dxf>
      <border>
        <vertical style="hair">
          <color theme="9" tint="-0.24994659260841701"/>
        </vertical>
        <horizontal style="hair">
          <color theme="9" tint="-0.24994659260841701"/>
        </horizontal>
      </border>
    </dxf>
    <dxf>
      <fill>
        <patternFill>
          <bgColor theme="0"/>
        </patternFill>
      </fill>
    </dxf>
    <dxf>
      <fill>
        <patternFill>
          <bgColor theme="0"/>
        </patternFill>
      </fill>
    </dxf>
    <dxf>
      <fill>
        <patternFill>
          <bgColor theme="0"/>
        </patternFill>
      </fill>
    </dxf>
    <dxf>
      <fill>
        <patternFill>
          <bgColor theme="0"/>
        </patternFill>
      </fill>
    </dxf>
    <dxf>
      <alignment horizontal="center" readingOrder="0"/>
    </dxf>
    <dxf>
      <alignment horizontal="center" readingOrder="0"/>
    </dxf>
    <dxf>
      <font>
        <sz val="9"/>
      </font>
    </dxf>
    <dxf>
      <font>
        <sz val="9"/>
      </font>
    </dxf>
    <dxf>
      <fill>
        <patternFill patternType="solid">
          <bgColor theme="8" tint="0.39997558519241921"/>
        </patternFill>
      </fill>
    </dxf>
    <dxf>
      <font>
        <sz val="9"/>
      </font>
    </dxf>
    <dxf>
      <font>
        <sz val="9"/>
      </font>
    </dxf>
    <dxf>
      <font>
        <sz val="9"/>
      </font>
    </dxf>
    <dxf>
      <font>
        <sz val="9"/>
      </font>
    </dxf>
    <dxf>
      <font>
        <sz val="9"/>
      </font>
    </dxf>
    <dxf>
      <font>
        <sz val="9"/>
      </font>
    </dxf>
    <dxf>
      <font>
        <sz val="9"/>
      </font>
    </dxf>
    <dxf>
      <font>
        <sz val="9"/>
      </font>
    </dxf>
    <dxf>
      <fill>
        <patternFill patternType="solid">
          <bgColor theme="8" tint="0.39997558519241921"/>
        </patternFill>
      </fill>
    </dxf>
    <dxf>
      <numFmt numFmtId="165" formatCode="0.0%"/>
    </dxf>
    <dxf>
      <numFmt numFmtId="165" formatCode="0.0%"/>
    </dxf>
    <dxf>
      <alignment horizontal="center" readingOrder="0"/>
    </dxf>
    <dxf>
      <alignment horizontal="center" readingOrder="0"/>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ill>
        <patternFill patternType="solid">
          <bgColor theme="8" tint="0.39997558519241921"/>
        </patternFill>
      </fill>
    </dxf>
    <dxf>
      <font>
        <sz val="9"/>
      </font>
    </dxf>
    <dxf>
      <font>
        <sz val="9"/>
      </font>
    </dxf>
    <dxf>
      <font>
        <sz val="9"/>
      </font>
    </dxf>
    <dxf>
      <font>
        <sz val="9"/>
      </font>
    </dxf>
    <dxf>
      <font>
        <sz val="9"/>
      </font>
    </dxf>
    <dxf>
      <font>
        <sz val="9"/>
      </font>
    </dxf>
    <dxf>
      <font>
        <sz val="9"/>
      </font>
    </dxf>
    <dxf>
      <font>
        <sz val="9"/>
      </font>
    </dxf>
    <dxf>
      <fill>
        <patternFill patternType="solid">
          <bgColor theme="8" tint="0.39997558519241921"/>
        </patternFill>
      </fill>
    </dxf>
    <dxf>
      <numFmt numFmtId="165" formatCode="0.0%"/>
    </dxf>
    <dxf>
      <numFmt numFmtId="165" formatCode="0.0%"/>
    </dxf>
    <dxf>
      <alignment horizontal="center" readingOrder="0"/>
    </dxf>
    <dxf>
      <alignment horizontal="center" readingOrder="0"/>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ill>
        <patternFill patternType="solid">
          <bgColor theme="8" tint="0.39997558519241921"/>
        </patternFill>
      </fill>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9" tint="0.79998168889431442"/>
        </patternFill>
      </fill>
    </dxf>
    <dxf>
      <fill>
        <patternFill patternType="solid">
          <bgColor theme="9" tint="0.79998168889431442"/>
        </patternFill>
      </fill>
    </dxf>
    <dxf>
      <fill>
        <patternFill patternType="solid">
          <bgColor theme="9" tint="0.79998168889431442"/>
        </patternFill>
      </fill>
    </dxf>
    <dxf>
      <fill>
        <patternFill patternType="solid">
          <bgColor theme="9" tint="0.79998168889431442"/>
        </patternFill>
      </fill>
    </dxf>
    <dxf>
      <fill>
        <patternFill patternType="solid">
          <bgColor theme="9" tint="0.79998168889431442"/>
        </patternFill>
      </fill>
    </dxf>
    <dxf>
      <fill>
        <patternFill patternType="solid">
          <bgColor theme="9" tint="0.79998168889431442"/>
        </patternFill>
      </fill>
    </dxf>
    <dxf>
      <fill>
        <patternFill patternType="solid">
          <bgColor theme="9" tint="0.79998168889431442"/>
        </patternFill>
      </fill>
    </dxf>
    <dxf>
      <fill>
        <patternFill patternType="solid">
          <bgColor theme="8" tint="0.39997558519241921"/>
        </patternFill>
      </fill>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ill>
        <patternFill patternType="solid">
          <bgColor theme="8" tint="0.39997558519241921"/>
        </patternFill>
      </fill>
    </dxf>
    <dxf>
      <fill>
        <patternFill patternType="solid">
          <bgColor theme="8" tint="0.79998168889431442"/>
        </patternFill>
      </fill>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alignment horizontal="center" readingOrder="0"/>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ill>
        <patternFill patternType="solid">
          <bgColor theme="8" tint="0.39997558519241921"/>
        </patternFill>
      </fill>
    </dxf>
    <dxf>
      <numFmt numFmtId="165" formatCode="0.0%"/>
    </dxf>
    <dxf>
      <numFmt numFmtId="165" formatCode="0.0%"/>
    </dxf>
    <dxf>
      <alignment horizontal="center" readingOrder="0"/>
    </dxf>
    <dxf>
      <alignment horizontal="center" readingOrder="0"/>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ill>
        <patternFill patternType="solid">
          <bgColor theme="8" tint="0.39997558519241921"/>
        </patternFill>
      </fill>
    </dxf>
    <dxf>
      <font>
        <sz val="9"/>
      </font>
    </dxf>
    <dxf>
      <font>
        <sz val="9"/>
      </font>
    </dxf>
    <dxf>
      <font>
        <sz val="9"/>
      </font>
    </dxf>
    <dxf>
      <font>
        <sz val="9"/>
      </font>
    </dxf>
    <dxf>
      <font>
        <sz val="9"/>
      </font>
    </dxf>
    <dxf>
      <font>
        <sz val="9"/>
      </font>
    </dxf>
    <dxf>
      <fill>
        <patternFill patternType="solid">
          <bgColor theme="8" tint="0.39997558519241921"/>
        </patternFill>
      </fill>
    </dxf>
    <dxf>
      <fill>
        <patternFill patternType="solid">
          <bgColor theme="8" tint="0.79998168889431442"/>
        </patternFill>
      </fill>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ill>
        <patternFill patternType="solid">
          <bgColor theme="8" tint="0.39997558519241921"/>
        </patternFill>
      </fill>
    </dxf>
    <dxf>
      <fill>
        <patternFill patternType="solid">
          <bgColor theme="8" tint="0.79998168889431442"/>
        </patternFill>
      </fill>
    </dxf>
  </dxfs>
  <tableStyles count="0" defaultTableStyle="TableStyleMedium2" defaultPivotStyle="PivotStyleLight16"/>
  <colors>
    <mruColors>
      <color rgb="FF75C4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205" Type="http://schemas.openxmlformats.org/officeDocument/2006/relationships/worksheet" Target="worksheets/sheet205.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16" Type="http://schemas.openxmlformats.org/officeDocument/2006/relationships/sharedStrings" Target="sharedStrings.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206" Type="http://schemas.openxmlformats.org/officeDocument/2006/relationships/worksheet" Target="worksheets/sheet206.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217" Type="http://schemas.openxmlformats.org/officeDocument/2006/relationships/calcChain" Target="calcChain.xml"/><Relationship Id="rId6" Type="http://schemas.openxmlformats.org/officeDocument/2006/relationships/worksheet" Target="worksheets/sheet6.xml"/><Relationship Id="rId23" Type="http://schemas.openxmlformats.org/officeDocument/2006/relationships/worksheet" Target="worksheets/sheet23.xml"/><Relationship Id="rId119" Type="http://schemas.openxmlformats.org/officeDocument/2006/relationships/worksheet" Target="worksheets/sheet119.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93" Type="http://schemas.openxmlformats.org/officeDocument/2006/relationships/worksheet" Target="worksheets/sheet193.xml"/><Relationship Id="rId207" Type="http://schemas.openxmlformats.org/officeDocument/2006/relationships/worksheet" Target="worksheets/sheet207.xml"/><Relationship Id="rId13" Type="http://schemas.openxmlformats.org/officeDocument/2006/relationships/worksheet" Target="worksheets/sheet13.xml"/><Relationship Id="rId109" Type="http://schemas.openxmlformats.org/officeDocument/2006/relationships/worksheet" Target="worksheets/sheet109.xml"/><Relationship Id="rId34" Type="http://schemas.openxmlformats.org/officeDocument/2006/relationships/worksheet" Target="worksheets/sheet34.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20" Type="http://schemas.openxmlformats.org/officeDocument/2006/relationships/worksheet" Target="worksheets/sheet120.xml"/><Relationship Id="rId141" Type="http://schemas.openxmlformats.org/officeDocument/2006/relationships/worksheet" Target="worksheets/sheet141.xml"/><Relationship Id="rId7" Type="http://schemas.openxmlformats.org/officeDocument/2006/relationships/worksheet" Target="worksheets/sheet7.xml"/><Relationship Id="rId162" Type="http://schemas.openxmlformats.org/officeDocument/2006/relationships/worksheet" Target="worksheets/sheet162.xml"/><Relationship Id="rId183" Type="http://schemas.openxmlformats.org/officeDocument/2006/relationships/worksheet" Target="worksheets/sheet183.xml"/><Relationship Id="rId24" Type="http://schemas.openxmlformats.org/officeDocument/2006/relationships/worksheet" Target="worksheets/sheet24.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31" Type="http://schemas.openxmlformats.org/officeDocument/2006/relationships/worksheet" Target="worksheets/sheet131.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208" Type="http://schemas.openxmlformats.org/officeDocument/2006/relationships/worksheet" Target="worksheets/sheet208.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worksheet" Target="worksheets/sheet189.xml"/><Relationship Id="rId3" Type="http://schemas.openxmlformats.org/officeDocument/2006/relationships/worksheet" Target="worksheets/sheet3.xml"/><Relationship Id="rId214" Type="http://schemas.openxmlformats.org/officeDocument/2006/relationships/theme" Target="theme/theme1.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worksheet" Target="worksheets/sheet195.xml"/><Relationship Id="rId209" Type="http://schemas.openxmlformats.org/officeDocument/2006/relationships/externalLink" Target="externalLinks/externalLink1.xml"/><Relationship Id="rId190" Type="http://schemas.openxmlformats.org/officeDocument/2006/relationships/worksheet" Target="worksheets/sheet190.xml"/><Relationship Id="rId204" Type="http://schemas.openxmlformats.org/officeDocument/2006/relationships/worksheet" Target="worksheets/sheet204.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10" Type="http://schemas.openxmlformats.org/officeDocument/2006/relationships/externalLink" Target="externalLinks/externalLink2.xml"/><Relationship Id="rId215" Type="http://schemas.openxmlformats.org/officeDocument/2006/relationships/styles" Target="styles.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11" Type="http://schemas.openxmlformats.org/officeDocument/2006/relationships/externalLink" Target="externalLinks/externalLink3.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201" Type="http://schemas.openxmlformats.org/officeDocument/2006/relationships/worksheet" Target="worksheets/sheet201.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12" Type="http://schemas.openxmlformats.org/officeDocument/2006/relationships/externalLink" Target="externalLinks/externalLink4.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202" Type="http://schemas.openxmlformats.org/officeDocument/2006/relationships/worksheet" Target="worksheets/sheet202.xml"/><Relationship Id="rId18" Type="http://schemas.openxmlformats.org/officeDocument/2006/relationships/worksheet" Target="worksheets/sheet18.xml"/><Relationship Id="rId39" Type="http://schemas.openxmlformats.org/officeDocument/2006/relationships/worksheet" Target="worksheets/sheet39.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1" Type="http://schemas.openxmlformats.org/officeDocument/2006/relationships/worksheet" Target="worksheets/sheet71.xml"/><Relationship Id="rId92" Type="http://schemas.openxmlformats.org/officeDocument/2006/relationships/worksheet" Target="worksheets/sheet92.xml"/><Relationship Id="rId213" Type="http://schemas.openxmlformats.org/officeDocument/2006/relationships/pivotCacheDefinition" Target="pivotCache/pivotCacheDefinition1.xml"/><Relationship Id="rId2" Type="http://schemas.openxmlformats.org/officeDocument/2006/relationships/worksheet" Target="worksheets/sheet2.xml"/><Relationship Id="rId29" Type="http://schemas.openxmlformats.org/officeDocument/2006/relationships/worksheet" Target="worksheets/sheet29.xml"/><Relationship Id="rId40" Type="http://schemas.openxmlformats.org/officeDocument/2006/relationships/worksheet" Target="worksheets/sheet40.xml"/><Relationship Id="rId115" Type="http://schemas.openxmlformats.org/officeDocument/2006/relationships/worksheet" Target="worksheets/sheet115.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99" Type="http://schemas.openxmlformats.org/officeDocument/2006/relationships/worksheet" Target="worksheets/sheet199.xml"/><Relationship Id="rId203" Type="http://schemas.openxmlformats.org/officeDocument/2006/relationships/worksheet" Target="worksheets/sheet203.xml"/><Relationship Id="rId19" Type="http://schemas.openxmlformats.org/officeDocument/2006/relationships/worksheet" Target="worksheets/sheet1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cat>
            <c:strRef>
              <c:f>Hoja1!$V$6:$V$7</c:f>
              <c:strCache>
                <c:ptCount val="2"/>
                <c:pt idx="0">
                  <c:v>Plan de acción</c:v>
                </c:pt>
                <c:pt idx="1">
                  <c:v>Otros</c:v>
                </c:pt>
              </c:strCache>
            </c:strRef>
          </c:cat>
          <c:val>
            <c:numRef>
              <c:f>Hoja1!$U$6:$U$7</c:f>
              <c:numCache>
                <c:formatCode>General</c:formatCode>
                <c:ptCount val="2"/>
                <c:pt idx="0">
                  <c:v>106</c:v>
                </c:pt>
                <c:pt idx="1">
                  <c:v>95</c:v>
                </c:pt>
              </c:numCache>
            </c:numRef>
          </c:val>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a:t>Tablero de Control</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s-CO"/>
        </a:p>
      </c:txPr>
    </c:title>
    <c:autoTitleDeleted val="0"/>
    <c:view3D>
      <c:rotX val="30"/>
      <c:rotY val="25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sp3d/>
            </c:spPr>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sp3d/>
            </c:spPr>
          </c:dPt>
          <c:dPt>
            <c:idx val="2"/>
            <c:bubble3D val="0"/>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sp3d/>
            </c:spPr>
          </c:dPt>
          <c:dPt>
            <c:idx val="3"/>
            <c:bubble3D val="0"/>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sp3d/>
            </c:spPr>
          </c:dPt>
          <c:dLbls>
            <c:dLbl>
              <c:idx val="0"/>
              <c:layout>
                <c:manualLayout>
                  <c:x val="-2.5385282165009963E-2"/>
                  <c:y val="-1.5812802570808498E-2"/>
                </c:manualLayout>
              </c:layout>
              <c:showLegendKey val="0"/>
              <c:showVal val="1"/>
              <c:showCatName val="0"/>
              <c:showSerName val="0"/>
              <c:showPercent val="0"/>
              <c:showBubbleSize val="0"/>
              <c:extLst>
                <c:ext xmlns:c15="http://schemas.microsoft.com/office/drawing/2012/chart" uri="{CE6537A1-D6FC-4f65-9D91-7224C49458BB}"/>
              </c:extLst>
            </c:dLbl>
            <c:dLbl>
              <c:idx val="1"/>
              <c:layout>
                <c:manualLayout>
                  <c:x val="-5.5591149388212989E-2"/>
                  <c:y val="0.17385953411051139"/>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4.7709549104724018E-2"/>
                  <c:y val="1.3983901146291246E-2"/>
                </c:manualLayout>
              </c:layout>
              <c:showLegendKey val="0"/>
              <c:showVal val="1"/>
              <c:showCatName val="0"/>
              <c:showSerName val="0"/>
              <c:showPercent val="0"/>
              <c:showBubbleSize val="0"/>
              <c:extLst>
                <c:ext xmlns:c15="http://schemas.microsoft.com/office/drawing/2012/chart" uri="{CE6537A1-D6FC-4f65-9D91-7224C49458BB}"/>
              </c:extLst>
            </c:dLbl>
            <c:dLbl>
              <c:idx val="3"/>
              <c:layout>
                <c:manualLayout>
                  <c:x val="8.1427214255892846E-3"/>
                  <c:y val="6.7032910661621495E-2"/>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CO"/>
              </a:p>
            </c:txPr>
            <c:showLegendKey val="0"/>
            <c:showVal val="1"/>
            <c:showCatName val="0"/>
            <c:showSerName val="0"/>
            <c:showPercent val="0"/>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Hoja1!$AN$35:$AN$38</c:f>
              <c:strCache>
                <c:ptCount val="4"/>
                <c:pt idx="0">
                  <c:v>Misionales</c:v>
                </c:pt>
                <c:pt idx="1">
                  <c:v>Apoyo</c:v>
                </c:pt>
                <c:pt idx="2">
                  <c:v>Estratégicos</c:v>
                </c:pt>
                <c:pt idx="3">
                  <c:v>Evaluación</c:v>
                </c:pt>
              </c:strCache>
            </c:strRef>
          </c:cat>
          <c:val>
            <c:numRef>
              <c:f>Hoja1!$AP$35:$AP$38</c:f>
              <c:numCache>
                <c:formatCode>0.0%</c:formatCode>
                <c:ptCount val="4"/>
                <c:pt idx="0">
                  <c:v>0.41962987021442322</c:v>
                </c:pt>
                <c:pt idx="1">
                  <c:v>0.33415241933383677</c:v>
                </c:pt>
                <c:pt idx="2">
                  <c:v>0.14718866672664299</c:v>
                </c:pt>
                <c:pt idx="3">
                  <c:v>9.9029043725097007E-2</c:v>
                </c:pt>
              </c:numCache>
            </c:numRef>
          </c:val>
        </c:ser>
        <c:dLbls>
          <c:showLegendKey val="0"/>
          <c:showVal val="0"/>
          <c:showCatName val="0"/>
          <c:showSerName val="0"/>
          <c:showPercent val="0"/>
          <c:showBubbleSize val="0"/>
          <c:showLeaderLines val="1"/>
        </c:dLbls>
      </c:pie3D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a:t>Plan de Acción</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s-CO"/>
        </a:p>
      </c:txPr>
    </c:title>
    <c:autoTitleDeleted val="0"/>
    <c:view3D>
      <c:rotX val="30"/>
      <c:rotY val="25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sp3d/>
            </c:spPr>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sp3d/>
            </c:spPr>
          </c:dPt>
          <c:dPt>
            <c:idx val="2"/>
            <c:bubble3D val="0"/>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sp3d/>
            </c:spPr>
          </c:dPt>
          <c:dPt>
            <c:idx val="3"/>
            <c:bubble3D val="0"/>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sp3d/>
            </c:spPr>
          </c:dPt>
          <c:dLbls>
            <c:dLbl>
              <c:idx val="0"/>
              <c:layout>
                <c:manualLayout>
                  <c:x val="1.9727983718962193E-2"/>
                  <c:y val="-4.8668688442490678E-2"/>
                </c:manualLayout>
              </c:layout>
              <c:showLegendKey val="0"/>
              <c:showVal val="1"/>
              <c:showCatName val="0"/>
              <c:showSerName val="0"/>
              <c:showPercent val="0"/>
              <c:showBubbleSize val="0"/>
              <c:extLst>
                <c:ext xmlns:c15="http://schemas.microsoft.com/office/drawing/2012/chart" uri="{CE6537A1-D6FC-4f65-9D91-7224C49458BB}"/>
              </c:extLst>
            </c:dLbl>
            <c:dLbl>
              <c:idx val="1"/>
              <c:layout>
                <c:manualLayout>
                  <c:x val="-9.5910015745581528E-3"/>
                  <c:y val="0.16720558469200378"/>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9.4220559508945423E-2"/>
                  <c:y val="-9.480552000445161E-3"/>
                </c:manualLayout>
              </c:layout>
              <c:showLegendKey val="0"/>
              <c:showVal val="1"/>
              <c:showCatName val="0"/>
              <c:showSerName val="0"/>
              <c:showPercent val="0"/>
              <c:showBubbleSize val="0"/>
              <c:extLst>
                <c:ext xmlns:c15="http://schemas.microsoft.com/office/drawing/2012/chart" uri="{CE6537A1-D6FC-4f65-9D91-7224C49458BB}"/>
              </c:extLst>
            </c:dLbl>
            <c:dLbl>
              <c:idx val="3"/>
              <c:layout>
                <c:manualLayout>
                  <c:x val="-2.0101678174432838E-3"/>
                  <c:y val="5.8080988119748482E-2"/>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CO"/>
              </a:p>
            </c:txPr>
            <c:showLegendKey val="0"/>
            <c:showVal val="1"/>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Hoja1!$AN$35:$AN$38</c:f>
              <c:strCache>
                <c:ptCount val="4"/>
                <c:pt idx="0">
                  <c:v>Misionales</c:v>
                </c:pt>
                <c:pt idx="1">
                  <c:v>Apoyo</c:v>
                </c:pt>
                <c:pt idx="2">
                  <c:v>Estratégicos</c:v>
                </c:pt>
                <c:pt idx="3">
                  <c:v>Evaluación</c:v>
                </c:pt>
              </c:strCache>
            </c:strRef>
          </c:cat>
          <c:val>
            <c:numRef>
              <c:f>Hoja1!$AR$35:$AR$38</c:f>
              <c:numCache>
                <c:formatCode>0.0%</c:formatCode>
                <c:ptCount val="4"/>
                <c:pt idx="0">
                  <c:v>0.3337086903304774</c:v>
                </c:pt>
                <c:pt idx="1">
                  <c:v>0.24949816401468786</c:v>
                </c:pt>
                <c:pt idx="2">
                  <c:v>0.12279069767441861</c:v>
                </c:pt>
                <c:pt idx="3">
                  <c:v>9.4002447980416154E-2</c:v>
                </c:pt>
              </c:numCache>
            </c:numRef>
          </c:val>
        </c:ser>
        <c:dLbls>
          <c:showLegendKey val="0"/>
          <c:showVal val="0"/>
          <c:showCatName val="0"/>
          <c:showSerName val="0"/>
          <c:showPercent val="1"/>
          <c:showBubbleSize val="0"/>
          <c:showLeaderLines val="1"/>
        </c:dLbls>
      </c:pie3D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a:t>Plan Indicativo</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s-CO"/>
        </a:p>
      </c:txPr>
    </c:title>
    <c:autoTitleDeleted val="0"/>
    <c:view3D>
      <c:rotX val="30"/>
      <c:rotY val="25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sp3d/>
            </c:spPr>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sp3d/>
            </c:spPr>
          </c:dPt>
          <c:dPt>
            <c:idx val="2"/>
            <c:bubble3D val="0"/>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sp3d/>
            </c:spPr>
          </c:dPt>
          <c:dPt>
            <c:idx val="3"/>
            <c:bubble3D val="0"/>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sp3d/>
            </c:spPr>
          </c:dPt>
          <c:dLbls>
            <c:dLbl>
              <c:idx val="0"/>
              <c:layout>
                <c:manualLayout>
                  <c:x val="-3.4085486216376679E-2"/>
                  <c:y val="-3.4951275666351346E-2"/>
                </c:manualLayout>
              </c:layout>
              <c:showLegendKey val="0"/>
              <c:showVal val="1"/>
              <c:showCatName val="0"/>
              <c:showSerName val="0"/>
              <c:showPercent val="0"/>
              <c:showBubbleSize val="0"/>
              <c:extLst>
                <c:ext xmlns:c15="http://schemas.microsoft.com/office/drawing/2012/chart" uri="{CE6537A1-D6FC-4f65-9D91-7224C49458BB}"/>
              </c:extLst>
            </c:dLbl>
            <c:dLbl>
              <c:idx val="1"/>
              <c:layout>
                <c:manualLayout>
                  <c:x val="-3.8883067162707105E-2"/>
                  <c:y val="0.12712190821323244"/>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4.2491041856226257E-2"/>
                  <c:y val="1.2603639196483121E-2"/>
                </c:manualLayout>
              </c:layout>
              <c:showLegendKey val="0"/>
              <c:showVal val="1"/>
              <c:showCatName val="0"/>
              <c:showSerName val="0"/>
              <c:showPercent val="0"/>
              <c:showBubbleSize val="0"/>
              <c:extLst>
                <c:ext xmlns:c15="http://schemas.microsoft.com/office/drawing/2012/chart" uri="{CE6537A1-D6FC-4f65-9D91-7224C49458BB}"/>
              </c:extLst>
            </c:dLbl>
            <c:dLbl>
              <c:idx val="3"/>
              <c:layout>
                <c:manualLayout>
                  <c:x val="5.4444614663995576E-2"/>
                  <c:y val="6.0390698903789439E-2"/>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CO"/>
              </a:p>
            </c:txPr>
            <c:showLegendKey val="0"/>
            <c:showVal val="1"/>
            <c:showCatName val="0"/>
            <c:showSerName val="0"/>
            <c:showPercent val="0"/>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Hoja1!$AN$35:$AN$38</c:f>
              <c:strCache>
                <c:ptCount val="4"/>
                <c:pt idx="0">
                  <c:v>Misionales</c:v>
                </c:pt>
                <c:pt idx="1">
                  <c:v>Apoyo</c:v>
                </c:pt>
                <c:pt idx="2">
                  <c:v>Estratégicos</c:v>
                </c:pt>
                <c:pt idx="3">
                  <c:v>Evaluación</c:v>
                </c:pt>
              </c:strCache>
            </c:strRef>
          </c:cat>
          <c:val>
            <c:numRef>
              <c:f>Hoja1!$AT$35:$AT$38</c:f>
              <c:numCache>
                <c:formatCode>0.0%</c:formatCode>
                <c:ptCount val="4"/>
                <c:pt idx="0">
                  <c:v>0.26673194614443085</c:v>
                </c:pt>
                <c:pt idx="1">
                  <c:v>0.13317013463892291</c:v>
                </c:pt>
                <c:pt idx="2">
                  <c:v>8.7441860465116275E-2</c:v>
                </c:pt>
                <c:pt idx="3">
                  <c:v>6.6095471236230108E-2</c:v>
                </c:pt>
              </c:numCache>
            </c:numRef>
          </c:val>
        </c:ser>
        <c:dLbls>
          <c:showLegendKey val="0"/>
          <c:showVal val="0"/>
          <c:showCatName val="0"/>
          <c:showSerName val="0"/>
          <c:showPercent val="0"/>
          <c:showBubbleSize val="0"/>
          <c:showLeaderLines val="1"/>
        </c:dLbls>
      </c:pie3D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Comportamiento Áreas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3824132102811823"/>
          <c:y val="7.1952191235059762E-2"/>
          <c:w val="0.57090932946310247"/>
          <c:h val="0.85702878773619429"/>
        </c:manualLayout>
      </c:layout>
      <c:bar3DChart>
        <c:barDir val="bar"/>
        <c:grouping val="clustered"/>
        <c:varyColors val="0"/>
        <c:ser>
          <c:idx val="0"/>
          <c:order val="0"/>
          <c:tx>
            <c:strRef>
              <c:f>Hoja1!$AO$73</c:f>
              <c:strCache>
                <c:ptCount val="1"/>
                <c:pt idx="0">
                  <c:v>Pond tablero</c:v>
                </c:pt>
              </c:strCache>
            </c:strRef>
          </c:tx>
          <c:spPr>
            <a:solidFill>
              <a:schemeClr val="accent1"/>
            </a:solidFill>
            <a:ln>
              <a:noFill/>
            </a:ln>
            <a:effectLst/>
            <a:sp3d/>
          </c:spPr>
          <c:invertIfNegative val="0"/>
          <c:cat>
            <c:strRef>
              <c:f>Hoja1!$AN$74:$AN$97</c:f>
              <c:strCache>
                <c:ptCount val="24"/>
                <c:pt idx="0">
                  <c:v>Primera Infancia </c:v>
                </c:pt>
                <c:pt idx="1">
                  <c:v>Niñez y Adolescencia </c:v>
                </c:pt>
                <c:pt idx="2">
                  <c:v>Familia y Comunidades</c:v>
                </c:pt>
                <c:pt idx="3">
                  <c:v>Nutrición</c:v>
                </c:pt>
                <c:pt idx="4">
                  <c:v>Protección</c:v>
                </c:pt>
                <c:pt idx="5">
                  <c:v>Dirección Administrativa</c:v>
                </c:pt>
                <c:pt idx="6">
                  <c:v>Abastecimiento</c:v>
                </c:pt>
                <c:pt idx="7">
                  <c:v>Contratación</c:v>
                </c:pt>
                <c:pt idx="8">
                  <c:v>Gestión Humana</c:v>
                </c:pt>
                <c:pt idx="9">
                  <c:v>Dirección Financiera </c:v>
                </c:pt>
                <c:pt idx="10">
                  <c:v>Control Interno Disciplinario</c:v>
                </c:pt>
                <c:pt idx="11">
                  <c:v>Jurídica</c:v>
                </c:pt>
                <c:pt idx="12">
                  <c:v>Gestión Regional</c:v>
                </c:pt>
                <c:pt idx="13">
                  <c:v>Cooperación y Convenios </c:v>
                </c:pt>
                <c:pt idx="14">
                  <c:v>Servicio y Atención</c:v>
                </c:pt>
                <c:pt idx="15">
                  <c:v>Información y Tecnología </c:v>
                </c:pt>
                <c:pt idx="16">
                  <c:v>Comunicaciones</c:v>
                </c:pt>
                <c:pt idx="17">
                  <c:v>Programación</c:v>
                </c:pt>
                <c:pt idx="18">
                  <c:v>Subdirección General</c:v>
                </c:pt>
                <c:pt idx="19">
                  <c:v>Mejoramiento Organizacional</c:v>
                </c:pt>
                <c:pt idx="20">
                  <c:v>SNBF</c:v>
                </c:pt>
                <c:pt idx="21">
                  <c:v>Control Interno</c:v>
                </c:pt>
                <c:pt idx="22">
                  <c:v>Monitoreo y Evaluación </c:v>
                </c:pt>
                <c:pt idx="23">
                  <c:v>Aseguramiento a la calidad</c:v>
                </c:pt>
              </c:strCache>
            </c:strRef>
          </c:cat>
          <c:val>
            <c:numRef>
              <c:f>Hoja1!$AO$74:$AO$97</c:f>
              <c:numCache>
                <c:formatCode>0.0%</c:formatCode>
                <c:ptCount val="24"/>
                <c:pt idx="0">
                  <c:v>9.1750805585392045E-2</c:v>
                </c:pt>
                <c:pt idx="1">
                  <c:v>5.9120225813703693E-2</c:v>
                </c:pt>
                <c:pt idx="2">
                  <c:v>3.5789973272050565E-2</c:v>
                </c:pt>
                <c:pt idx="3">
                  <c:v>9.6424222743509314E-2</c:v>
                </c:pt>
                <c:pt idx="4">
                  <c:v>0.141305604694309</c:v>
                </c:pt>
                <c:pt idx="5">
                  <c:v>7.6478405315614603E-2</c:v>
                </c:pt>
                <c:pt idx="6">
                  <c:v>2.7194609901376825E-2</c:v>
                </c:pt>
                <c:pt idx="7">
                  <c:v>1.8604651162790697E-2</c:v>
                </c:pt>
                <c:pt idx="8">
                  <c:v>3.2838589981447126E-2</c:v>
                </c:pt>
                <c:pt idx="9">
                  <c:v>1.4582560296846011E-2</c:v>
                </c:pt>
                <c:pt idx="10">
                  <c:v>1.0352504638218924E-2</c:v>
                </c:pt>
                <c:pt idx="11">
                  <c:v>1.0352504638218924E-2</c:v>
                </c:pt>
                <c:pt idx="12">
                  <c:v>1.8604651162790697E-2</c:v>
                </c:pt>
                <c:pt idx="13">
                  <c:v>2.600917879113368E-2</c:v>
                </c:pt>
                <c:pt idx="14">
                  <c:v>3.2556413685981792E-2</c:v>
                </c:pt>
                <c:pt idx="15">
                  <c:v>3.4374595504163608E-2</c:v>
                </c:pt>
                <c:pt idx="16">
                  <c:v>2.8250193590288013E-2</c:v>
                </c:pt>
                <c:pt idx="17">
                  <c:v>3.7799542650040985E-2</c:v>
                </c:pt>
                <c:pt idx="18">
                  <c:v>1.8181818181818186E-3</c:v>
                </c:pt>
                <c:pt idx="19">
                  <c:v>4.892005004961817E-2</c:v>
                </c:pt>
                <c:pt idx="20">
                  <c:v>5.703844328429046E-2</c:v>
                </c:pt>
                <c:pt idx="21">
                  <c:v>3.7209302325581395E-2</c:v>
                </c:pt>
                <c:pt idx="22">
                  <c:v>3.2767830176468053E-2</c:v>
                </c:pt>
                <c:pt idx="23">
                  <c:v>2.9856958917983574E-2</c:v>
                </c:pt>
              </c:numCache>
            </c:numRef>
          </c:val>
        </c:ser>
        <c:ser>
          <c:idx val="1"/>
          <c:order val="1"/>
          <c:tx>
            <c:strRef>
              <c:f>Hoja1!$AP$73</c:f>
              <c:strCache>
                <c:ptCount val="1"/>
                <c:pt idx="0">
                  <c:v>Pond PA</c:v>
                </c:pt>
              </c:strCache>
            </c:strRef>
          </c:tx>
          <c:spPr>
            <a:solidFill>
              <a:schemeClr val="accent2"/>
            </a:solidFill>
            <a:ln>
              <a:noFill/>
            </a:ln>
            <a:effectLst/>
            <a:sp3d/>
          </c:spPr>
          <c:invertIfNegative val="0"/>
          <c:cat>
            <c:strRef>
              <c:f>Hoja1!$AN$74:$AN$97</c:f>
              <c:strCache>
                <c:ptCount val="24"/>
                <c:pt idx="0">
                  <c:v>Primera Infancia </c:v>
                </c:pt>
                <c:pt idx="1">
                  <c:v>Niñez y Adolescencia </c:v>
                </c:pt>
                <c:pt idx="2">
                  <c:v>Familia y Comunidades</c:v>
                </c:pt>
                <c:pt idx="3">
                  <c:v>Nutrición</c:v>
                </c:pt>
                <c:pt idx="4">
                  <c:v>Protección</c:v>
                </c:pt>
                <c:pt idx="5">
                  <c:v>Dirección Administrativa</c:v>
                </c:pt>
                <c:pt idx="6">
                  <c:v>Abastecimiento</c:v>
                </c:pt>
                <c:pt idx="7">
                  <c:v>Contratación</c:v>
                </c:pt>
                <c:pt idx="8">
                  <c:v>Gestión Humana</c:v>
                </c:pt>
                <c:pt idx="9">
                  <c:v>Dirección Financiera </c:v>
                </c:pt>
                <c:pt idx="10">
                  <c:v>Control Interno Disciplinario</c:v>
                </c:pt>
                <c:pt idx="11">
                  <c:v>Jurídica</c:v>
                </c:pt>
                <c:pt idx="12">
                  <c:v>Gestión Regional</c:v>
                </c:pt>
                <c:pt idx="13">
                  <c:v>Cooperación y Convenios </c:v>
                </c:pt>
                <c:pt idx="14">
                  <c:v>Servicio y Atención</c:v>
                </c:pt>
                <c:pt idx="15">
                  <c:v>Información y Tecnología </c:v>
                </c:pt>
                <c:pt idx="16">
                  <c:v>Comunicaciones</c:v>
                </c:pt>
                <c:pt idx="17">
                  <c:v>Programación</c:v>
                </c:pt>
                <c:pt idx="18">
                  <c:v>Subdirección General</c:v>
                </c:pt>
                <c:pt idx="19">
                  <c:v>Mejoramiento Organizacional</c:v>
                </c:pt>
                <c:pt idx="20">
                  <c:v>SNBF</c:v>
                </c:pt>
                <c:pt idx="21">
                  <c:v>Control Interno</c:v>
                </c:pt>
                <c:pt idx="22">
                  <c:v>Monitoreo y Evaluación </c:v>
                </c:pt>
                <c:pt idx="23">
                  <c:v>Aseguramiento a la calidad</c:v>
                </c:pt>
              </c:strCache>
            </c:strRef>
          </c:cat>
          <c:val>
            <c:numRef>
              <c:f>Hoja1!$AP$74:$AP$97</c:f>
              <c:numCache>
                <c:formatCode>0.0%</c:formatCode>
                <c:ptCount val="24"/>
                <c:pt idx="0">
                  <c:v>7.2344497607655517E-2</c:v>
                </c:pt>
                <c:pt idx="1">
                  <c:v>5.1810392789584957E-2</c:v>
                </c:pt>
                <c:pt idx="2">
                  <c:v>3.4565483476132197E-2</c:v>
                </c:pt>
                <c:pt idx="3">
                  <c:v>7.3381551129409153E-2</c:v>
                </c:pt>
                <c:pt idx="4">
                  <c:v>0.10490486257928119</c:v>
                </c:pt>
                <c:pt idx="5">
                  <c:v>4.9725158562367866E-2</c:v>
                </c:pt>
                <c:pt idx="6">
                  <c:v>2.2296650717703353E-2</c:v>
                </c:pt>
                <c:pt idx="7">
                  <c:v>1.8604651162790697E-2</c:v>
                </c:pt>
                <c:pt idx="8">
                  <c:v>2.1818181818181816E-2</c:v>
                </c:pt>
                <c:pt idx="9">
                  <c:v>1.0909090909090908E-2</c:v>
                </c:pt>
                <c:pt idx="10">
                  <c:v>5.4545454545454541E-3</c:v>
                </c:pt>
                <c:pt idx="11">
                  <c:v>5.4545454545454541E-3</c:v>
                </c:pt>
                <c:pt idx="12">
                  <c:v>1.8604651162790697E-2</c:v>
                </c:pt>
                <c:pt idx="13">
                  <c:v>2.4784688995215312E-2</c:v>
                </c:pt>
                <c:pt idx="14">
                  <c:v>2.4059196617336152E-2</c:v>
                </c:pt>
                <c:pt idx="15">
                  <c:v>1.8604651162790697E-2</c:v>
                </c:pt>
                <c:pt idx="16">
                  <c:v>2.7025703794369645E-2</c:v>
                </c:pt>
                <c:pt idx="17">
                  <c:v>3.6575052854122624E-2</c:v>
                </c:pt>
                <c:pt idx="18">
                  <c:v>0</c:v>
                </c:pt>
                <c:pt idx="19">
                  <c:v>2.9513742071881607E-2</c:v>
                </c:pt>
                <c:pt idx="20">
                  <c:v>5.5813953488372092E-2</c:v>
                </c:pt>
                <c:pt idx="21">
                  <c:v>3.7209302325581395E-2</c:v>
                </c:pt>
                <c:pt idx="22">
                  <c:v>2.7906976744186046E-2</c:v>
                </c:pt>
                <c:pt idx="23">
                  <c:v>2.8632469122065206E-2</c:v>
                </c:pt>
              </c:numCache>
            </c:numRef>
          </c:val>
        </c:ser>
        <c:ser>
          <c:idx val="2"/>
          <c:order val="2"/>
          <c:tx>
            <c:strRef>
              <c:f>Hoja1!$AQ$73</c:f>
              <c:strCache>
                <c:ptCount val="1"/>
                <c:pt idx="0">
                  <c:v>Pond PI</c:v>
                </c:pt>
              </c:strCache>
            </c:strRef>
          </c:tx>
          <c:spPr>
            <a:solidFill>
              <a:schemeClr val="accent3"/>
            </a:solidFill>
            <a:ln>
              <a:noFill/>
            </a:ln>
            <a:effectLst/>
            <a:sp3d/>
          </c:spPr>
          <c:invertIfNegative val="0"/>
          <c:cat>
            <c:strRef>
              <c:f>Hoja1!$AN$74:$AN$97</c:f>
              <c:strCache>
                <c:ptCount val="24"/>
                <c:pt idx="0">
                  <c:v>Primera Infancia </c:v>
                </c:pt>
                <c:pt idx="1">
                  <c:v>Niñez y Adolescencia </c:v>
                </c:pt>
                <c:pt idx="2">
                  <c:v>Familia y Comunidades</c:v>
                </c:pt>
                <c:pt idx="3">
                  <c:v>Nutrición</c:v>
                </c:pt>
                <c:pt idx="4">
                  <c:v>Protección</c:v>
                </c:pt>
                <c:pt idx="5">
                  <c:v>Dirección Administrativa</c:v>
                </c:pt>
                <c:pt idx="6">
                  <c:v>Abastecimiento</c:v>
                </c:pt>
                <c:pt idx="7">
                  <c:v>Contratación</c:v>
                </c:pt>
                <c:pt idx="8">
                  <c:v>Gestión Humana</c:v>
                </c:pt>
                <c:pt idx="9">
                  <c:v>Dirección Financiera </c:v>
                </c:pt>
                <c:pt idx="10">
                  <c:v>Control Interno Disciplinario</c:v>
                </c:pt>
                <c:pt idx="11">
                  <c:v>Jurídica</c:v>
                </c:pt>
                <c:pt idx="12">
                  <c:v>Gestión Regional</c:v>
                </c:pt>
                <c:pt idx="13">
                  <c:v>Cooperación y Convenios </c:v>
                </c:pt>
                <c:pt idx="14">
                  <c:v>Servicio y Atención</c:v>
                </c:pt>
                <c:pt idx="15">
                  <c:v>Información y Tecnología </c:v>
                </c:pt>
                <c:pt idx="16">
                  <c:v>Comunicaciones</c:v>
                </c:pt>
                <c:pt idx="17">
                  <c:v>Programación</c:v>
                </c:pt>
                <c:pt idx="18">
                  <c:v>Subdirección General</c:v>
                </c:pt>
                <c:pt idx="19">
                  <c:v>Mejoramiento Organizacional</c:v>
                </c:pt>
                <c:pt idx="20">
                  <c:v>SNBF</c:v>
                </c:pt>
                <c:pt idx="21">
                  <c:v>Control Interno</c:v>
                </c:pt>
                <c:pt idx="22">
                  <c:v>Monitoreo y Evaluación </c:v>
                </c:pt>
                <c:pt idx="23">
                  <c:v>Aseguramiento a la calidad</c:v>
                </c:pt>
              </c:strCache>
            </c:strRef>
          </c:cat>
          <c:val>
            <c:numRef>
              <c:f>Hoja1!$AQ$74:$AQ$97</c:f>
              <c:numCache>
                <c:formatCode>0.0%</c:formatCode>
                <c:ptCount val="24"/>
                <c:pt idx="0">
                  <c:v>7.2344497607655517E-2</c:v>
                </c:pt>
                <c:pt idx="1">
                  <c:v>5.1810392789584957E-2</c:v>
                </c:pt>
                <c:pt idx="2">
                  <c:v>3.4565483476132197E-2</c:v>
                </c:pt>
                <c:pt idx="3">
                  <c:v>5.4776899966618449E-2</c:v>
                </c:pt>
                <c:pt idx="4">
                  <c:v>5.6786469344608875E-2</c:v>
                </c:pt>
                <c:pt idx="5">
                  <c:v>1.0909090909090908E-2</c:v>
                </c:pt>
                <c:pt idx="6">
                  <c:v>1.6842105263157898E-2</c:v>
                </c:pt>
                <c:pt idx="7">
                  <c:v>9.3023255813953487E-3</c:v>
                </c:pt>
                <c:pt idx="8">
                  <c:v>5.4545454545454541E-3</c:v>
                </c:pt>
                <c:pt idx="9">
                  <c:v>1.0909090909090908E-2</c:v>
                </c:pt>
                <c:pt idx="10">
                  <c:v>5.4545454545454541E-3</c:v>
                </c:pt>
                <c:pt idx="11">
                  <c:v>5.4545454545454541E-3</c:v>
                </c:pt>
                <c:pt idx="12">
                  <c:v>9.3023255813953487E-3</c:v>
                </c:pt>
                <c:pt idx="13">
                  <c:v>2.4784688995215312E-2</c:v>
                </c:pt>
                <c:pt idx="14">
                  <c:v>5.4545454545454541E-3</c:v>
                </c:pt>
                <c:pt idx="15">
                  <c:v>9.3023255813953487E-3</c:v>
                </c:pt>
                <c:pt idx="16">
                  <c:v>1.8604651162790697E-2</c:v>
                </c:pt>
                <c:pt idx="17">
                  <c:v>1.0909090909090908E-2</c:v>
                </c:pt>
                <c:pt idx="18">
                  <c:v>0</c:v>
                </c:pt>
                <c:pt idx="19">
                  <c:v>2.0211416490486259E-2</c:v>
                </c:pt>
                <c:pt idx="20">
                  <c:v>5.5813953488372092E-2</c:v>
                </c:pt>
                <c:pt idx="21">
                  <c:v>2.7906976744186046E-2</c:v>
                </c:pt>
                <c:pt idx="22">
                  <c:v>1.8604651162790697E-2</c:v>
                </c:pt>
                <c:pt idx="23">
                  <c:v>1.9330143540669857E-2</c:v>
                </c:pt>
              </c:numCache>
            </c:numRef>
          </c:val>
        </c:ser>
        <c:dLbls>
          <c:showLegendKey val="0"/>
          <c:showVal val="0"/>
          <c:showCatName val="0"/>
          <c:showSerName val="0"/>
          <c:showPercent val="0"/>
          <c:showBubbleSize val="0"/>
        </c:dLbls>
        <c:gapWidth val="79"/>
        <c:gapDepth val="84"/>
        <c:shape val="box"/>
        <c:axId val="-622428240"/>
        <c:axId val="-622424976"/>
        <c:axId val="0"/>
      </c:bar3DChart>
      <c:catAx>
        <c:axId val="-622428240"/>
        <c:scaling>
          <c:orientation val="maxMin"/>
        </c:scaling>
        <c:delete val="0"/>
        <c:axPos val="l"/>
        <c:numFmt formatCode="General" sourceLinked="1"/>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22424976"/>
        <c:crosses val="autoZero"/>
        <c:auto val="1"/>
        <c:lblAlgn val="ctr"/>
        <c:lblOffset val="100"/>
        <c:noMultiLvlLbl val="0"/>
      </c:catAx>
      <c:valAx>
        <c:axId val="-622424976"/>
        <c:scaling>
          <c:orientation val="minMax"/>
        </c:scaling>
        <c:delete val="1"/>
        <c:axPos val="t"/>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crossAx val="-6224282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n-US"/>
              <a:t>Tablero de control 2015 </a:t>
            </a:r>
            <a:r>
              <a:rPr lang="en-US" sz="1000"/>
              <a:t>(197 indicadores)</a:t>
            </a:r>
            <a:endParaRPr lang="en-US"/>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CO"/>
        </a:p>
      </c:txPr>
    </c:title>
    <c:autoTitleDeleted val="0"/>
    <c:view3D>
      <c:rotX val="30"/>
      <c:rotY val="5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4.5279755159756324E-2"/>
          <c:y val="0.33115558471857687"/>
          <c:w val="0.77130849229620357"/>
          <c:h val="0.54238735783027126"/>
        </c:manualLayout>
      </c:layout>
      <c:pie3DChart>
        <c:varyColors val="1"/>
        <c:ser>
          <c:idx val="0"/>
          <c:order val="0"/>
          <c:dPt>
            <c:idx val="0"/>
            <c:bubble3D val="0"/>
            <c:explosion val="1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dPt>
          <c:dPt>
            <c:idx val="1"/>
            <c:bubble3D val="0"/>
            <c:explosion val="5"/>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dPt>
          <c:dPt>
            <c:idx val="2"/>
            <c:bubble3D val="0"/>
            <c:explosion val="9"/>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dPt>
          <c:dLbls>
            <c:dLbl>
              <c:idx val="0"/>
              <c:layout>
                <c:manualLayout>
                  <c:x val="0.14124218094187246"/>
                  <c:y val="-2.1503283705257479E-2"/>
                </c:manualLayout>
              </c:layout>
              <c:tx>
                <c:rich>
                  <a:bodyPr/>
                  <a:lstStyle/>
                  <a:p>
                    <a:fld id="{BC2ACEA0-CB57-46F1-A015-1320F2A39772}" type="CATEGORYNAME">
                      <a:rPr lang="en-US"/>
                      <a:pPr/>
                      <a:t>[NOMBRE DE CATEGORÍA]</a:t>
                    </a:fld>
                    <a:r>
                      <a:rPr lang="en-US" baseline="0"/>
                      <a:t>; </a:t>
                    </a:r>
                    <a:fld id="{F730681A-A971-410E-BE57-98EBDB078483}" type="VALUE">
                      <a:rPr lang="en-US" baseline="0"/>
                      <a:pPr/>
                      <a:t>[VALOR]</a:t>
                    </a:fld>
                    <a:r>
                      <a:rPr lang="en-US" baseline="0"/>
                      <a:t>; </a:t>
                    </a:r>
                  </a:p>
                  <a:p>
                    <a:fld id="{C7D044BC-E333-4FD2-B74C-6024BD7F72DE}" type="PERCENTAGE">
                      <a:rPr lang="en-US" baseline="0"/>
                      <a:pPr/>
                      <a:t>[PORCENTAJE]</a:t>
                    </a:fld>
                    <a:endParaRPr lang="es-CO"/>
                  </a:p>
                </c:rich>
              </c:tx>
              <c:showLegendKey val="0"/>
              <c:showVal val="1"/>
              <c:showCatName val="1"/>
              <c:showSerName val="0"/>
              <c:showPercent val="1"/>
              <c:showBubbleSize val="0"/>
              <c:extLst>
                <c:ext xmlns:c15="http://schemas.microsoft.com/office/drawing/2012/chart" uri="{CE6537A1-D6FC-4f65-9D91-7224C49458BB}">
                  <c15:layout>
                    <c:manualLayout>
                      <c:w val="0.29524865312888521"/>
                      <c:h val="0.20934520739492715"/>
                    </c:manualLayout>
                  </c15:layout>
                  <c15:dlblFieldTable/>
                  <c15:showDataLabelsRange val="0"/>
                </c:ext>
              </c:extLst>
            </c:dLbl>
            <c:dLbl>
              <c:idx val="1"/>
              <c:layout>
                <c:manualLayout>
                  <c:x val="-4.3906386701662296E-2"/>
                  <c:y val="-5.0598631502939861E-2"/>
                </c:manualLayout>
              </c:layout>
              <c:tx>
                <c:rich>
                  <a:bodyPr/>
                  <a:lstStyle/>
                  <a:p>
                    <a:fld id="{74186A9F-478F-4075-8F3C-B19168FF14F0}" type="CATEGORYNAME">
                      <a:rPr lang="en-US"/>
                      <a:pPr/>
                      <a:t>[NOMBRE DE CATEGORÍA]</a:t>
                    </a:fld>
                    <a:r>
                      <a:rPr lang="en-US" baseline="0"/>
                      <a:t>; </a:t>
                    </a:r>
                    <a:fld id="{CB626C5E-BE89-49F5-A516-BE9B562EE4A1}" type="VALUE">
                      <a:rPr lang="en-US" baseline="0"/>
                      <a:pPr/>
                      <a:t>[VALOR]</a:t>
                    </a:fld>
                    <a:r>
                      <a:rPr lang="en-US" baseline="0"/>
                      <a:t>; </a:t>
                    </a:r>
                  </a:p>
                  <a:p>
                    <a:fld id="{E63B9D57-D83A-4524-B3D0-DB4923B37C34}" type="PERCENTAGE">
                      <a:rPr lang="en-US" baseline="0"/>
                      <a:pPr/>
                      <a:t>[PORCENTAJE]</a:t>
                    </a:fld>
                    <a:endParaRPr lang="es-CO"/>
                  </a:p>
                </c:rich>
              </c:tx>
              <c:showLegendKey val="0"/>
              <c:showVal val="1"/>
              <c:showCatName val="1"/>
              <c:showSerName val="0"/>
              <c:showPercent val="1"/>
              <c:showBubbleSize val="0"/>
              <c:extLst>
                <c:ext xmlns:c15="http://schemas.microsoft.com/office/drawing/2012/chart" uri="{CE6537A1-D6FC-4f65-9D91-7224C49458BB}">
                  <c15:layout>
                    <c:manualLayout>
                      <c:w val="0.23289473684210527"/>
                      <c:h val="0.20934520739492715"/>
                    </c:manualLayout>
                  </c15:layout>
                  <c15:dlblFieldTable/>
                  <c15:showDataLabelsRange val="0"/>
                </c:ext>
              </c:extLst>
            </c:dLbl>
            <c:dLbl>
              <c:idx val="2"/>
              <c:layout>
                <c:manualLayout>
                  <c:x val="0.11121119274316651"/>
                  <c:y val="-4.0671640935712731E-2"/>
                </c:manualLayout>
              </c:layout>
              <c:tx>
                <c:rich>
                  <a:bodyPr/>
                  <a:lstStyle/>
                  <a:p>
                    <a:fld id="{8D2E9D68-F87F-4AF4-B11A-270A5E50DB75}" type="CATEGORYNAME">
                      <a:rPr lang="en-US"/>
                      <a:pPr/>
                      <a:t>[NOMBRE DE CATEGORÍA]</a:t>
                    </a:fld>
                    <a:r>
                      <a:rPr lang="en-US" baseline="0"/>
                      <a:t>; </a:t>
                    </a:r>
                    <a:fld id="{0BF80854-E1B0-423F-9A27-DC2B840DD02F}" type="VALUE">
                      <a:rPr lang="en-US" baseline="0"/>
                      <a:pPr/>
                      <a:t>[VALOR]</a:t>
                    </a:fld>
                    <a:r>
                      <a:rPr lang="en-US" baseline="0"/>
                      <a:t>; </a:t>
                    </a:r>
                  </a:p>
                  <a:p>
                    <a:fld id="{A7131251-AF59-4746-83CF-994DB5609BD9}" type="PERCENTAGE">
                      <a:rPr lang="en-US" baseline="0"/>
                      <a:pPr/>
                      <a:t>[PORCENTAJE]</a:t>
                    </a:fld>
                    <a:endParaRPr lang="es-CO"/>
                  </a:p>
                </c:rich>
              </c:tx>
              <c:showLegendKey val="0"/>
              <c:showVal val="1"/>
              <c:showCatName val="1"/>
              <c:showSerName val="0"/>
              <c:showPercent val="1"/>
              <c:showBubbleSize val="0"/>
              <c:extLst>
                <c:ext xmlns:c15="http://schemas.microsoft.com/office/drawing/2012/chart" uri="{CE6537A1-D6FC-4f65-9D91-7224C49458BB}">
                  <c15:dlblFieldTable/>
                  <c15:showDataLabelsRange val="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Estadisticas!$D$50:$F$50</c:f>
              <c:strCache>
                <c:ptCount val="3"/>
                <c:pt idx="0">
                  <c:v>Solo Nacionales</c:v>
                </c:pt>
                <c:pt idx="1">
                  <c:v>Solo Regionales</c:v>
                </c:pt>
                <c:pt idx="2">
                  <c:v>Zonales</c:v>
                </c:pt>
              </c:strCache>
            </c:strRef>
          </c:cat>
          <c:val>
            <c:numRef>
              <c:f>Estadisticas!$D$49:$F$49</c:f>
              <c:numCache>
                <c:formatCode>General</c:formatCode>
                <c:ptCount val="3"/>
                <c:pt idx="0">
                  <c:v>116</c:v>
                </c:pt>
                <c:pt idx="1">
                  <c:v>64</c:v>
                </c:pt>
                <c:pt idx="2">
                  <c:v>15</c:v>
                </c:pt>
              </c:numCache>
            </c:numRef>
          </c:val>
        </c:ser>
        <c:dLbls>
          <c:showLegendKey val="0"/>
          <c:showVal val="0"/>
          <c:showCatName val="0"/>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Tablero de control 2015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view3D>
      <c:rotX val="0"/>
      <c:rotY val="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outerShdw blurRad="50800" dist="38100" dir="2700000" algn="tl" rotWithShape="0">
            <a:prstClr val="black">
              <a:alpha val="40000"/>
            </a:prstClr>
          </a:outerShdw>
        </a:effectLst>
        <a:sp3d/>
      </c:spPr>
    </c:backWall>
    <c:plotArea>
      <c:layout>
        <c:manualLayout>
          <c:layoutTarget val="inner"/>
          <c:xMode val="edge"/>
          <c:yMode val="edge"/>
          <c:x val="0.23840857309193361"/>
          <c:y val="0.13370833333333335"/>
          <c:w val="0.74855148876049737"/>
          <c:h val="0.52761942257217853"/>
        </c:manualLayout>
      </c:layout>
      <c:bar3DChart>
        <c:barDir val="col"/>
        <c:grouping val="stacked"/>
        <c:varyColors val="0"/>
        <c:ser>
          <c:idx val="3"/>
          <c:order val="0"/>
          <c:tx>
            <c:strRef>
              <c:f>Estadisticas!$I$8</c:f>
              <c:strCache>
                <c:ptCount val="1"/>
                <c:pt idx="0">
                  <c:v>Evaluación</c:v>
                </c:pt>
              </c:strCache>
            </c:strRef>
          </c:tx>
          <c:spPr>
            <a:solidFill>
              <a:schemeClr val="accent6">
                <a:lumMod val="60000"/>
              </a:schemeClr>
            </a:solidFill>
            <a:ln>
              <a:noFill/>
            </a:ln>
            <a:effectLst/>
            <a:sp3d/>
          </c:spPr>
          <c:invertIfNegative val="0"/>
          <c:cat>
            <c:strRef>
              <c:f>Estadisticas!$J$3:$L$4</c:f>
              <c:strCache>
                <c:ptCount val="3"/>
                <c:pt idx="0">
                  <c:v>Nacional</c:v>
                </c:pt>
                <c:pt idx="1">
                  <c:v>Regional</c:v>
                </c:pt>
                <c:pt idx="2">
                  <c:v>Zonal</c:v>
                </c:pt>
              </c:strCache>
            </c:strRef>
          </c:cat>
          <c:val>
            <c:numRef>
              <c:f>Estadisticas!$J$8:$L$8</c:f>
              <c:numCache>
                <c:formatCode>General</c:formatCode>
                <c:ptCount val="3"/>
                <c:pt idx="0">
                  <c:v>13</c:v>
                </c:pt>
                <c:pt idx="1">
                  <c:v>1</c:v>
                </c:pt>
                <c:pt idx="2">
                  <c:v>1</c:v>
                </c:pt>
              </c:numCache>
            </c:numRef>
          </c:val>
        </c:ser>
        <c:ser>
          <c:idx val="2"/>
          <c:order val="1"/>
          <c:tx>
            <c:strRef>
              <c:f>Estadisticas!$I$7</c:f>
              <c:strCache>
                <c:ptCount val="1"/>
                <c:pt idx="0">
                  <c:v>Estratégicos</c:v>
                </c:pt>
              </c:strCache>
            </c:strRef>
          </c:tx>
          <c:spPr>
            <a:solidFill>
              <a:schemeClr val="accent4"/>
            </a:solidFill>
            <a:ln>
              <a:noFill/>
            </a:ln>
            <a:effectLst/>
            <a:sp3d/>
          </c:spPr>
          <c:invertIfNegative val="0"/>
          <c:cat>
            <c:strRef>
              <c:f>Estadisticas!$J$3:$L$4</c:f>
              <c:strCache>
                <c:ptCount val="3"/>
                <c:pt idx="0">
                  <c:v>Nacional</c:v>
                </c:pt>
                <c:pt idx="1">
                  <c:v>Regional</c:v>
                </c:pt>
                <c:pt idx="2">
                  <c:v>Zonal</c:v>
                </c:pt>
              </c:strCache>
            </c:strRef>
          </c:cat>
          <c:val>
            <c:numRef>
              <c:f>Estadisticas!$J$7:$L$7</c:f>
              <c:numCache>
                <c:formatCode>General</c:formatCode>
                <c:ptCount val="3"/>
                <c:pt idx="0">
                  <c:v>25</c:v>
                </c:pt>
                <c:pt idx="1">
                  <c:v>7</c:v>
                </c:pt>
                <c:pt idx="2">
                  <c:v>3</c:v>
                </c:pt>
              </c:numCache>
            </c:numRef>
          </c:val>
        </c:ser>
        <c:ser>
          <c:idx val="1"/>
          <c:order val="2"/>
          <c:tx>
            <c:strRef>
              <c:f>Estadisticas!$I$6</c:f>
              <c:strCache>
                <c:ptCount val="1"/>
                <c:pt idx="0">
                  <c:v>Apoyo</c:v>
                </c:pt>
              </c:strCache>
            </c:strRef>
          </c:tx>
          <c:spPr>
            <a:solidFill>
              <a:schemeClr val="accent5"/>
            </a:solidFill>
            <a:ln>
              <a:noFill/>
            </a:ln>
            <a:effectLst/>
            <a:sp3d/>
          </c:spPr>
          <c:invertIfNegative val="0"/>
          <c:cat>
            <c:strRef>
              <c:f>Estadisticas!$J$3:$L$4</c:f>
              <c:strCache>
                <c:ptCount val="3"/>
                <c:pt idx="0">
                  <c:v>Nacional</c:v>
                </c:pt>
                <c:pt idx="1">
                  <c:v>Regional</c:v>
                </c:pt>
                <c:pt idx="2">
                  <c:v>Zonal</c:v>
                </c:pt>
              </c:strCache>
            </c:strRef>
          </c:cat>
          <c:val>
            <c:numRef>
              <c:f>Estadisticas!$J$6:$L$6</c:f>
              <c:numCache>
                <c:formatCode>General</c:formatCode>
                <c:ptCount val="3"/>
                <c:pt idx="0">
                  <c:v>79</c:v>
                </c:pt>
                <c:pt idx="1">
                  <c:v>26</c:v>
                </c:pt>
                <c:pt idx="2">
                  <c:v>3</c:v>
                </c:pt>
              </c:numCache>
            </c:numRef>
          </c:val>
        </c:ser>
        <c:ser>
          <c:idx val="0"/>
          <c:order val="3"/>
          <c:tx>
            <c:strRef>
              <c:f>Estadisticas!$I$5</c:f>
              <c:strCache>
                <c:ptCount val="1"/>
                <c:pt idx="0">
                  <c:v>Misionales</c:v>
                </c:pt>
              </c:strCache>
            </c:strRef>
          </c:tx>
          <c:spPr>
            <a:solidFill>
              <a:schemeClr val="accent6"/>
            </a:solidFill>
            <a:ln>
              <a:noFill/>
            </a:ln>
            <a:effectLst/>
            <a:sp3d/>
          </c:spPr>
          <c:invertIfNegative val="0"/>
          <c:cat>
            <c:strRef>
              <c:f>Estadisticas!$J$3:$L$4</c:f>
              <c:strCache>
                <c:ptCount val="3"/>
                <c:pt idx="0">
                  <c:v>Nacional</c:v>
                </c:pt>
                <c:pt idx="1">
                  <c:v>Regional</c:v>
                </c:pt>
                <c:pt idx="2">
                  <c:v>Zonal</c:v>
                </c:pt>
              </c:strCache>
            </c:strRef>
          </c:cat>
          <c:val>
            <c:numRef>
              <c:f>Estadisticas!$J$5:$L$5</c:f>
              <c:numCache>
                <c:formatCode>General</c:formatCode>
                <c:ptCount val="3"/>
                <c:pt idx="0">
                  <c:v>78</c:v>
                </c:pt>
                <c:pt idx="1">
                  <c:v>45</c:v>
                </c:pt>
                <c:pt idx="2">
                  <c:v>23</c:v>
                </c:pt>
              </c:numCache>
            </c:numRef>
          </c:val>
        </c:ser>
        <c:dLbls>
          <c:showLegendKey val="0"/>
          <c:showVal val="0"/>
          <c:showCatName val="0"/>
          <c:showSerName val="0"/>
          <c:showPercent val="0"/>
          <c:showBubbleSize val="0"/>
        </c:dLbls>
        <c:gapWidth val="150"/>
        <c:shape val="cylinder"/>
        <c:axId val="-774424272"/>
        <c:axId val="-774434064"/>
        <c:axId val="0"/>
      </c:bar3DChart>
      <c:catAx>
        <c:axId val="-77442427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774434064"/>
        <c:crosses val="autoZero"/>
        <c:auto val="1"/>
        <c:lblAlgn val="ctr"/>
        <c:lblOffset val="100"/>
        <c:noMultiLvlLbl val="0"/>
      </c:catAx>
      <c:valAx>
        <c:axId val="-774434064"/>
        <c:scaling>
          <c:orientation val="minMax"/>
        </c:scaling>
        <c:delete val="1"/>
        <c:axPos val="l"/>
        <c:majorGridlines>
          <c:spPr>
            <a:ln w="317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General" sourceLinked="1"/>
        <c:majorTickMark val="none"/>
        <c:minorTickMark val="none"/>
        <c:tickLblPos val="nextTo"/>
        <c:crossAx val="-774424272"/>
        <c:crosses val="autoZero"/>
        <c:crossBetween val="between"/>
      </c:valAx>
      <c:dTable>
        <c:showHorzBorder val="1"/>
        <c:showVertBorder val="1"/>
        <c:showOutline val="0"/>
        <c:showKeys val="1"/>
        <c:spPr>
          <a:noFill/>
          <a:ln w="3175" cap="flat" cmpd="sng" algn="ctr">
            <a:solidFill>
              <a:schemeClr val="bg1">
                <a:lumMod val="85000"/>
              </a:schemeClr>
            </a:solidFill>
            <a:prstDash val="sysDot"/>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Tablero de control 2015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view3D>
      <c:rotX val="0"/>
      <c:rotY val="0"/>
      <c:depthPercent val="100"/>
      <c:rAngAx val="1"/>
    </c:view3D>
    <c:floor>
      <c:thickness val="0"/>
      <c:spPr>
        <a:noFill/>
        <a:ln>
          <a:noFill/>
        </a:ln>
        <a:effectLst/>
        <a:sp3d/>
      </c:spPr>
    </c:floor>
    <c:sideWall>
      <c:thickness val="0"/>
      <c:spPr>
        <a:noFill/>
        <a:ln w="25400">
          <a:noFill/>
        </a:ln>
        <a:effectLst/>
        <a:sp3d/>
      </c:spPr>
    </c:sideWall>
    <c:backWall>
      <c:thickness val="0"/>
      <c:spPr>
        <a:noFill/>
        <a:ln w="25400">
          <a:noFill/>
        </a:ln>
        <a:effectLst/>
        <a:sp3d/>
      </c:spPr>
    </c:backWall>
    <c:plotArea>
      <c:layout>
        <c:manualLayout>
          <c:layoutTarget val="inner"/>
          <c:xMode val="edge"/>
          <c:yMode val="edge"/>
          <c:x val="8.6862096504473178E-3"/>
          <c:y val="0.17141539802952152"/>
          <c:w val="0.99131379034955269"/>
          <c:h val="0.564882993287389"/>
        </c:manualLayout>
      </c:layout>
      <c:bar3DChart>
        <c:barDir val="col"/>
        <c:grouping val="clustered"/>
        <c:varyColors val="0"/>
        <c:ser>
          <c:idx val="0"/>
          <c:order val="0"/>
          <c:tx>
            <c:strRef>
              <c:f>Estadisticas!$AE$4</c:f>
              <c:strCache>
                <c:ptCount val="1"/>
                <c:pt idx="0">
                  <c:v>Valores</c:v>
                </c:pt>
              </c:strCache>
            </c:strRef>
          </c:tx>
          <c:spPr>
            <a:solidFill>
              <a:schemeClr val="accent6"/>
            </a:solidFill>
            <a:ln>
              <a:noFill/>
            </a:ln>
            <a:effectLst/>
            <a:sp3d/>
          </c:spPr>
          <c:invertIfNegative val="0"/>
          <c:cat>
            <c:strRef>
              <c:f>Estadisticas!$AG$3:$AJ$3</c:f>
              <c:strCache>
                <c:ptCount val="4"/>
                <c:pt idx="0">
                  <c:v>Tablero de Control</c:v>
                </c:pt>
                <c:pt idx="1">
                  <c:v>Plan de Acción</c:v>
                </c:pt>
                <c:pt idx="2">
                  <c:v>Plan Indicativo</c:v>
                </c:pt>
                <c:pt idx="3">
                  <c:v>Plan Nal Desarrollo</c:v>
                </c:pt>
              </c:strCache>
            </c:strRef>
          </c:cat>
          <c:val>
            <c:numRef>
              <c:f>Estadisticas!$AG$4:$AJ$4</c:f>
            </c:numRef>
          </c:val>
        </c:ser>
        <c:ser>
          <c:idx val="1"/>
          <c:order val="1"/>
          <c:tx>
            <c:strRef>
              <c:f>Estadisticas!$AE$5</c:f>
              <c:strCache>
                <c:ptCount val="1"/>
                <c:pt idx="0">
                  <c:v>Nacional</c:v>
                </c:pt>
              </c:strCache>
            </c:strRef>
          </c:tx>
          <c:spPr>
            <a:solidFill>
              <a:schemeClr val="accent5"/>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Estadisticas!$AG$3:$AJ$3</c:f>
              <c:strCache>
                <c:ptCount val="4"/>
                <c:pt idx="0">
                  <c:v>Tablero de Control</c:v>
                </c:pt>
                <c:pt idx="1">
                  <c:v>Plan de Acción</c:v>
                </c:pt>
                <c:pt idx="2">
                  <c:v>Plan Indicativo</c:v>
                </c:pt>
                <c:pt idx="3">
                  <c:v>Plan Nal Desarrollo</c:v>
                </c:pt>
              </c:strCache>
            </c:strRef>
          </c:cat>
          <c:val>
            <c:numRef>
              <c:f>Estadisticas!$AG$5:$AJ$5</c:f>
              <c:numCache>
                <c:formatCode>General</c:formatCode>
                <c:ptCount val="4"/>
                <c:pt idx="0">
                  <c:v>196</c:v>
                </c:pt>
                <c:pt idx="1">
                  <c:v>105</c:v>
                </c:pt>
                <c:pt idx="2">
                  <c:v>74</c:v>
                </c:pt>
                <c:pt idx="3">
                  <c:v>11</c:v>
                </c:pt>
              </c:numCache>
            </c:numRef>
          </c:val>
        </c:ser>
        <c:ser>
          <c:idx val="2"/>
          <c:order val="2"/>
          <c:tx>
            <c:strRef>
              <c:f>Estadisticas!$AE$6</c:f>
              <c:strCache>
                <c:ptCount val="1"/>
                <c:pt idx="0">
                  <c:v>Regional</c:v>
                </c:pt>
              </c:strCache>
            </c:strRef>
          </c:tx>
          <c:spPr>
            <a:solidFill>
              <a:schemeClr val="accent4"/>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Estadisticas!$AG$3:$AJ$3</c:f>
              <c:strCache>
                <c:ptCount val="4"/>
                <c:pt idx="0">
                  <c:v>Tablero de Control</c:v>
                </c:pt>
                <c:pt idx="1">
                  <c:v>Plan de Acción</c:v>
                </c:pt>
                <c:pt idx="2">
                  <c:v>Plan Indicativo</c:v>
                </c:pt>
                <c:pt idx="3">
                  <c:v>Plan Nal Desarrollo</c:v>
                </c:pt>
              </c:strCache>
            </c:strRef>
          </c:cat>
          <c:val>
            <c:numRef>
              <c:f>Estadisticas!$AG$6:$AJ$6</c:f>
              <c:numCache>
                <c:formatCode>General</c:formatCode>
                <c:ptCount val="4"/>
                <c:pt idx="0">
                  <c:v>82</c:v>
                </c:pt>
                <c:pt idx="1">
                  <c:v>30</c:v>
                </c:pt>
                <c:pt idx="2">
                  <c:v>18</c:v>
                </c:pt>
                <c:pt idx="3">
                  <c:v>5</c:v>
                </c:pt>
              </c:numCache>
            </c:numRef>
          </c:val>
        </c:ser>
        <c:ser>
          <c:idx val="3"/>
          <c:order val="3"/>
          <c:tx>
            <c:strRef>
              <c:f>Estadisticas!$AE$7</c:f>
              <c:strCache>
                <c:ptCount val="1"/>
                <c:pt idx="0">
                  <c:v>Zonal</c:v>
                </c:pt>
              </c:strCache>
            </c:strRef>
          </c:tx>
          <c:spPr>
            <a:solidFill>
              <a:schemeClr val="accent6">
                <a:lumMod val="60000"/>
              </a:schemeClr>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Estadisticas!$AG$3:$AJ$3</c:f>
              <c:strCache>
                <c:ptCount val="4"/>
                <c:pt idx="0">
                  <c:v>Tablero de Control</c:v>
                </c:pt>
                <c:pt idx="1">
                  <c:v>Plan de Acción</c:v>
                </c:pt>
                <c:pt idx="2">
                  <c:v>Plan Indicativo</c:v>
                </c:pt>
                <c:pt idx="3">
                  <c:v>Plan Nal Desarrollo</c:v>
                </c:pt>
              </c:strCache>
            </c:strRef>
          </c:cat>
          <c:val>
            <c:numRef>
              <c:f>Estadisticas!$AG$7:$AJ$7</c:f>
              <c:numCache>
                <c:formatCode>General</c:formatCode>
                <c:ptCount val="4"/>
                <c:pt idx="0">
                  <c:v>15</c:v>
                </c:pt>
                <c:pt idx="1">
                  <c:v>5</c:v>
                </c:pt>
                <c:pt idx="2">
                  <c:v>1</c:v>
                </c:pt>
                <c:pt idx="3">
                  <c:v>1</c:v>
                </c:pt>
              </c:numCache>
            </c:numRef>
          </c:val>
        </c:ser>
        <c:dLbls>
          <c:showLegendKey val="0"/>
          <c:showVal val="0"/>
          <c:showCatName val="0"/>
          <c:showSerName val="0"/>
          <c:showPercent val="0"/>
          <c:showBubbleSize val="0"/>
        </c:dLbls>
        <c:gapWidth val="150"/>
        <c:shape val="box"/>
        <c:axId val="-774422096"/>
        <c:axId val="-774429168"/>
        <c:axId val="0"/>
      </c:bar3DChart>
      <c:catAx>
        <c:axId val="-77442209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s-CO"/>
          </a:p>
        </c:txPr>
        <c:crossAx val="-774429168"/>
        <c:crosses val="autoZero"/>
        <c:auto val="1"/>
        <c:lblAlgn val="ctr"/>
        <c:lblOffset val="100"/>
        <c:noMultiLvlLbl val="0"/>
      </c:catAx>
      <c:valAx>
        <c:axId val="-774429168"/>
        <c:scaling>
          <c:orientation val="minMax"/>
        </c:scaling>
        <c:delete val="1"/>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General" sourceLinked="1"/>
        <c:majorTickMark val="none"/>
        <c:minorTickMark val="none"/>
        <c:tickLblPos val="nextTo"/>
        <c:crossAx val="-774422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66">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3.xml><?xml version="1.0" encoding="utf-8"?>
<cs:chartStyle xmlns:cs="http://schemas.microsoft.com/office/drawing/2012/chartStyle" xmlns:a="http://schemas.openxmlformats.org/drawingml/2006/main" id="266">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4.xml><?xml version="1.0" encoding="utf-8"?>
<cs:chartStyle xmlns:cs="http://schemas.microsoft.com/office/drawing/2012/chartStyle" xmlns:a="http://schemas.openxmlformats.org/drawingml/2006/main" id="266">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5.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45">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7.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hyperlink" Target="#Estadisticas!A1"/><Relationship Id="rId1" Type="http://schemas.openxmlformats.org/officeDocument/2006/relationships/hyperlink" Target="#tablero!A1"/></Relationships>
</file>

<file path=xl/drawings/_rels/drawing10.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00.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01.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02.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03.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04.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05.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06.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07.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08.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09.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10.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11.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12.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13.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14.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15.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16.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17.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18.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19.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20.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21.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22.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23.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24.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25.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26.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27.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28.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29.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30.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31.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32.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33.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34.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35.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36.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37.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38.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39.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40.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41.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42.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43.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44.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45.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46.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47.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48.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49.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50.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51.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52.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53.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54.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55.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56.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57.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58.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59.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60.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61.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62.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63.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64.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65.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66.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67.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68.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69.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70.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71.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72.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73.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74.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75.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76.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77.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78.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79.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80.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81.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82.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83.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84.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85.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86.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87.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88.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89.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90.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91.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92.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93.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94.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95.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96.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97.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98.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99.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20.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200.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201.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202.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203.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204.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205.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206.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207.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21.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22.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23.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24.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25.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26.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27.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28.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29.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4" Type="http://schemas.openxmlformats.org/officeDocument/2006/relationships/hyperlink" Target="#'hoja resumen'!A1"/></Relationships>
</file>

<file path=xl/drawings/_rels/drawing30.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31.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32.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33.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34.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35.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36.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37.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38.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39.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hyperlink" Target="#'hoja resumen'!A1"/></Relationships>
</file>

<file path=xl/drawings/_rels/drawing40.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41.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42.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43.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44.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45.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46.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47.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48.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49.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50.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51.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52.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53.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54.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55.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56.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57.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58.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59.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60.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61.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62.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63.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64.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65.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66.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67.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68.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69.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70.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71.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72.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73.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74.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75.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76.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77.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78.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79.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80.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81.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82.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83.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84.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85.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86.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87.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88.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89.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90.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91.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92.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93.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94.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95.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96.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97.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98.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99.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6724651</xdr:colOff>
      <xdr:row>0</xdr:row>
      <xdr:rowOff>85724</xdr:rowOff>
    </xdr:from>
    <xdr:to>
      <xdr:col>4</xdr:col>
      <xdr:colOff>171451</xdr:colOff>
      <xdr:row>2</xdr:row>
      <xdr:rowOff>38099</xdr:rowOff>
    </xdr:to>
    <xdr:sp macro="" textlink="">
      <xdr:nvSpPr>
        <xdr:cNvPr id="2" name="Rectángulo redondeado 1">
          <a:hlinkClick xmlns:r="http://schemas.openxmlformats.org/officeDocument/2006/relationships" r:id="rId1"/>
        </xdr:cNvPr>
        <xdr:cNvSpPr/>
      </xdr:nvSpPr>
      <xdr:spPr>
        <a:xfrm>
          <a:off x="7696201" y="85724"/>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Ver</a:t>
          </a:r>
          <a:r>
            <a:rPr lang="es-CO" sz="1000" baseline="0"/>
            <a:t> tablero de control</a:t>
          </a:r>
          <a:endParaRPr lang="es-CO" sz="1000"/>
        </a:p>
      </xdr:txBody>
    </xdr:sp>
    <xdr:clientData/>
  </xdr:twoCellAnchor>
  <xdr:twoCellAnchor>
    <xdr:from>
      <xdr:col>5</xdr:col>
      <xdr:colOff>190500</xdr:colOff>
      <xdr:row>0</xdr:row>
      <xdr:rowOff>104775</xdr:rowOff>
    </xdr:from>
    <xdr:to>
      <xdr:col>9</xdr:col>
      <xdr:colOff>171451</xdr:colOff>
      <xdr:row>2</xdr:row>
      <xdr:rowOff>19049</xdr:rowOff>
    </xdr:to>
    <xdr:sp macro="" textlink="">
      <xdr:nvSpPr>
        <xdr:cNvPr id="3" name="Rectángulo redondeado 2">
          <a:hlinkClick xmlns:r="http://schemas.openxmlformats.org/officeDocument/2006/relationships" r:id="rId2"/>
        </xdr:cNvPr>
        <xdr:cNvSpPr/>
      </xdr:nvSpPr>
      <xdr:spPr>
        <a:xfrm>
          <a:off x="9372600" y="104775"/>
          <a:ext cx="1095376" cy="219074"/>
        </a:xfrm>
        <a:prstGeom prst="roundRect">
          <a:avLst/>
        </a:prstGeom>
        <a:solidFill>
          <a:schemeClr val="accent6">
            <a:lumMod val="75000"/>
          </a:schemeClr>
        </a:solidFill>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Estadisticas</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00.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01.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02.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03.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04.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05.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06.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07.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08.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09.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10.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11.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12.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13.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14.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15.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16.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17.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18.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19.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20.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21.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22.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23.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24.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25.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26.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27.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28.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29.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30.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31.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32.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33.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34.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35.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36.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37.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38.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6325" y="352425"/>
          <a:ext cx="1390650" cy="260350"/>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39.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40.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41.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42.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43.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44.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45.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46.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47.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48.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49.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50.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51.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6325" y="352425"/>
          <a:ext cx="1390650" cy="260350"/>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52.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53.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54.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55.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56.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57.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6325" y="352425"/>
          <a:ext cx="1390650" cy="260350"/>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58.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59.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60.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61.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62.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63.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64.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6325" y="352425"/>
          <a:ext cx="1390650" cy="260350"/>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65.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66.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9461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67.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68.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6325" y="352425"/>
          <a:ext cx="1390650" cy="260350"/>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69.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70.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71.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72.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73.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74.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75.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6325" y="352425"/>
          <a:ext cx="1390650" cy="260350"/>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76.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77.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78.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79.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80.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81.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82.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83.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84.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85.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86.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6325" y="352425"/>
          <a:ext cx="1390650" cy="260350"/>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twoCellAnchor editAs="oneCell">
    <xdr:from>
      <xdr:col>2</xdr:col>
      <xdr:colOff>0</xdr:colOff>
      <xdr:row>1</xdr:row>
      <xdr:rowOff>28575</xdr:rowOff>
    </xdr:from>
    <xdr:to>
      <xdr:col>4</xdr:col>
      <xdr:colOff>9524</xdr:colOff>
      <xdr:row>5</xdr:row>
      <xdr:rowOff>0</xdr:rowOff>
    </xdr:to>
    <xdr:pic>
      <xdr:nvPicPr>
        <xdr:cNvPr id="4"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wsDr>
</file>

<file path=xl/drawings/drawing187.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88.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89.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90.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91.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92.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93.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6325" y="352425"/>
          <a:ext cx="1390650" cy="260350"/>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94.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95.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96.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97.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98.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99.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19</xdr:col>
      <xdr:colOff>323850</xdr:colOff>
      <xdr:row>9</xdr:row>
      <xdr:rowOff>80962</xdr:rowOff>
    </xdr:from>
    <xdr:to>
      <xdr:col>25</xdr:col>
      <xdr:colOff>323850</xdr:colOff>
      <xdr:row>23</xdr:row>
      <xdr:rowOff>157162</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37</xdr:col>
      <xdr:colOff>638174</xdr:colOff>
      <xdr:row>42</xdr:row>
      <xdr:rowOff>61912</xdr:rowOff>
    </xdr:from>
    <xdr:to>
      <xdr:col>40</xdr:col>
      <xdr:colOff>285750</xdr:colOff>
      <xdr:row>57</xdr:row>
      <xdr:rowOff>76200</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42</xdr:col>
      <xdr:colOff>0</xdr:colOff>
      <xdr:row>42</xdr:row>
      <xdr:rowOff>0</xdr:rowOff>
    </xdr:from>
    <xdr:to>
      <xdr:col>48</xdr:col>
      <xdr:colOff>314326</xdr:colOff>
      <xdr:row>57</xdr:row>
      <xdr:rowOff>14288</xdr:rowOff>
    </xdr:to>
    <xdr:graphicFrame macro="">
      <xdr:nvGraphicFramePr>
        <xdr:cNvPr id="4" name="Gráfico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50</xdr:col>
      <xdr:colOff>0</xdr:colOff>
      <xdr:row>42</xdr:row>
      <xdr:rowOff>0</xdr:rowOff>
    </xdr:from>
    <xdr:to>
      <xdr:col>55</xdr:col>
      <xdr:colOff>276226</xdr:colOff>
      <xdr:row>57</xdr:row>
      <xdr:rowOff>14288</xdr:rowOff>
    </xdr:to>
    <xdr:graphicFrame macro="">
      <xdr:nvGraphicFramePr>
        <xdr:cNvPr id="5" name="Gráfico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49</xdr:col>
      <xdr:colOff>481012</xdr:colOff>
      <xdr:row>74</xdr:row>
      <xdr:rowOff>133350</xdr:rowOff>
    </xdr:from>
    <xdr:to>
      <xdr:col>55</xdr:col>
      <xdr:colOff>238125</xdr:colOff>
      <xdr:row>109</xdr:row>
      <xdr:rowOff>57150</xdr:rowOff>
    </xdr:to>
    <xdr:graphicFrame macro="">
      <xdr:nvGraphicFramePr>
        <xdr:cNvPr id="6" name="Gráfico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200.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201.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202.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203.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204.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205.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206.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6325" y="352425"/>
          <a:ext cx="1390650" cy="260350"/>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207.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21.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22.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23.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24.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25.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26.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27.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28.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29.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180976</xdr:colOff>
      <xdr:row>1</xdr:row>
      <xdr:rowOff>23812</xdr:rowOff>
    </xdr:from>
    <xdr:to>
      <xdr:col>6</xdr:col>
      <xdr:colOff>95251</xdr:colOff>
      <xdr:row>16</xdr:row>
      <xdr:rowOff>71437</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247652</xdr:colOff>
      <xdr:row>10</xdr:row>
      <xdr:rowOff>9525</xdr:rowOff>
    </xdr:from>
    <xdr:to>
      <xdr:col>13</xdr:col>
      <xdr:colOff>361951</xdr:colOff>
      <xdr:row>29</xdr:row>
      <xdr:rowOff>123825</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166687</xdr:colOff>
      <xdr:row>10</xdr:row>
      <xdr:rowOff>19049</xdr:rowOff>
    </xdr:from>
    <xdr:to>
      <xdr:col>28</xdr:col>
      <xdr:colOff>228600</xdr:colOff>
      <xdr:row>28</xdr:row>
      <xdr:rowOff>57150</xdr:rowOff>
    </xdr:to>
    <xdr:graphicFrame macro="">
      <xdr:nvGraphicFramePr>
        <xdr:cNvPr id="4" name="Gráfico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76200</xdr:colOff>
      <xdr:row>1</xdr:row>
      <xdr:rowOff>0</xdr:rowOff>
    </xdr:from>
    <xdr:to>
      <xdr:col>2</xdr:col>
      <xdr:colOff>123825</xdr:colOff>
      <xdr:row>2</xdr:row>
      <xdr:rowOff>85725</xdr:rowOff>
    </xdr:to>
    <xdr:sp macro="" textlink="">
      <xdr:nvSpPr>
        <xdr:cNvPr id="5" name="Rectángulo redondeado 4">
          <a:hlinkClick xmlns:r="http://schemas.openxmlformats.org/officeDocument/2006/relationships" r:id="rId4"/>
        </xdr:cNvPr>
        <xdr:cNvSpPr/>
      </xdr:nvSpPr>
      <xdr:spPr>
        <a:xfrm>
          <a:off x="76200" y="152400"/>
          <a:ext cx="990600" cy="23812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800"/>
            <a:t>Volver</a:t>
          </a:r>
          <a:r>
            <a:rPr lang="es-CO" sz="800" baseline="0"/>
            <a:t> hoja resumen</a:t>
          </a:r>
          <a:endParaRPr lang="es-CO" sz="800"/>
        </a:p>
      </xdr:txBody>
    </xdr:sp>
    <xdr:clientData/>
  </xdr:twoCellAnchor>
</xdr:wsDr>
</file>

<file path=xl/drawings/drawing30.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31.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32.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33.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34.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35.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36.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2</xdr:row>
      <xdr:rowOff>0</xdr:rowOff>
    </xdr:from>
    <xdr:to>
      <xdr:col>17</xdr:col>
      <xdr:colOff>628650</xdr:colOff>
      <xdr:row>3</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37.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38.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39.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13</xdr:col>
      <xdr:colOff>323850</xdr:colOff>
      <xdr:row>0</xdr:row>
      <xdr:rowOff>152400</xdr:rowOff>
    </xdr:from>
    <xdr:to>
      <xdr:col>14</xdr:col>
      <xdr:colOff>1152525</xdr:colOff>
      <xdr:row>0</xdr:row>
      <xdr:rowOff>409575</xdr:rowOff>
    </xdr:to>
    <xdr:sp macro="" textlink="">
      <xdr:nvSpPr>
        <xdr:cNvPr id="2" name="Rectángulo redondeado 1">
          <a:hlinkClick xmlns:r="http://schemas.openxmlformats.org/officeDocument/2006/relationships" r:id="rId1"/>
        </xdr:cNvPr>
        <xdr:cNvSpPr/>
      </xdr:nvSpPr>
      <xdr:spPr>
        <a:xfrm>
          <a:off x="9210675" y="152400"/>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40.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41.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42.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43.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44.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45.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46.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47.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48.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49.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50.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51.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52.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53.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54.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55.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56.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57.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58.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59.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60.xml><?xml version="1.0" encoding="utf-8"?>
<xdr:wsDr xmlns:xdr="http://schemas.openxmlformats.org/drawingml/2006/spreadsheetDrawing" xmlns:a="http://schemas.openxmlformats.org/drawingml/2006/main">
  <xdr:twoCellAnchor editAs="oneCell">
    <xdr:from>
      <xdr:col>2</xdr:col>
      <xdr:colOff>0</xdr:colOff>
      <xdr:row>1</xdr:row>
      <xdr:rowOff>28576</xdr:rowOff>
    </xdr:from>
    <xdr:to>
      <xdr:col>3</xdr:col>
      <xdr:colOff>704849</xdr:colOff>
      <xdr:row>5</xdr:row>
      <xdr:rowOff>19050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1"/>
          <a:ext cx="800099" cy="809624"/>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61.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62.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63.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64.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65.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66.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67.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68.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69.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4" name="Rectángulo redondeado 3">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70.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71.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72.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73.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74.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75.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76.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77.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78.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79.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6325" y="352425"/>
          <a:ext cx="1390650" cy="260350"/>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80.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81.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82.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83.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84.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85.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86.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87.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88.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89.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90.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91.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92.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93.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twoCellAnchor editAs="oneCell">
    <xdr:from>
      <xdr:col>2</xdr:col>
      <xdr:colOff>0</xdr:colOff>
      <xdr:row>1</xdr:row>
      <xdr:rowOff>28575</xdr:rowOff>
    </xdr:from>
    <xdr:to>
      <xdr:col>4</xdr:col>
      <xdr:colOff>9524</xdr:colOff>
      <xdr:row>5</xdr:row>
      <xdr:rowOff>0</xdr:rowOff>
    </xdr:to>
    <xdr:pic>
      <xdr:nvPicPr>
        <xdr:cNvPr id="4"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wsDr>
</file>

<file path=xl/drawings/drawing94.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95.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96.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97.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98.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99.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nestor.yaselga/Documents/documentos/2015/tablero%202015/Hojas%20de%20vida/HOJAS%20DE%20VIDA%202015%20v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nestor.yaselga/Documents/documentos/2015/tablero%202015/Hojas%20de%20vida/HOJAS%20DE%20VIDA%202015%20v2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juan.melendez/Documents/Informacion%20ICBF/DIRECCION%20DE%20NUTRICION/DIRECCION_DE_NUTRICION_2015/Indicadores_2015/Hojas_de_Vida_Indicadores/DEFINITVO_tablero2015.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nestor.yaselga/Documents/documentos/2015/tablero%202015/Hojas%20de%20vida/HOJAS%20DE%20VIDA%202015%20para%20trabajar_Diana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01"/>
      <sheetName val="PA-02"/>
      <sheetName val="PA-03"/>
      <sheetName val="PA-04"/>
      <sheetName val="PA-05"/>
      <sheetName val="PA-06"/>
      <sheetName val="PA-07"/>
      <sheetName val="PA-08"/>
      <sheetName val="PA-09"/>
      <sheetName val="PA-10"/>
      <sheetName val="MPM1-01"/>
      <sheetName val="MPM1-02"/>
      <sheetName val="MPM1-03"/>
      <sheetName val="MPM1-04"/>
      <sheetName val="MPM1-05"/>
      <sheetName val="MPM1-06"/>
      <sheetName val="MPM1-07"/>
      <sheetName val="MPM1-08"/>
      <sheetName val="MPM1-09"/>
      <sheetName val="PA-11"/>
      <sheetName val="PA-12"/>
      <sheetName val="PA-13"/>
      <sheetName val="PA-14"/>
      <sheetName val="PA-15"/>
      <sheetName val="PA-16"/>
      <sheetName val="MPM2-01"/>
      <sheetName val="PA-17"/>
      <sheetName val="MPM2-02"/>
      <sheetName val="MPM2-03"/>
      <sheetName val="MPM2-04"/>
      <sheetName val="PA-18"/>
      <sheetName val="PA-19"/>
      <sheetName val="PA-20"/>
      <sheetName val="PA-21"/>
      <sheetName val="PA-22"/>
      <sheetName val="PA-23"/>
      <sheetName val="PA-24"/>
      <sheetName val="PA-25"/>
      <sheetName val="MPM4-01"/>
      <sheetName val="MPM4-02"/>
      <sheetName val="MPM4-03"/>
      <sheetName val="MPM4-04"/>
      <sheetName val="MPM4-05"/>
      <sheetName val="MPM4-06"/>
      <sheetName val="MPM4-07"/>
      <sheetName val="PA-26"/>
      <sheetName val="PA-27"/>
      <sheetName val="PA-28"/>
      <sheetName val="PA-29"/>
      <sheetName val="PA-30"/>
      <sheetName val="PA-31"/>
      <sheetName val="PA-32"/>
      <sheetName val="PA-33"/>
      <sheetName val="PA-34"/>
      <sheetName val="MPM5-P1-01"/>
      <sheetName val="MPM5-P1-02"/>
      <sheetName val="MPM5-P1-03"/>
      <sheetName val="MPM5-P1-04"/>
      <sheetName val="MPM5-P1-05"/>
      <sheetName val="PA-35"/>
      <sheetName val="MPM5-P1-06"/>
      <sheetName val="MPM5-P1-07"/>
      <sheetName val="MPM5-P1-08"/>
      <sheetName val="PA-36"/>
      <sheetName val="PA-37"/>
      <sheetName val="MPM5-P1-09"/>
      <sheetName val="PA-38"/>
      <sheetName val="PA-39"/>
      <sheetName val="PA-40"/>
      <sheetName val="PA-41"/>
      <sheetName val="MPM5-P2-01"/>
      <sheetName val="PA-42"/>
      <sheetName val="PA-43"/>
      <sheetName val="PA-44"/>
      <sheetName val="MPM5-P3-01"/>
      <sheetName val="PA-45"/>
      <sheetName val="MPA1-P1-01"/>
      <sheetName val="MPA1-P1-02"/>
      <sheetName val="MPA1-P1-03"/>
      <sheetName val="PA-46"/>
      <sheetName val="PA-47"/>
      <sheetName val="PA-48"/>
      <sheetName val="MPA1-P1-04"/>
      <sheetName val="PA-49"/>
      <sheetName val="MPA1-P1-05"/>
      <sheetName val="MPA1-P1-06"/>
      <sheetName val="MPA1-P1-07"/>
      <sheetName val="MPA1-P1-08"/>
      <sheetName val="MPA1-P1-09"/>
      <sheetName val="MPA1-P2-01"/>
      <sheetName val="PA-50"/>
      <sheetName val="PA-51"/>
      <sheetName val="MPA1-P2-02"/>
      <sheetName val="MPA1-P2-03"/>
      <sheetName val="MPA1-P3-01"/>
      <sheetName val="MPA1-P3-02"/>
      <sheetName val="PA-52"/>
      <sheetName val="MPA1-P3-03"/>
      <sheetName val="MPA1-P3-04"/>
      <sheetName val="PA-53"/>
      <sheetName val="PA-54"/>
      <sheetName val="MPA1-P4-01"/>
      <sheetName val="MPA1-P4-02"/>
      <sheetName val="MPA1-P4-03"/>
      <sheetName val="MPA1-P4-04"/>
      <sheetName val="PA-55"/>
      <sheetName val="MPA1-P4-05"/>
      <sheetName val="MPA1-P4-06"/>
      <sheetName val="MPA1-P4-07"/>
      <sheetName val="PA-56"/>
      <sheetName val="PA-57"/>
      <sheetName val="MPA1-P5-01"/>
      <sheetName val="PA-58"/>
      <sheetName val="PA-59"/>
      <sheetName val="MPA1-P5-02"/>
      <sheetName val="MPA1-P5-03"/>
      <sheetName val="MPA1-P5-04"/>
      <sheetName val="MPA1-P5-05"/>
      <sheetName val="MPA1-P5-06"/>
      <sheetName val="PA-60"/>
      <sheetName val="PA-61"/>
      <sheetName val="MPA1-P5-07"/>
      <sheetName val="MPA1-P5-08"/>
      <sheetName val="MPA1-P5-09"/>
      <sheetName val="PA-62"/>
      <sheetName val="MPA1-P5-10"/>
      <sheetName val="MPA1-P5-11"/>
      <sheetName val="PA-63"/>
      <sheetName val="PA-64"/>
      <sheetName val="MPA2-01"/>
      <sheetName val="MPA2-02"/>
      <sheetName val="MPA2-03"/>
      <sheetName val="PA-65"/>
      <sheetName val="PA-66"/>
      <sheetName val="PA-67"/>
      <sheetName val="PA-68"/>
      <sheetName val="PA-69"/>
      <sheetName val="PA-70"/>
      <sheetName val="PA-71"/>
      <sheetName val="PA-72"/>
      <sheetName val="PA-73"/>
      <sheetName val="PA-74"/>
      <sheetName val="MPA5-P2-01"/>
      <sheetName val="MPA5-P2-02"/>
      <sheetName val="PA-75"/>
      <sheetName val="PA-76"/>
      <sheetName val="MPA6-01"/>
      <sheetName val="MPA6-02"/>
      <sheetName val="MPA6-03"/>
      <sheetName val="MPA6-04"/>
      <sheetName val="PA-77"/>
      <sheetName val="PA-78"/>
      <sheetName val="PA-79"/>
      <sheetName val="PA-80"/>
      <sheetName val="PA-81"/>
      <sheetName val="PA-82"/>
      <sheetName val="PA-83"/>
      <sheetName val="PA-84"/>
      <sheetName val="PA-85"/>
      <sheetName val="MPE2-01"/>
      <sheetName val="PA-86"/>
      <sheetName val="PA-87"/>
      <sheetName val="PA-88"/>
      <sheetName val="MPE2-02"/>
      <sheetName val="MPE2-03"/>
      <sheetName val="PA-89"/>
      <sheetName val="MPE2-04"/>
      <sheetName val="MPE2-05"/>
      <sheetName val="PA-90"/>
      <sheetName val="PA-91"/>
      <sheetName val="PA-92"/>
      <sheetName val="PA-93"/>
      <sheetName val="PA-94"/>
      <sheetName val="PA-95"/>
      <sheetName val="PA-96"/>
      <sheetName val="PA-97"/>
      <sheetName val="PA-98"/>
      <sheetName val="MPEV1-P1-01"/>
      <sheetName val="MPEV1-P1-02"/>
      <sheetName val="PA-99"/>
      <sheetName val="PA-100"/>
      <sheetName val="PA-101"/>
      <sheetName val="PA-102"/>
      <sheetName val="PA-103"/>
      <sheetName val="PA-104"/>
      <sheetName val="PA-105"/>
      <sheetName val="PA-106"/>
      <sheetName val="Hoja1"/>
      <sheetName val="bas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row r="5">
          <cell r="B5">
            <v>1</v>
          </cell>
          <cell r="C5" t="str">
            <v>MPM1</v>
          </cell>
          <cell r="D5" t="str">
            <v xml:space="preserve">Gestión para la Atención Integral a la Primera Infancia </v>
          </cell>
          <cell r="E5" t="str">
            <v>N/A</v>
          </cell>
          <cell r="F5" t="str">
            <v>N/A</v>
          </cell>
          <cell r="G5" t="str">
            <v>Gestión misional y de gobierno</v>
          </cell>
          <cell r="H5" t="str">
            <v>Indicadores y metas de gobierno</v>
          </cell>
          <cell r="I5">
            <v>0</v>
          </cell>
          <cell r="J5">
            <v>0</v>
          </cell>
          <cell r="K5" t="str">
            <v xml:space="preserve">Dirección de Primera Infancia </v>
          </cell>
          <cell r="L5" t="str">
            <v>PA-01</v>
          </cell>
          <cell r="M5" t="str">
            <v>Número de niños y niñas atendidos en el marco de la Atención Integral.</v>
          </cell>
          <cell r="N5" t="str">
            <v>Conocer el número de niños y niñas que reciben servicios de educación inicial, cuidado y nutrición en el marco de la Atención Integral a la Primera Infancia.</v>
          </cell>
          <cell r="O5" t="str">
            <v>Creciente</v>
          </cell>
          <cell r="P5" t="str">
            <v>Calidad</v>
          </cell>
          <cell r="Q5">
            <v>1054857</v>
          </cell>
          <cell r="R5" t="str">
            <v>Producto</v>
          </cell>
          <cell r="S5" t="str">
            <v>Eficacia</v>
          </cell>
          <cell r="T5">
            <v>1400000</v>
          </cell>
          <cell r="U5">
            <v>2000000</v>
          </cell>
          <cell r="V5" t="str">
            <v xml:space="preserve">Número </v>
          </cell>
          <cell r="W5" t="str">
            <v>Si</v>
          </cell>
          <cell r="X5" t="str">
            <v>Si</v>
          </cell>
          <cell r="Y5" t="str">
            <v>Si</v>
          </cell>
          <cell r="Z5" t="str">
            <v>Si</v>
          </cell>
          <cell r="AA5" t="str">
            <v>Si</v>
          </cell>
          <cell r="AB5" t="str">
            <v>Si</v>
          </cell>
          <cell r="AC5" t="str">
            <v>Número de niños, niñas y gestantes atendidos en las modalidades de Atención Integral a la Primera Infancia.</v>
          </cell>
          <cell r="AD5" t="str">
            <v>Consolidado de Metas Sociales y Financieras</v>
          </cell>
          <cell r="AE5" t="str">
            <v>Meta Programada en SIM de modalidades en Atención Integral</v>
          </cell>
          <cell r="AF5" t="str">
            <v>Consolidado de Metas Sociales y Financieras (Programación Vigente)</v>
          </cell>
          <cell r="AG5" t="str">
            <v>Número de niños y niñas atendidos en las modalidades de Atención Integral a la Primera Infancia</v>
          </cell>
          <cell r="AH5" t="str">
            <v>Mensual</v>
          </cell>
          <cell r="AI5">
            <v>0</v>
          </cell>
          <cell r="AJ5" t="str">
            <v>x</v>
          </cell>
          <cell r="AK5" t="str">
            <v>x</v>
          </cell>
          <cell r="AL5" t="str">
            <v>x</v>
          </cell>
          <cell r="AM5" t="str">
            <v>x</v>
          </cell>
          <cell r="AN5" t="str">
            <v>x</v>
          </cell>
          <cell r="AO5" t="str">
            <v>x</v>
          </cell>
          <cell r="AP5" t="str">
            <v>x</v>
          </cell>
          <cell r="AQ5" t="str">
            <v>x</v>
          </cell>
          <cell r="AR5" t="str">
            <v>x</v>
          </cell>
          <cell r="AS5" t="str">
            <v>x</v>
          </cell>
          <cell r="AT5" t="str">
            <v>x</v>
          </cell>
        </row>
        <row r="6">
          <cell r="B6">
            <v>2</v>
          </cell>
          <cell r="C6" t="str">
            <v>MPM1</v>
          </cell>
          <cell r="D6" t="str">
            <v xml:space="preserve">Gestión para la Atención Integral a la Primera Infancia </v>
          </cell>
          <cell r="E6" t="str">
            <v>N/A</v>
          </cell>
          <cell r="F6" t="str">
            <v>N/A</v>
          </cell>
          <cell r="G6" t="str">
            <v>Gestión misional y de gobierno</v>
          </cell>
          <cell r="H6" t="str">
            <v>Indicadores y metas de gobierno</v>
          </cell>
          <cell r="I6">
            <v>0</v>
          </cell>
          <cell r="J6">
            <v>0</v>
          </cell>
          <cell r="K6" t="str">
            <v xml:space="preserve">Dirección de Primera Infancia </v>
          </cell>
          <cell r="L6" t="str">
            <v>PA-02</v>
          </cell>
          <cell r="M6" t="str">
            <v>Porcentaje de niños y niñas del programa DIA y Hogares Comunitarios transitados a las Modalidades de Atención Integral</v>
          </cell>
          <cell r="N6" t="str">
            <v>Conocer la proporción de niños y niñas que transitan y reciben servicios de educación inicial, cuidado y nutrición en el marco de la Atención Integral a la Primera Infancia.</v>
          </cell>
          <cell r="O6" t="str">
            <v>Creciente</v>
          </cell>
          <cell r="P6" t="str">
            <v>Calidad</v>
          </cell>
          <cell r="Q6">
            <v>0</v>
          </cell>
          <cell r="R6" t="str">
            <v>Producto</v>
          </cell>
          <cell r="S6" t="str">
            <v>Eficacia</v>
          </cell>
          <cell r="T6">
            <v>0.2</v>
          </cell>
          <cell r="U6">
            <v>0.8</v>
          </cell>
          <cell r="V6" t="str">
            <v>Porcentaje</v>
          </cell>
          <cell r="W6" t="str">
            <v>Si</v>
          </cell>
          <cell r="X6" t="str">
            <v>Si</v>
          </cell>
          <cell r="Y6" t="str">
            <v>Si</v>
          </cell>
          <cell r="Z6" t="str">
            <v>No</v>
          </cell>
          <cell r="AA6" t="str">
            <v>Si</v>
          </cell>
          <cell r="AB6" t="str">
            <v>Si</v>
          </cell>
          <cell r="AC6" t="str">
            <v>Número de niños y niñas del programa DIA y Hogares Comunitarios transitados a las Modalidades de Atención Integral.</v>
          </cell>
          <cell r="AD6" t="str">
            <v>Consolidado de Metas Sociales y Financieras</v>
          </cell>
          <cell r="AE6" t="str">
            <v>Meta Programada en SIM (Programa DIA, HCB y modalidades de Atención Integral)</v>
          </cell>
          <cell r="AF6" t="str">
            <v>Consolidado de Metas Sociales y Financieras (Programación Vigente)</v>
          </cell>
          <cell r="AG6" t="str">
            <v>Porcentaje de niños y niñas del programa DIA y Hogares Comunitarios transitados a las Modalidades de Atención Integral</v>
          </cell>
          <cell r="AH6" t="str">
            <v>Mensual</v>
          </cell>
          <cell r="AI6">
            <v>0</v>
          </cell>
          <cell r="AJ6">
            <v>0</v>
          </cell>
          <cell r="AK6">
            <v>0</v>
          </cell>
          <cell r="AL6">
            <v>0</v>
          </cell>
          <cell r="AM6">
            <v>0</v>
          </cell>
          <cell r="AN6">
            <v>0</v>
          </cell>
          <cell r="AO6">
            <v>0</v>
          </cell>
          <cell r="AP6">
            <v>0</v>
          </cell>
          <cell r="AQ6" t="str">
            <v>x</v>
          </cell>
          <cell r="AR6" t="str">
            <v>x</v>
          </cell>
          <cell r="AS6" t="str">
            <v>x</v>
          </cell>
          <cell r="AT6" t="str">
            <v>x</v>
          </cell>
        </row>
        <row r="7">
          <cell r="B7">
            <v>3</v>
          </cell>
          <cell r="C7" t="str">
            <v>MPM1</v>
          </cell>
          <cell r="D7" t="str">
            <v xml:space="preserve">Gestión para la Atención Integral a la Primera Infancia </v>
          </cell>
          <cell r="E7" t="str">
            <v>N/A</v>
          </cell>
          <cell r="F7" t="str">
            <v>N/A</v>
          </cell>
          <cell r="G7" t="str">
            <v>Gestión misional y de gobierno</v>
          </cell>
          <cell r="H7" t="str">
            <v>Indicadores y metas de gobierno</v>
          </cell>
          <cell r="I7">
            <v>0</v>
          </cell>
          <cell r="J7">
            <v>0</v>
          </cell>
          <cell r="K7" t="str">
            <v xml:space="preserve">Dirección de Primera Infancia </v>
          </cell>
          <cell r="L7" t="str">
            <v>PA-03</v>
          </cell>
          <cell r="M7" t="str">
            <v>Porcentaje de niños y niñas de las modalidades de Primera Infancia, reportados al Ministerio de Educación para la matricula al sistema educativo.</v>
          </cell>
          <cell r="N7" t="str">
            <v xml:space="preserve"> Conocer la proporción de niños y niñas reportados por el ICBF al Ministerio de Educación para ser incluidos en el proceso de matricula e ingresar al Sistema Educativo.</v>
          </cell>
          <cell r="O7" t="str">
            <v>Creciente</v>
          </cell>
          <cell r="P7" t="str">
            <v>Calidad</v>
          </cell>
          <cell r="Q7">
            <v>0</v>
          </cell>
          <cell r="R7" t="str">
            <v>Gestión</v>
          </cell>
          <cell r="S7" t="str">
            <v>Eficacia</v>
          </cell>
          <cell r="T7">
            <v>0.8</v>
          </cell>
          <cell r="U7">
            <v>1</v>
          </cell>
          <cell r="V7" t="str">
            <v>Porcentaje</v>
          </cell>
          <cell r="W7" t="str">
            <v>Si</v>
          </cell>
          <cell r="X7" t="str">
            <v>Si</v>
          </cell>
          <cell r="Y7" t="str">
            <v>No</v>
          </cell>
          <cell r="Z7" t="str">
            <v>No</v>
          </cell>
          <cell r="AA7" t="str">
            <v>Si</v>
          </cell>
          <cell r="AB7" t="str">
            <v>Si</v>
          </cell>
          <cell r="AC7" t="str">
            <v>Número de niños y niñas de las modalidades de Primera Infancia, reportados al Ministerio de Educación para matricular al sistema educativo.</v>
          </cell>
          <cell r="AD7" t="str">
            <v>Reportes del ICBF a las Secretarias de Educación en las Instancias de Concertación a nivel Regional</v>
          </cell>
          <cell r="AE7" t="str">
            <v>Número de niños y niñas que al 31 de Marzo de 2016 cumplan más de 5 años (Meta)</v>
          </cell>
          <cell r="AF7" t="str">
            <v>Sistema de Información de Primera Infancia - CUENTAME</v>
          </cell>
          <cell r="AG7" t="str">
            <v>Porcentaje de niños y niñas de las modalidades de Primera Infancia, reportados al ministerio de Educación para matricular al sistema educativo.</v>
          </cell>
          <cell r="AH7" t="str">
            <v>Semestral</v>
          </cell>
          <cell r="AI7">
            <v>0</v>
          </cell>
          <cell r="AJ7">
            <v>0</v>
          </cell>
          <cell r="AK7">
            <v>0</v>
          </cell>
          <cell r="AL7">
            <v>0</v>
          </cell>
          <cell r="AM7">
            <v>0</v>
          </cell>
          <cell r="AN7">
            <v>0</v>
          </cell>
          <cell r="AO7" t="str">
            <v>x</v>
          </cell>
          <cell r="AP7">
            <v>0</v>
          </cell>
          <cell r="AQ7">
            <v>0</v>
          </cell>
          <cell r="AR7">
            <v>0</v>
          </cell>
          <cell r="AS7">
            <v>0</v>
          </cell>
          <cell r="AT7" t="str">
            <v>x</v>
          </cell>
        </row>
        <row r="8">
          <cell r="B8">
            <v>4</v>
          </cell>
          <cell r="C8" t="str">
            <v>MPM1</v>
          </cell>
          <cell r="D8" t="str">
            <v xml:space="preserve">Gestión para la Atención Integral a la Primera Infancia </v>
          </cell>
          <cell r="E8" t="str">
            <v>N/A</v>
          </cell>
          <cell r="F8" t="str">
            <v>N/A</v>
          </cell>
          <cell r="G8" t="str">
            <v>Gestión misional y de gobierno</v>
          </cell>
          <cell r="H8" t="str">
            <v>Indicadores y metas de gobierno</v>
          </cell>
          <cell r="I8">
            <v>0</v>
          </cell>
          <cell r="J8">
            <v>0</v>
          </cell>
          <cell r="K8" t="str">
            <v xml:space="preserve">Dirección de Primera Infancia </v>
          </cell>
          <cell r="L8" t="str">
            <v>PA-04</v>
          </cell>
          <cell r="M8" t="str">
            <v>Porcentaje de Hogares Comunitarios que cumplen los estándares de la estrategia de Cero a Siempre.</v>
          </cell>
          <cell r="N8" t="str">
            <v>Conocer la proporción de Hogares Comunitarios que transitan a la atención integral en la primera infancia</v>
          </cell>
          <cell r="O8" t="str">
            <v>Creciente</v>
          </cell>
          <cell r="P8" t="str">
            <v>Calidad</v>
          </cell>
          <cell r="Q8">
            <v>0</v>
          </cell>
          <cell r="R8" t="str">
            <v>Producto</v>
          </cell>
          <cell r="S8" t="str">
            <v>Eficacia</v>
          </cell>
          <cell r="T8">
            <v>0.2</v>
          </cell>
          <cell r="U8">
            <v>0.8</v>
          </cell>
          <cell r="V8" t="str">
            <v>Porcentaje</v>
          </cell>
          <cell r="W8" t="str">
            <v>Si</v>
          </cell>
          <cell r="X8" t="str">
            <v>Si</v>
          </cell>
          <cell r="Y8" t="str">
            <v>No</v>
          </cell>
          <cell r="Z8" t="str">
            <v>Si</v>
          </cell>
          <cell r="AA8" t="str">
            <v>Si</v>
          </cell>
          <cell r="AB8" t="str">
            <v>Si</v>
          </cell>
          <cell r="AC8" t="str">
            <v>Número de Hogares Comunitarios que cumplen los estándares de Atención Integral</v>
          </cell>
          <cell r="AD8" t="str">
            <v>Reporte consolidado del equipo de supervisión de la Dirección de Primera Infancia</v>
          </cell>
          <cell r="AE8" t="str">
            <v>Meta Programada en SIM de HCB Integral</v>
          </cell>
          <cell r="AF8" t="str">
            <v>Metas Sociales y Financieras</v>
          </cell>
          <cell r="AG8" t="str">
            <v>Porcentaje de Hogares Comunitarios que cumplen los estándares de la estrategia de Cero a Siempre</v>
          </cell>
          <cell r="AH8" t="str">
            <v>Mensual</v>
          </cell>
          <cell r="AI8">
            <v>0</v>
          </cell>
          <cell r="AJ8">
            <v>0</v>
          </cell>
          <cell r="AK8">
            <v>0</v>
          </cell>
          <cell r="AL8">
            <v>0</v>
          </cell>
          <cell r="AM8">
            <v>0</v>
          </cell>
          <cell r="AN8">
            <v>0</v>
          </cell>
          <cell r="AO8">
            <v>0</v>
          </cell>
          <cell r="AP8" t="str">
            <v>x</v>
          </cell>
          <cell r="AQ8" t="str">
            <v>x</v>
          </cell>
          <cell r="AR8" t="str">
            <v>x</v>
          </cell>
          <cell r="AS8" t="str">
            <v>x</v>
          </cell>
          <cell r="AT8" t="str">
            <v>x</v>
          </cell>
        </row>
        <row r="9">
          <cell r="B9">
            <v>5</v>
          </cell>
          <cell r="C9" t="str">
            <v>MPM1</v>
          </cell>
          <cell r="D9" t="str">
            <v xml:space="preserve">Gestión para la Atención Integral a la Primera Infancia </v>
          </cell>
          <cell r="E9" t="str">
            <v>N/A</v>
          </cell>
          <cell r="F9" t="str">
            <v>N/A</v>
          </cell>
          <cell r="G9" t="str">
            <v>Gestión misional y de gobierno</v>
          </cell>
          <cell r="H9" t="str">
            <v>Indicadores y metas de gobierno</v>
          </cell>
          <cell r="I9">
            <v>0</v>
          </cell>
          <cell r="J9">
            <v>0</v>
          </cell>
          <cell r="K9" t="str">
            <v xml:space="preserve">Dirección de Primera Infancia </v>
          </cell>
          <cell r="L9" t="str">
            <v>PA-05</v>
          </cell>
          <cell r="M9" t="str">
            <v>Número de agentes educativos formados en el proceso de Atención Integral a la Primera Infancia.</v>
          </cell>
          <cell r="N9" t="str">
            <v>Conocer el número de agentes educativos formados o cualificados para la Atención Integral de los niños y niñas menores de cinco años.</v>
          </cell>
          <cell r="O9" t="str">
            <v>Creciente</v>
          </cell>
          <cell r="P9" t="str">
            <v>Calidad</v>
          </cell>
          <cell r="Q9">
            <v>0</v>
          </cell>
          <cell r="R9" t="str">
            <v>Producto</v>
          </cell>
          <cell r="S9" t="str">
            <v>Eficacia</v>
          </cell>
          <cell r="T9">
            <v>20000</v>
          </cell>
          <cell r="U9" t="str">
            <v>Pte. por definir para el ICBF
PND 1.110</v>
          </cell>
          <cell r="V9" t="str">
            <v xml:space="preserve">Número </v>
          </cell>
          <cell r="W9" t="str">
            <v>Si</v>
          </cell>
          <cell r="X9" t="str">
            <v>Si</v>
          </cell>
          <cell r="Y9" t="str">
            <v>No</v>
          </cell>
          <cell r="Z9" t="str">
            <v>Si</v>
          </cell>
          <cell r="AA9" t="str">
            <v>Si</v>
          </cell>
          <cell r="AB9" t="str">
            <v>Si</v>
          </cell>
          <cell r="AC9" t="str">
            <v>Sumatoria de agentes educativos comunitarios e institucionales, formados en atención integral a la Primera Infancia</v>
          </cell>
          <cell r="AD9" t="str">
            <v>Sistema de Información de formación y cualificación de agentes educativos o el Sistema de Información de Primera Infancia - CUENTAME**</v>
          </cell>
          <cell r="AE9" t="str">
            <v>Meta de formación y cualificación de AE</v>
          </cell>
          <cell r="AF9" t="str">
            <v>Meta Plan Indicativo Institucional</v>
          </cell>
          <cell r="AG9" t="str">
            <v>Número de agentes educativos formados o cualificados en el proceso de Atención Integral</v>
          </cell>
          <cell r="AH9" t="str">
            <v>Mensual</v>
          </cell>
          <cell r="AI9">
            <v>0</v>
          </cell>
          <cell r="AJ9">
            <v>0</v>
          </cell>
          <cell r="AK9">
            <v>0</v>
          </cell>
          <cell r="AL9" t="str">
            <v>x</v>
          </cell>
          <cell r="AM9" t="str">
            <v>x</v>
          </cell>
          <cell r="AN9" t="str">
            <v>x</v>
          </cell>
          <cell r="AO9" t="str">
            <v>x</v>
          </cell>
          <cell r="AP9" t="str">
            <v>x</v>
          </cell>
          <cell r="AQ9" t="str">
            <v>x</v>
          </cell>
          <cell r="AR9" t="str">
            <v>x</v>
          </cell>
          <cell r="AS9" t="str">
            <v>x</v>
          </cell>
          <cell r="AT9" t="str">
            <v>x</v>
          </cell>
        </row>
        <row r="10">
          <cell r="B10">
            <v>6</v>
          </cell>
          <cell r="C10" t="str">
            <v>MPM1</v>
          </cell>
          <cell r="D10" t="str">
            <v xml:space="preserve">Gestión para la Atención Integral a la Primera Infancia </v>
          </cell>
          <cell r="E10" t="str">
            <v>N/A</v>
          </cell>
          <cell r="F10" t="str">
            <v>N/A</v>
          </cell>
          <cell r="G10" t="str">
            <v>Gestión misional y de gobierno</v>
          </cell>
          <cell r="H10" t="str">
            <v>Indicadores y metas de gobierno</v>
          </cell>
          <cell r="I10">
            <v>0</v>
          </cell>
          <cell r="J10">
            <v>0</v>
          </cell>
          <cell r="K10" t="str">
            <v xml:space="preserve">Dirección de Primera Infancia </v>
          </cell>
          <cell r="L10" t="str">
            <v>PA-06</v>
          </cell>
          <cell r="M10" t="str">
            <v>Número de CDIs entregados para operación de la modalidades de Atención Integral a la Primera Infancia</v>
          </cell>
          <cell r="N10" t="str">
            <v>Conocer el número nuevas infraestructuras de CDIs que serán entregados en la vigencias para operación de la modalidades de Atención Integral a la Primera Infancia.</v>
          </cell>
          <cell r="O10" t="str">
            <v>Creciente</v>
          </cell>
          <cell r="P10" t="str">
            <v>Calidad</v>
          </cell>
          <cell r="Q10">
            <v>70</v>
          </cell>
          <cell r="R10" t="str">
            <v>Producto</v>
          </cell>
          <cell r="S10" t="str">
            <v>Eficacia</v>
          </cell>
          <cell r="T10">
            <v>50</v>
          </cell>
          <cell r="U10">
            <v>150</v>
          </cell>
          <cell r="V10" t="str">
            <v xml:space="preserve">Número </v>
          </cell>
          <cell r="W10" t="str">
            <v>Si</v>
          </cell>
          <cell r="X10" t="str">
            <v>Si</v>
          </cell>
          <cell r="Y10" t="str">
            <v>No</v>
          </cell>
          <cell r="Z10" t="str">
            <v>No</v>
          </cell>
          <cell r="AA10" t="str">
            <v>Si</v>
          </cell>
          <cell r="AB10" t="str">
            <v>Si</v>
          </cell>
          <cell r="AC10" t="str">
            <v>Sumatoria de nuevas infraestructuras CDIs entregadas en la vigencia</v>
          </cell>
          <cell r="AD10" t="str">
            <v>Dirección  Administrativa</v>
          </cell>
          <cell r="AE10" t="str">
            <v>Meta programada de CDIs entregados para operación</v>
          </cell>
          <cell r="AF10" t="str">
            <v>Meta Plan Indicativo Institucional</v>
          </cell>
          <cell r="AG10" t="str">
            <v>Número de nuevas infraestructuras CDIs entregadas en la vigencia para inicio de operación de las modalidades de atención integral a la Primera Infancia</v>
          </cell>
          <cell r="AH10" t="str">
            <v>Semestral</v>
          </cell>
          <cell r="AI10">
            <v>0</v>
          </cell>
          <cell r="AJ10">
            <v>0</v>
          </cell>
          <cell r="AK10">
            <v>0</v>
          </cell>
          <cell r="AL10">
            <v>0</v>
          </cell>
          <cell r="AM10">
            <v>0</v>
          </cell>
          <cell r="AN10" t="str">
            <v>x</v>
          </cell>
          <cell r="AO10">
            <v>0</v>
          </cell>
          <cell r="AP10">
            <v>0</v>
          </cell>
          <cell r="AQ10">
            <v>0</v>
          </cell>
          <cell r="AR10">
            <v>0</v>
          </cell>
          <cell r="AS10">
            <v>0</v>
          </cell>
          <cell r="AT10" t="str">
            <v>x</v>
          </cell>
        </row>
        <row r="11">
          <cell r="B11">
            <v>7</v>
          </cell>
          <cell r="C11" t="str">
            <v>MPM1</v>
          </cell>
          <cell r="D11" t="str">
            <v xml:space="preserve">Gestión para la Atención Integral a la Primera Infancia </v>
          </cell>
          <cell r="E11" t="str">
            <v>N/A</v>
          </cell>
          <cell r="F11" t="str">
            <v>N/A</v>
          </cell>
          <cell r="G11" t="str">
            <v>Gestión misional y de gobierno</v>
          </cell>
          <cell r="H11" t="str">
            <v>Indicadores y metas de gobierno</v>
          </cell>
          <cell r="I11">
            <v>0</v>
          </cell>
          <cell r="J11">
            <v>0</v>
          </cell>
          <cell r="K11" t="str">
            <v xml:space="preserve">Dirección de Primera Infancia </v>
          </cell>
          <cell r="L11" t="str">
            <v>PA-07</v>
          </cell>
          <cell r="M11" t="str">
            <v>Número de Unidades de servicio con salas de lectura implementadas.</v>
          </cell>
          <cell r="N11" t="str">
            <v>Medir las unidades de servicio de las diferentes modalidades de atención a Primera Infancia del ICBF, que cuentan con Salas de Lectura en el marco de la Estrategia Fiesta de la Lectura.</v>
          </cell>
          <cell r="O11" t="str">
            <v>Creciente</v>
          </cell>
          <cell r="P11" t="str">
            <v>Calidad</v>
          </cell>
          <cell r="Q11">
            <v>25</v>
          </cell>
          <cell r="R11" t="str">
            <v>Gestión</v>
          </cell>
          <cell r="S11" t="str">
            <v>Eficacia</v>
          </cell>
          <cell r="T11">
            <v>70</v>
          </cell>
          <cell r="U11">
            <v>300</v>
          </cell>
          <cell r="V11" t="str">
            <v xml:space="preserve">Número </v>
          </cell>
          <cell r="W11" t="str">
            <v>Si</v>
          </cell>
          <cell r="X11" t="str">
            <v>Si</v>
          </cell>
          <cell r="Y11" t="str">
            <v>No</v>
          </cell>
          <cell r="Z11" t="str">
            <v>Si</v>
          </cell>
          <cell r="AA11" t="str">
            <v>Si</v>
          </cell>
          <cell r="AB11" t="str">
            <v>Si</v>
          </cell>
          <cell r="AC11" t="str">
            <v>Número de unidades de servicio que cuentan con Sala de lectura en el marco de la Estrategia Fiesta de la Lectura</v>
          </cell>
          <cell r="AD11" t="str">
            <v>Reporte del operador de la estrategia fiesta de la lectura</v>
          </cell>
          <cell r="AE11" t="str">
            <v>Meta programada estrategia fiesta de la lectura</v>
          </cell>
          <cell r="AF11" t="str">
            <v>Meta Plan Indicativo Institucional</v>
          </cell>
          <cell r="AG11" t="str">
            <v>Número de unidades de servicio que cuentan con Sala de lectura en el marco de la Estrategia Fiesta de la Lectura</v>
          </cell>
          <cell r="AH11" t="str">
            <v>Trimestral</v>
          </cell>
          <cell r="AI11">
            <v>0</v>
          </cell>
          <cell r="AJ11">
            <v>0</v>
          </cell>
          <cell r="AK11" t="str">
            <v>x</v>
          </cell>
          <cell r="AL11">
            <v>0</v>
          </cell>
          <cell r="AM11">
            <v>0</v>
          </cell>
          <cell r="AN11" t="str">
            <v>x</v>
          </cell>
          <cell r="AO11">
            <v>0</v>
          </cell>
          <cell r="AP11">
            <v>0</v>
          </cell>
          <cell r="AQ11" t="str">
            <v>x</v>
          </cell>
          <cell r="AR11">
            <v>0</v>
          </cell>
          <cell r="AS11">
            <v>0</v>
          </cell>
          <cell r="AT11" t="str">
            <v>x</v>
          </cell>
        </row>
        <row r="12">
          <cell r="B12">
            <v>8</v>
          </cell>
          <cell r="C12" t="str">
            <v>MPM1</v>
          </cell>
          <cell r="D12" t="str">
            <v xml:space="preserve">Gestión para la Atención Integral a la Primera Infancia </v>
          </cell>
          <cell r="E12" t="str">
            <v>N/A</v>
          </cell>
          <cell r="F12" t="str">
            <v>N/A</v>
          </cell>
          <cell r="G12" t="str">
            <v>Gestión misional y de gobierno</v>
          </cell>
          <cell r="H12" t="str">
            <v>Indicadores y metas de gobierno</v>
          </cell>
          <cell r="I12">
            <v>0</v>
          </cell>
          <cell r="J12">
            <v>0</v>
          </cell>
          <cell r="K12" t="str">
            <v xml:space="preserve">Dirección de Primera Infancia </v>
          </cell>
          <cell r="L12" t="str">
            <v>PA-08</v>
          </cell>
          <cell r="M12" t="str">
            <v>Porcentaje de UDS fortalecidas en la implementación de la Estrategia de Atención Integral a la Primera Infancia.</v>
          </cell>
          <cell r="N12" t="str">
            <v>Conocer el numero de Unidades de Servicio que reciben el acompañamiento y se fortalecen en la implementación de los estándares de calidad de la estrategia de Cero a Siempre.</v>
          </cell>
          <cell r="O12" t="str">
            <v>Creciente</v>
          </cell>
          <cell r="P12" t="str">
            <v>Calidad</v>
          </cell>
          <cell r="Q12">
            <v>0.5</v>
          </cell>
          <cell r="R12" t="str">
            <v>Gestión</v>
          </cell>
          <cell r="S12" t="str">
            <v>Eficacia</v>
          </cell>
          <cell r="T12">
            <v>0.5</v>
          </cell>
          <cell r="U12">
            <v>0.9</v>
          </cell>
          <cell r="V12" t="str">
            <v>Porcentaje</v>
          </cell>
          <cell r="W12" t="str">
            <v>Si</v>
          </cell>
          <cell r="X12" t="str">
            <v>Si</v>
          </cell>
          <cell r="Y12" t="str">
            <v>No</v>
          </cell>
          <cell r="Z12" t="str">
            <v>Si</v>
          </cell>
          <cell r="AA12" t="str">
            <v>Si</v>
          </cell>
          <cell r="AB12" t="str">
            <v>Si</v>
          </cell>
          <cell r="AC12" t="str">
            <v>Número de UDS que se fortalecieron en la implementación de los estándares de calidad de la estrategia de Cero a Siempre</v>
          </cell>
          <cell r="AD12" t="str">
            <v>Reporte de los operados del fortalecimiento a EAS.</v>
          </cell>
          <cell r="AE12" t="str">
            <v>Numero de UDS focalizadas para recibir el fortalecimiento en la implementación de los estándares de calidad de la estrategia de Cero a Siempre</v>
          </cell>
          <cell r="AF12" t="str">
            <v>Sistema de información de primera infancia CUENTAME</v>
          </cell>
          <cell r="AG12" t="str">
            <v>Porcentaje de UDS fortalecidas en la implementación de los estándares de calidad de la estrategia de Cero a Siempre</v>
          </cell>
          <cell r="AH12" t="str">
            <v>Mensual</v>
          </cell>
          <cell r="AI12">
            <v>0</v>
          </cell>
          <cell r="AJ12">
            <v>0</v>
          </cell>
          <cell r="AK12" t="str">
            <v>x</v>
          </cell>
          <cell r="AL12" t="str">
            <v>x</v>
          </cell>
          <cell r="AM12" t="str">
            <v>x</v>
          </cell>
          <cell r="AN12" t="str">
            <v>x</v>
          </cell>
          <cell r="AO12" t="str">
            <v>x</v>
          </cell>
          <cell r="AP12" t="str">
            <v>x</v>
          </cell>
          <cell r="AQ12" t="str">
            <v>x</v>
          </cell>
          <cell r="AR12" t="str">
            <v>x</v>
          </cell>
          <cell r="AS12" t="str">
            <v>x</v>
          </cell>
          <cell r="AT12" t="str">
            <v>x</v>
          </cell>
        </row>
        <row r="13">
          <cell r="B13">
            <v>9</v>
          </cell>
          <cell r="C13" t="str">
            <v>MPM1</v>
          </cell>
          <cell r="D13" t="str">
            <v xml:space="preserve">Gestión para la Atención Integral a la Primera Infancia </v>
          </cell>
          <cell r="E13" t="str">
            <v>N/A</v>
          </cell>
          <cell r="F13" t="str">
            <v>N/A</v>
          </cell>
          <cell r="G13" t="str">
            <v>Gestión misional y de gobierno</v>
          </cell>
          <cell r="H13" t="str">
            <v>Indicadores y metas de gobierno</v>
          </cell>
          <cell r="I13">
            <v>0</v>
          </cell>
          <cell r="J13">
            <v>0</v>
          </cell>
          <cell r="K13" t="str">
            <v xml:space="preserve">Dirección de Primera Infancia </v>
          </cell>
          <cell r="L13" t="str">
            <v>PA-09</v>
          </cell>
          <cell r="M13" t="str">
            <v>Número de municipios con acompañamiento para la implementación de la ruta integral de atenciones.</v>
          </cell>
          <cell r="N13" t="str">
            <v>Municipios que reciben orientaciones técnicas en la apropiación e implementación de la ruta integral de atenciones.</v>
          </cell>
          <cell r="O13" t="str">
            <v>Creciente</v>
          </cell>
          <cell r="P13" t="str">
            <v>Calidad</v>
          </cell>
          <cell r="Q13">
            <v>150</v>
          </cell>
          <cell r="R13" t="str">
            <v>Gestión</v>
          </cell>
          <cell r="S13" t="str">
            <v>Eficacia</v>
          </cell>
          <cell r="T13">
            <v>150</v>
          </cell>
          <cell r="U13">
            <v>350</v>
          </cell>
          <cell r="V13" t="str">
            <v xml:space="preserve">Número </v>
          </cell>
          <cell r="W13" t="str">
            <v>Si</v>
          </cell>
          <cell r="X13" t="str">
            <v>Si</v>
          </cell>
          <cell r="Y13" t="str">
            <v>No</v>
          </cell>
          <cell r="Z13" t="str">
            <v>Si</v>
          </cell>
          <cell r="AA13" t="str">
            <v>Si</v>
          </cell>
          <cell r="AB13" t="str">
            <v>Si</v>
          </cell>
          <cell r="AC13" t="str">
            <v>Número de Municipios que recibieron la orientación técnica en la apropiación e implementación de la ruta integral de atenciones.</v>
          </cell>
          <cell r="AD13" t="str">
            <v>Reporte del proceso de acompañamiento</v>
          </cell>
          <cell r="AE13" t="str">
            <v>Total de municipios y departamentos focalizados en la vigencia para recibir las orientaciones técnicas en la apropiación e implementación de la ruta integral de atenciones.</v>
          </cell>
          <cell r="AF13" t="str">
            <v>Meta Plan Indicativo Institucional</v>
          </cell>
          <cell r="AG13" t="str">
            <v xml:space="preserve"> Número de municipios con acompañamiento para la implementación de la ruta integral de atenciones.</v>
          </cell>
          <cell r="AH13" t="str">
            <v>Mensual</v>
          </cell>
          <cell r="AI13">
            <v>0</v>
          </cell>
          <cell r="AJ13">
            <v>0</v>
          </cell>
          <cell r="AK13">
            <v>0</v>
          </cell>
          <cell r="AL13" t="str">
            <v>x</v>
          </cell>
          <cell r="AM13" t="str">
            <v>x</v>
          </cell>
          <cell r="AN13" t="str">
            <v>x</v>
          </cell>
          <cell r="AO13" t="str">
            <v>x</v>
          </cell>
          <cell r="AP13" t="str">
            <v>x</v>
          </cell>
          <cell r="AQ13" t="str">
            <v>x</v>
          </cell>
          <cell r="AR13" t="str">
            <v>x</v>
          </cell>
          <cell r="AS13" t="str">
            <v>x</v>
          </cell>
          <cell r="AT13" t="str">
            <v>x</v>
          </cell>
        </row>
        <row r="14">
          <cell r="B14">
            <v>10</v>
          </cell>
          <cell r="C14" t="str">
            <v>MPM1</v>
          </cell>
          <cell r="D14" t="str">
            <v xml:space="preserve">Gestión para la Atención Integral a la Primera Infancia </v>
          </cell>
          <cell r="E14" t="str">
            <v>N/A</v>
          </cell>
          <cell r="F14" t="str">
            <v>N/A</v>
          </cell>
          <cell r="G14" t="str">
            <v>Gestión misional y de gobierno</v>
          </cell>
          <cell r="H14" t="str">
            <v>Indicadores y metas de gobierno</v>
          </cell>
          <cell r="I14">
            <v>0</v>
          </cell>
          <cell r="J14">
            <v>0</v>
          </cell>
          <cell r="K14" t="str">
            <v xml:space="preserve">Dirección de Primera Infancia </v>
          </cell>
          <cell r="L14" t="str">
            <v>PA-10</v>
          </cell>
          <cell r="M14" t="str">
            <v>Número de visitas de supervisión realizadas a las modalidades de Primera Infancia.</v>
          </cell>
          <cell r="N14" t="str">
            <v>Medir el número de visitas realizadas en el proceso de supervisión a las modalidades de Primera Infancia.</v>
          </cell>
          <cell r="O14" t="str">
            <v>Creciente</v>
          </cell>
          <cell r="P14" t="str">
            <v>Calidad</v>
          </cell>
          <cell r="Q14">
            <v>0</v>
          </cell>
          <cell r="R14" t="str">
            <v>Producto</v>
          </cell>
          <cell r="S14" t="str">
            <v>Eficacia</v>
          </cell>
          <cell r="T14">
            <v>60000</v>
          </cell>
          <cell r="U14">
            <v>240000</v>
          </cell>
          <cell r="V14" t="str">
            <v xml:space="preserve">Número </v>
          </cell>
          <cell r="W14" t="str">
            <v>Si</v>
          </cell>
          <cell r="X14" t="str">
            <v>Si</v>
          </cell>
          <cell r="Y14" t="str">
            <v>No</v>
          </cell>
          <cell r="Z14" t="str">
            <v>No</v>
          </cell>
          <cell r="AA14" t="str">
            <v>Si</v>
          </cell>
          <cell r="AB14" t="str">
            <v>Si</v>
          </cell>
          <cell r="AC14" t="str">
            <v>Número de visitas realizadas en la implementación del proceso de supervisión a las modalidades de Primera Infancia.</v>
          </cell>
          <cell r="AD14" t="str">
            <v>Reporte generado por el equipo de Supervisión.</v>
          </cell>
          <cell r="AE14" t="str">
            <v>Meta programada de visitas de supervisión</v>
          </cell>
          <cell r="AF14" t="str">
            <v>Meta Plan Indicativo Institucional</v>
          </cell>
          <cell r="AG14" t="str">
            <v>Número de visitas de supervisión realizadas a las modalidades de Primera Infancia.</v>
          </cell>
          <cell r="AH14" t="str">
            <v>Mensual</v>
          </cell>
          <cell r="AI14">
            <v>0</v>
          </cell>
          <cell r="AJ14">
            <v>0</v>
          </cell>
          <cell r="AK14">
            <v>0</v>
          </cell>
          <cell r="AL14" t="str">
            <v>x</v>
          </cell>
          <cell r="AM14" t="str">
            <v>x</v>
          </cell>
          <cell r="AN14" t="str">
            <v>x</v>
          </cell>
          <cell r="AO14" t="str">
            <v>x</v>
          </cell>
          <cell r="AP14" t="str">
            <v>x</v>
          </cell>
          <cell r="AQ14" t="str">
            <v>x</v>
          </cell>
          <cell r="AR14" t="str">
            <v>x</v>
          </cell>
          <cell r="AS14" t="str">
            <v>x</v>
          </cell>
          <cell r="AT14" t="str">
            <v>x</v>
          </cell>
        </row>
        <row r="15">
          <cell r="B15">
            <v>11</v>
          </cell>
          <cell r="C15" t="str">
            <v>MPM1</v>
          </cell>
          <cell r="D15" t="str">
            <v xml:space="preserve">Gestión para la Atención Integral a la Primera Infancia </v>
          </cell>
          <cell r="E15" t="str">
            <v>N/A</v>
          </cell>
          <cell r="F15" t="str">
            <v>N/A</v>
          </cell>
          <cell r="G15" t="str">
            <v>N/A</v>
          </cell>
          <cell r="H15" t="str">
            <v>N/A</v>
          </cell>
          <cell r="I15">
            <v>0</v>
          </cell>
          <cell r="J15">
            <v>0</v>
          </cell>
          <cell r="K15" t="str">
            <v xml:space="preserve">Dirección de Primera Infancia </v>
          </cell>
          <cell r="L15" t="str">
            <v>MPM1-01</v>
          </cell>
          <cell r="M15" t="str">
            <v>Número de niños y niñas atendidos en Hogares Comunitarios de Bienestar Tradicionales.</v>
          </cell>
          <cell r="N15" t="str">
            <v>Conocer el número de niños y niñas son atendidos en Hogares Comunitarios de Bienestar Tradicionales.</v>
          </cell>
          <cell r="O15" t="str">
            <v>Decreciente</v>
          </cell>
          <cell r="P15" t="str">
            <v>Calidad</v>
          </cell>
          <cell r="Q15">
            <v>925529</v>
          </cell>
          <cell r="R15" t="str">
            <v>Producto</v>
          </cell>
          <cell r="S15" t="str">
            <v>Eficacia</v>
          </cell>
          <cell r="T15">
            <v>777706</v>
          </cell>
          <cell r="U15">
            <v>400000</v>
          </cell>
          <cell r="V15" t="str">
            <v xml:space="preserve">Número </v>
          </cell>
          <cell r="W15" t="str">
            <v>Si</v>
          </cell>
          <cell r="X15" t="str">
            <v>Si</v>
          </cell>
          <cell r="Y15" t="str">
            <v>No</v>
          </cell>
          <cell r="Z15" t="str">
            <v>No</v>
          </cell>
          <cell r="AA15" t="str">
            <v>No</v>
          </cell>
          <cell r="AB15" t="str">
            <v>No</v>
          </cell>
          <cell r="AC15" t="str">
            <v>Número de niños y niñas atendidos en las modalidades Hogares Comunitarios Familiares, FAMI, Grupal y otras formas de atención tradicionales</v>
          </cell>
          <cell r="AD15" t="str">
            <v>Consolidado Metas Sociales y Financieras</v>
          </cell>
          <cell r="AE15" t="str">
            <v>Meta Programada en SIM de modalidades Hogares Comunitarios Familiares, FAMI, Grupal y otras formas de atención tradicionales</v>
          </cell>
          <cell r="AF15" t="str">
            <v>Consolidado de Metas Sociales y Financieras (Programación Vigente)</v>
          </cell>
          <cell r="AG15" t="str">
            <v>Número de niños y niñas atendidos en las modalidades Hogares Comunitarios Familiares, FAMI, Grupal y otras formas de atención tradicionales</v>
          </cell>
          <cell r="AH15" t="str">
            <v>Mensual</v>
          </cell>
          <cell r="AI15">
            <v>0</v>
          </cell>
          <cell r="AJ15" t="str">
            <v>x</v>
          </cell>
          <cell r="AK15" t="str">
            <v>x</v>
          </cell>
          <cell r="AL15" t="str">
            <v>x</v>
          </cell>
          <cell r="AM15" t="str">
            <v>x</v>
          </cell>
          <cell r="AN15" t="str">
            <v>x</v>
          </cell>
          <cell r="AO15" t="str">
            <v>x</v>
          </cell>
          <cell r="AP15" t="str">
            <v>x</v>
          </cell>
          <cell r="AQ15" t="str">
            <v>x</v>
          </cell>
          <cell r="AR15" t="str">
            <v>x</v>
          </cell>
          <cell r="AS15" t="str">
            <v>x</v>
          </cell>
          <cell r="AT15" t="str">
            <v>x</v>
          </cell>
        </row>
        <row r="16">
          <cell r="B16">
            <v>12</v>
          </cell>
          <cell r="C16" t="str">
            <v>MPM1</v>
          </cell>
          <cell r="D16" t="str">
            <v xml:space="preserve">Gestión para la Atención Integral a la Primera Infancia </v>
          </cell>
          <cell r="E16" t="str">
            <v>N/A</v>
          </cell>
          <cell r="F16" t="str">
            <v>N/A</v>
          </cell>
          <cell r="G16" t="str">
            <v>N/A</v>
          </cell>
          <cell r="H16" t="str">
            <v>N/A</v>
          </cell>
          <cell r="I16">
            <v>0</v>
          </cell>
          <cell r="J16">
            <v>0</v>
          </cell>
          <cell r="K16" t="str">
            <v xml:space="preserve">Dirección de Primera Infancia </v>
          </cell>
          <cell r="L16" t="str">
            <v>MPM1-02</v>
          </cell>
          <cell r="M16" t="str">
            <v>Número de niños y niñas con atención integral a la primera infancia con valoración y seguimiento nutricional.</v>
          </cell>
          <cell r="N16" t="str">
            <v>Cantidad de niños y niñas en primera infancia que registran valoración de su estado nutricional y seguimiento del mismo.</v>
          </cell>
          <cell r="O16" t="str">
            <v>Creciente</v>
          </cell>
          <cell r="P16" t="str">
            <v>Calidad</v>
          </cell>
          <cell r="Q16">
            <v>973005</v>
          </cell>
          <cell r="R16" t="str">
            <v>Producto</v>
          </cell>
          <cell r="S16" t="str">
            <v>Eficacia</v>
          </cell>
          <cell r="T16">
            <v>1400000</v>
          </cell>
          <cell r="U16">
            <v>2000000</v>
          </cell>
          <cell r="V16" t="str">
            <v xml:space="preserve">Número </v>
          </cell>
          <cell r="W16" t="str">
            <v>Si</v>
          </cell>
          <cell r="X16" t="str">
            <v>Si</v>
          </cell>
          <cell r="Y16" t="str">
            <v>No</v>
          </cell>
          <cell r="Z16" t="str">
            <v>No</v>
          </cell>
          <cell r="AA16" t="str">
            <v>No</v>
          </cell>
          <cell r="AB16" t="str">
            <v>No</v>
          </cell>
          <cell r="AC16" t="str">
            <v>Número de niños y niñas que registran valoración y seguimiento de su estado nutricional.</v>
          </cell>
          <cell r="AD16" t="str">
            <v xml:space="preserve">Sistema de Información de Primera Infancia </v>
          </cell>
          <cell r="AE16" t="str">
            <v>Meta Programada en SIM de modalidades en Atención Integral</v>
          </cell>
          <cell r="AF16" t="str">
            <v>Consolidado de Metas Sociales y Financieras (Programación Vigente)</v>
          </cell>
          <cell r="AG16" t="str">
            <v>Numero de niñas y niños en atención integral de primera infancia con valoración inicial y seguimiento nutricional ** Para la calificación se mide frente a la meta programada a nivel consolidado y regional.</v>
          </cell>
          <cell r="AH16" t="str">
            <v>Trimestral</v>
          </cell>
          <cell r="AI16">
            <v>0</v>
          </cell>
          <cell r="AJ16">
            <v>0</v>
          </cell>
          <cell r="AK16" t="str">
            <v>x</v>
          </cell>
          <cell r="AL16">
            <v>0</v>
          </cell>
          <cell r="AM16">
            <v>0</v>
          </cell>
          <cell r="AN16" t="str">
            <v>x</v>
          </cell>
          <cell r="AO16">
            <v>0</v>
          </cell>
          <cell r="AP16">
            <v>0</v>
          </cell>
          <cell r="AQ16" t="str">
            <v>x</v>
          </cell>
          <cell r="AR16">
            <v>0</v>
          </cell>
          <cell r="AS16">
            <v>0</v>
          </cell>
          <cell r="AT16" t="str">
            <v>x</v>
          </cell>
        </row>
        <row r="17">
          <cell r="B17">
            <v>13</v>
          </cell>
          <cell r="C17" t="str">
            <v>MPM1</v>
          </cell>
          <cell r="D17" t="str">
            <v xml:space="preserve">Gestión para la Atención Integral a la Primera Infancia </v>
          </cell>
          <cell r="E17" t="str">
            <v>N/A</v>
          </cell>
          <cell r="F17" t="str">
            <v>N/A</v>
          </cell>
          <cell r="G17" t="str">
            <v>N/A</v>
          </cell>
          <cell r="H17" t="str">
            <v>N/A</v>
          </cell>
          <cell r="I17">
            <v>0</v>
          </cell>
          <cell r="J17">
            <v>0</v>
          </cell>
          <cell r="K17" t="str">
            <v xml:space="preserve">Dirección de Primera Infancia </v>
          </cell>
          <cell r="L17" t="str">
            <v>MPM1-03</v>
          </cell>
          <cell r="M17" t="str">
            <v xml:space="preserve">Número de niños y niñas atendidos integralmente que cuentan con registro civil </v>
          </cell>
          <cell r="N17" t="str">
            <v>Conocer el numero de niños y niñas en primera infancia que cuentan con Registro Civil de Nacimiento</v>
          </cell>
          <cell r="O17" t="str">
            <v>Creciente</v>
          </cell>
          <cell r="P17" t="str">
            <v>Calidad</v>
          </cell>
          <cell r="Q17">
            <v>874465</v>
          </cell>
          <cell r="R17" t="str">
            <v>Producto</v>
          </cell>
          <cell r="S17" t="str">
            <v>Eficacia</v>
          </cell>
          <cell r="T17">
            <v>1400000</v>
          </cell>
          <cell r="U17">
            <v>2000000</v>
          </cell>
          <cell r="V17" t="str">
            <v xml:space="preserve">Número </v>
          </cell>
          <cell r="W17" t="str">
            <v>Si</v>
          </cell>
          <cell r="X17" t="str">
            <v>Si</v>
          </cell>
          <cell r="Y17" t="str">
            <v>No</v>
          </cell>
          <cell r="Z17" t="str">
            <v>No</v>
          </cell>
          <cell r="AA17" t="str">
            <v>No</v>
          </cell>
          <cell r="AB17" t="str">
            <v>No</v>
          </cell>
          <cell r="AC17" t="str">
            <v>Numero de niños y niñas atendidos en las modalidades de Atención Integral a la Primera Infancia que cuentan con Registro Civil de Nacimiento.</v>
          </cell>
          <cell r="AD17" t="str">
            <v>Sistema de Información de primera infancia</v>
          </cell>
          <cell r="AE17" t="str">
            <v>Meta Programada en SIM de modalidades en Atención Integral</v>
          </cell>
          <cell r="AF17" t="str">
            <v>Metas sociales y financieras</v>
          </cell>
          <cell r="AG17" t="str">
            <v>Numero de niños y niñas atendidos en modalidades de atención integral a la primera infancia que cuentan con Registro Civil de Nacimiento.</v>
          </cell>
          <cell r="AH17" t="str">
            <v>Trimestral</v>
          </cell>
          <cell r="AI17">
            <v>0</v>
          </cell>
          <cell r="AJ17">
            <v>0</v>
          </cell>
          <cell r="AK17" t="str">
            <v>x</v>
          </cell>
          <cell r="AL17">
            <v>0</v>
          </cell>
          <cell r="AM17">
            <v>0</v>
          </cell>
          <cell r="AN17" t="str">
            <v>x</v>
          </cell>
          <cell r="AO17">
            <v>0</v>
          </cell>
          <cell r="AP17">
            <v>0</v>
          </cell>
          <cell r="AQ17" t="str">
            <v>x</v>
          </cell>
          <cell r="AR17">
            <v>0</v>
          </cell>
          <cell r="AS17">
            <v>0</v>
          </cell>
          <cell r="AT17" t="str">
            <v>x</v>
          </cell>
        </row>
        <row r="18">
          <cell r="B18">
            <v>14</v>
          </cell>
          <cell r="C18" t="str">
            <v>MPM1</v>
          </cell>
          <cell r="D18" t="str">
            <v xml:space="preserve">Gestión para la Atención Integral a la Primera Infancia </v>
          </cell>
          <cell r="E18" t="str">
            <v>N/A</v>
          </cell>
          <cell r="F18" t="str">
            <v>N/A</v>
          </cell>
          <cell r="G18" t="str">
            <v>N/A</v>
          </cell>
          <cell r="H18" t="str">
            <v>N/A</v>
          </cell>
          <cell r="I18">
            <v>0</v>
          </cell>
          <cell r="J18">
            <v>0</v>
          </cell>
          <cell r="K18" t="str">
            <v xml:space="preserve">Dirección de Primera Infancia </v>
          </cell>
          <cell r="L18" t="str">
            <v>MPM1-04</v>
          </cell>
          <cell r="M18" t="str">
            <v>Número de niños y niñas atendidos integralmente que cuentan con esquema de vacunación completo</v>
          </cell>
          <cell r="N18" t="str">
            <v>Conocer el numero de niños y niñas en primera infancia que cuentan con esquema de vacunación completo</v>
          </cell>
          <cell r="O18" t="str">
            <v>Creciente</v>
          </cell>
          <cell r="P18" t="str">
            <v>Calidad</v>
          </cell>
          <cell r="Q18">
            <v>0</v>
          </cell>
          <cell r="R18" t="str">
            <v>Producto</v>
          </cell>
          <cell r="S18" t="str">
            <v>Eficacia</v>
          </cell>
          <cell r="T18">
            <v>1400000</v>
          </cell>
          <cell r="U18">
            <v>2000000</v>
          </cell>
          <cell r="V18" t="str">
            <v xml:space="preserve">Número </v>
          </cell>
          <cell r="W18" t="str">
            <v>Si</v>
          </cell>
          <cell r="X18" t="str">
            <v>Si</v>
          </cell>
          <cell r="Y18" t="str">
            <v>No</v>
          </cell>
          <cell r="Z18" t="str">
            <v>No</v>
          </cell>
          <cell r="AA18" t="str">
            <v>No</v>
          </cell>
          <cell r="AB18" t="str">
            <v>No</v>
          </cell>
          <cell r="AC18" t="str">
            <v>Numero de niños y niñas atendidos en las modalidades de Atención Integral a la Primera Infancia que cuentan con esquema de vacunación completo</v>
          </cell>
          <cell r="AD18" t="str">
            <v>Sistema de Información de primera infancia</v>
          </cell>
          <cell r="AE18" t="str">
            <v>Meta Programada en SIM de modalidades en Atención Integral</v>
          </cell>
          <cell r="AF18" t="str">
            <v>Consolidado de Metas Sociales y Financieras (Programación Vigente)</v>
          </cell>
          <cell r="AG18" t="str">
            <v>Numero de niños y niñas atendidos en modalidades de atención integral a la primera infancia que cuentan con esquema de vacunación completo</v>
          </cell>
          <cell r="AH18" t="str">
            <v>Trimestral</v>
          </cell>
          <cell r="AI18">
            <v>0</v>
          </cell>
          <cell r="AJ18">
            <v>0</v>
          </cell>
          <cell r="AK18" t="str">
            <v>x</v>
          </cell>
          <cell r="AL18">
            <v>0</v>
          </cell>
          <cell r="AM18">
            <v>0</v>
          </cell>
          <cell r="AN18" t="str">
            <v>x</v>
          </cell>
          <cell r="AO18">
            <v>0</v>
          </cell>
          <cell r="AP18">
            <v>0</v>
          </cell>
          <cell r="AQ18" t="str">
            <v>x</v>
          </cell>
          <cell r="AR18">
            <v>0</v>
          </cell>
          <cell r="AS18">
            <v>0</v>
          </cell>
          <cell r="AT18" t="str">
            <v>x</v>
          </cell>
        </row>
        <row r="19">
          <cell r="B19">
            <v>15</v>
          </cell>
          <cell r="C19" t="str">
            <v>MPM1</v>
          </cell>
          <cell r="D19" t="str">
            <v xml:space="preserve">Gestión para la Atención Integral a la Primera Infancia </v>
          </cell>
          <cell r="E19" t="str">
            <v>N/A</v>
          </cell>
          <cell r="F19" t="str">
            <v>N/A</v>
          </cell>
          <cell r="G19" t="str">
            <v>N/A</v>
          </cell>
          <cell r="H19" t="str">
            <v>N/A</v>
          </cell>
          <cell r="I19">
            <v>0</v>
          </cell>
          <cell r="J19">
            <v>0</v>
          </cell>
          <cell r="K19" t="str">
            <v xml:space="preserve">Dirección de Primera Infancia </v>
          </cell>
          <cell r="L19" t="str">
            <v>MPM1-05</v>
          </cell>
          <cell r="M19" t="str">
            <v>Porcentaje de niños y niñas que durante la atención alcanzan tres de las realizaciones en el marco de la Estrategia de Cero a Siempre</v>
          </cell>
          <cell r="N19" t="str">
            <v>Cumplimiento en la promoción de la garantía de los derechos de los niños y niñas a través de la gestión del Registro Civil, consulta de crecimiento y desarrollo y esquema de vacunación completo en las modalidades de atención a la Primera Infancia</v>
          </cell>
          <cell r="O19" t="str">
            <v>Creciente</v>
          </cell>
          <cell r="P19" t="str">
            <v>Calidad</v>
          </cell>
          <cell r="Q19">
            <v>0.22</v>
          </cell>
          <cell r="R19" t="str">
            <v>Resultado</v>
          </cell>
          <cell r="S19" t="str">
            <v>Eficacia</v>
          </cell>
          <cell r="T19">
            <v>1</v>
          </cell>
          <cell r="U19">
            <v>1</v>
          </cell>
          <cell r="V19" t="str">
            <v>Porcentaje</v>
          </cell>
          <cell r="W19" t="str">
            <v>Si</v>
          </cell>
          <cell r="X19" t="str">
            <v>Si</v>
          </cell>
          <cell r="Y19" t="str">
            <v>No</v>
          </cell>
          <cell r="Z19" t="str">
            <v>No</v>
          </cell>
          <cell r="AA19" t="str">
            <v>No</v>
          </cell>
          <cell r="AB19" t="str">
            <v>No</v>
          </cell>
          <cell r="AC19" t="str">
            <v>Número de niños y niñas que durante la atención obtienen el registro civil de nacimiento, la consulta de crecimiento y desarrollo y el esquema de vacunación completo.</v>
          </cell>
          <cell r="AD19" t="str">
            <v>Sistema de Información de Primera Infancia</v>
          </cell>
          <cell r="AE19" t="str">
            <v>Número de niños y niñas que en la primera toma no contaban con alguna de las realizaciones: registro civil de nacimiento, consulta de crecimiento y desarrollo y esquema de vacunación completo.</v>
          </cell>
          <cell r="AF19" t="str">
            <v>Sistema de Información de Primera Infancia</v>
          </cell>
          <cell r="AG19" t="str">
            <v>Porcentaje de niños y niñas que durante la atención obtienen el registro civil de nacimiento, la consulta de crecimiento y desarrollo y el esquema de vacunación completo.</v>
          </cell>
          <cell r="AH19" t="str">
            <v>Semestral</v>
          </cell>
          <cell r="AI19">
            <v>0</v>
          </cell>
          <cell r="AJ19">
            <v>0</v>
          </cell>
          <cell r="AK19">
            <v>0</v>
          </cell>
          <cell r="AL19">
            <v>0</v>
          </cell>
          <cell r="AM19">
            <v>0</v>
          </cell>
          <cell r="AN19" t="str">
            <v>x</v>
          </cell>
          <cell r="AO19">
            <v>0</v>
          </cell>
          <cell r="AP19">
            <v>0</v>
          </cell>
          <cell r="AQ19">
            <v>0</v>
          </cell>
          <cell r="AR19">
            <v>0</v>
          </cell>
          <cell r="AS19">
            <v>0</v>
          </cell>
          <cell r="AT19" t="str">
            <v>x</v>
          </cell>
        </row>
        <row r="20">
          <cell r="B20">
            <v>16</v>
          </cell>
          <cell r="C20" t="str">
            <v>MPM1</v>
          </cell>
          <cell r="D20" t="str">
            <v xml:space="preserve">Gestión para la Atención Integral a la Primera Infancia </v>
          </cell>
          <cell r="E20" t="str">
            <v>N/A</v>
          </cell>
          <cell r="F20" t="str">
            <v>N/A</v>
          </cell>
          <cell r="G20" t="str">
            <v>N/A</v>
          </cell>
          <cell r="H20" t="str">
            <v>N/A</v>
          </cell>
          <cell r="I20">
            <v>0</v>
          </cell>
          <cell r="J20">
            <v>0</v>
          </cell>
          <cell r="K20" t="str">
            <v xml:space="preserve">Dirección de Primera Infancia </v>
          </cell>
          <cell r="L20" t="str">
            <v>MPM1-06</v>
          </cell>
          <cell r="M20" t="str">
            <v>Número de niños y niñas atendidos por el programa de complementación nutricional "-DIA-"</v>
          </cell>
          <cell r="N20" t="str">
            <v xml:space="preserve"> Medir el número de niños y niñas atendidos por el programa de complementación nutricional "-DIA-"</v>
          </cell>
          <cell r="O20" t="str">
            <v>Creciente</v>
          </cell>
          <cell r="P20" t="str">
            <v>Calidad</v>
          </cell>
          <cell r="Q20">
            <v>547608</v>
          </cell>
          <cell r="R20" t="str">
            <v>Producto</v>
          </cell>
          <cell r="S20" t="str">
            <v>Eficacia</v>
          </cell>
          <cell r="T20">
            <v>426000</v>
          </cell>
          <cell r="U20" t="str">
            <v>N/A</v>
          </cell>
          <cell r="V20" t="str">
            <v xml:space="preserve">Número </v>
          </cell>
          <cell r="W20" t="str">
            <v>Si</v>
          </cell>
          <cell r="X20" t="str">
            <v>Si</v>
          </cell>
          <cell r="Y20" t="str">
            <v>No</v>
          </cell>
          <cell r="Z20" t="str">
            <v>No</v>
          </cell>
          <cell r="AA20" t="str">
            <v>No</v>
          </cell>
          <cell r="AB20" t="str">
            <v>No</v>
          </cell>
          <cell r="AC20" t="str">
            <v>Numero de complementos entregados por el Programa -DIA-</v>
          </cell>
          <cell r="AD20" t="str">
            <v>Consolidado Metas sociales y financieras.</v>
          </cell>
          <cell r="AE20" t="str">
            <v xml:space="preserve">Metas Sociales y Financieras </v>
          </cell>
          <cell r="AF20" t="str">
            <v>Consolidado metas sociales y financieras (programación vigente)</v>
          </cell>
          <cell r="AG20" t="str">
            <v>Numero de complementos entregados por el PROGRAMA -DIA. *** Su calificación es frente a la meta programada.</v>
          </cell>
          <cell r="AH20" t="str">
            <v>Mensual</v>
          </cell>
          <cell r="AI20">
            <v>0</v>
          </cell>
          <cell r="AJ20">
            <v>0</v>
          </cell>
          <cell r="AK20">
            <v>0</v>
          </cell>
          <cell r="AL20" t="str">
            <v>x</v>
          </cell>
          <cell r="AM20" t="str">
            <v>x</v>
          </cell>
          <cell r="AN20" t="str">
            <v>x</v>
          </cell>
          <cell r="AO20" t="str">
            <v>x</v>
          </cell>
          <cell r="AP20" t="str">
            <v>x</v>
          </cell>
          <cell r="AQ20" t="str">
            <v>x</v>
          </cell>
          <cell r="AR20" t="str">
            <v>x</v>
          </cell>
          <cell r="AS20" t="str">
            <v>x</v>
          </cell>
          <cell r="AT20" t="str">
            <v>x</v>
          </cell>
        </row>
        <row r="21">
          <cell r="B21">
            <v>17</v>
          </cell>
          <cell r="C21" t="str">
            <v>MPM1</v>
          </cell>
          <cell r="D21" t="str">
            <v xml:space="preserve">Gestión para la Atención Integral a la Primera Infancia </v>
          </cell>
          <cell r="E21" t="str">
            <v>N/A</v>
          </cell>
          <cell r="F21" t="str">
            <v>N/A</v>
          </cell>
          <cell r="G21" t="str">
            <v>N/A</v>
          </cell>
          <cell r="H21" t="str">
            <v>N/A</v>
          </cell>
          <cell r="I21">
            <v>0</v>
          </cell>
          <cell r="J21">
            <v>0</v>
          </cell>
          <cell r="K21" t="str">
            <v xml:space="preserve">Dirección de Primera Infancia </v>
          </cell>
          <cell r="L21" t="str">
            <v>MPM1-07</v>
          </cell>
          <cell r="M21" t="str">
            <v>Número de niños y niñas en primera infancia cuyos padres o cuidadores participan en procesos de formación.</v>
          </cell>
          <cell r="N21" t="str">
            <v>Conocer el numero de niños y niñas en primera infancia cuyos padres o cuidadores participan en procesos de formación.</v>
          </cell>
          <cell r="O21" t="str">
            <v>Creciente</v>
          </cell>
          <cell r="P21" t="str">
            <v>Calidad</v>
          </cell>
          <cell r="Q21">
            <v>0</v>
          </cell>
          <cell r="R21" t="str">
            <v>Producto</v>
          </cell>
          <cell r="S21" t="str">
            <v>Eficacia</v>
          </cell>
          <cell r="T21">
            <v>1400000</v>
          </cell>
          <cell r="U21">
            <v>2000000</v>
          </cell>
          <cell r="V21" t="str">
            <v xml:space="preserve">Número </v>
          </cell>
          <cell r="W21" t="str">
            <v>Si</v>
          </cell>
          <cell r="X21" t="str">
            <v>Si</v>
          </cell>
          <cell r="Y21" t="str">
            <v>No</v>
          </cell>
          <cell r="Z21" t="str">
            <v>No</v>
          </cell>
          <cell r="AA21" t="str">
            <v>No</v>
          </cell>
          <cell r="AB21" t="str">
            <v>No</v>
          </cell>
          <cell r="AC21" t="str">
            <v>Numero de niños y niñas en modalidades integrales de educación inicial y cuidado integrales en familias que participan en procesos de formación.</v>
          </cell>
          <cell r="AD21" t="str">
            <v>Sistema de Información de primera infancia</v>
          </cell>
          <cell r="AE21" t="str">
            <v>Meta Programada en SIM de modalidades en Atención Integral</v>
          </cell>
          <cell r="AF21" t="str">
            <v>Metas sociales y financieras</v>
          </cell>
          <cell r="AG21" t="str">
            <v>Numero de niños y niñas en modalidades integrales de educación inicial a la primera infancia en familias que participan en procesos de formación.</v>
          </cell>
          <cell r="AH21" t="str">
            <v>Otro</v>
          </cell>
          <cell r="AI21">
            <v>0</v>
          </cell>
          <cell r="AJ21">
            <v>0</v>
          </cell>
          <cell r="AK21">
            <v>0</v>
          </cell>
          <cell r="AL21" t="str">
            <v>x</v>
          </cell>
          <cell r="AM21">
            <v>0</v>
          </cell>
          <cell r="AN21" t="str">
            <v>x</v>
          </cell>
          <cell r="AO21">
            <v>0</v>
          </cell>
          <cell r="AP21">
            <v>0</v>
          </cell>
          <cell r="AQ21" t="str">
            <v>x</v>
          </cell>
          <cell r="AR21">
            <v>0</v>
          </cell>
          <cell r="AS21">
            <v>0</v>
          </cell>
          <cell r="AT21" t="str">
            <v>x</v>
          </cell>
        </row>
        <row r="22">
          <cell r="B22">
            <v>18</v>
          </cell>
          <cell r="C22" t="str">
            <v>MPM1</v>
          </cell>
          <cell r="D22" t="str">
            <v xml:space="preserve">Gestión para la Atención Integral a la Primera Infancia </v>
          </cell>
          <cell r="E22" t="str">
            <v>N/A</v>
          </cell>
          <cell r="F22" t="str">
            <v>N/A</v>
          </cell>
          <cell r="G22" t="str">
            <v>N/A</v>
          </cell>
          <cell r="H22" t="str">
            <v>N/A</v>
          </cell>
          <cell r="I22">
            <v>0</v>
          </cell>
          <cell r="J22">
            <v>0</v>
          </cell>
          <cell r="K22" t="str">
            <v xml:space="preserve">Dirección de Primera Infancia </v>
          </cell>
          <cell r="L22" t="str">
            <v>MPM1-08</v>
          </cell>
          <cell r="M22" t="str">
            <v xml:space="preserve">Número de niños y niñas de la Red Unidos con Atención a la Primera Infancia - de acuerdo a criterios ANSPE de atención integral </v>
          </cell>
          <cell r="N22" t="str">
            <v>Conocer el número de niños y niños de la RED UNIDOS que son atendidos de acuerdo a su edad en las distintas modalidades de atención a primera infancia según criterios ANSPE</v>
          </cell>
          <cell r="O22" t="str">
            <v>Creciente</v>
          </cell>
          <cell r="P22" t="str">
            <v>Calidad</v>
          </cell>
          <cell r="Q22">
            <v>139414</v>
          </cell>
          <cell r="R22" t="str">
            <v>Producto</v>
          </cell>
          <cell r="S22" t="str">
            <v>Eficacia</v>
          </cell>
          <cell r="T22">
            <v>139414</v>
          </cell>
          <cell r="U22" t="str">
            <v>N/A</v>
          </cell>
          <cell r="V22" t="str">
            <v xml:space="preserve">Número </v>
          </cell>
          <cell r="W22" t="str">
            <v>Si</v>
          </cell>
          <cell r="X22" t="str">
            <v>Si</v>
          </cell>
          <cell r="Y22" t="str">
            <v>No</v>
          </cell>
          <cell r="Z22" t="str">
            <v>No</v>
          </cell>
          <cell r="AA22" t="str">
            <v>No</v>
          </cell>
          <cell r="AB22" t="str">
            <v>No</v>
          </cell>
          <cell r="AC22" t="str">
            <v>Número de niños y niñas de la Red Unidos en las atendidos modalidades de atención integral a la primera infancia de acuerdo a los criterios de la ANSPE</v>
          </cell>
          <cell r="AD22" t="str">
            <v xml:space="preserve">Sistema de Información de Primera Infancia y
 Base de datos de la Red Unidos. </v>
          </cell>
          <cell r="AE22" t="str">
            <v>Meta institucional de Red Unidos</v>
          </cell>
          <cell r="AF22" t="str">
            <v>Meta Unidos para Primera Infancia</v>
          </cell>
          <cell r="AG22" t="str">
            <v>Número de niños y niñas de la Red Unidos atendidos en las modalidades de atención integral a la primera infancia.</v>
          </cell>
          <cell r="AH22" t="str">
            <v>Trimestral</v>
          </cell>
          <cell r="AI22">
            <v>0</v>
          </cell>
          <cell r="AJ22">
            <v>0</v>
          </cell>
          <cell r="AK22" t="str">
            <v>x</v>
          </cell>
          <cell r="AL22">
            <v>0</v>
          </cell>
          <cell r="AM22">
            <v>0</v>
          </cell>
          <cell r="AN22" t="str">
            <v>x</v>
          </cell>
          <cell r="AO22">
            <v>0</v>
          </cell>
          <cell r="AP22">
            <v>0</v>
          </cell>
          <cell r="AQ22" t="str">
            <v>x</v>
          </cell>
          <cell r="AR22">
            <v>0</v>
          </cell>
          <cell r="AS22">
            <v>0</v>
          </cell>
          <cell r="AT22" t="str">
            <v>x</v>
          </cell>
        </row>
        <row r="23">
          <cell r="B23">
            <v>19</v>
          </cell>
          <cell r="C23" t="str">
            <v>MPM1</v>
          </cell>
          <cell r="D23" t="str">
            <v xml:space="preserve">Gestión para la Atención Integral a la Primera Infancia </v>
          </cell>
          <cell r="E23" t="str">
            <v>N/A</v>
          </cell>
          <cell r="F23" t="str">
            <v>N/A</v>
          </cell>
          <cell r="G23" t="str">
            <v>N/A</v>
          </cell>
          <cell r="H23" t="str">
            <v>N/A</v>
          </cell>
          <cell r="I23">
            <v>0</v>
          </cell>
          <cell r="J23">
            <v>0</v>
          </cell>
          <cell r="K23" t="str">
            <v xml:space="preserve">Dirección de Primera Infancia </v>
          </cell>
          <cell r="L23" t="str">
            <v>MPM1-09</v>
          </cell>
          <cell r="M23" t="str">
            <v>Número de niños y niñas víctimas de conflicto armado atendidos en las diferentes modalidades de Atención a la Primera Infancia.</v>
          </cell>
          <cell r="N23" t="str">
            <v>Dar cuenta de los niños y niñas víctimas de conflicto armado atendidos en las diferentes modalidades de atención a la primera infancia.</v>
          </cell>
          <cell r="O23" t="str">
            <v>Creciente</v>
          </cell>
          <cell r="P23" t="str">
            <v>Calidad</v>
          </cell>
          <cell r="Q23">
            <v>286243</v>
          </cell>
          <cell r="R23" t="str">
            <v>Producto</v>
          </cell>
          <cell r="S23" t="str">
            <v>Eficacia</v>
          </cell>
          <cell r="T23">
            <v>221734</v>
          </cell>
          <cell r="U23" t="str">
            <v>N/A</v>
          </cell>
          <cell r="V23" t="str">
            <v xml:space="preserve">Número </v>
          </cell>
          <cell r="W23" t="str">
            <v>Si</v>
          </cell>
          <cell r="X23" t="str">
            <v>Si</v>
          </cell>
          <cell r="Y23" t="str">
            <v>No</v>
          </cell>
          <cell r="Z23" t="str">
            <v>No</v>
          </cell>
          <cell r="AA23" t="str">
            <v>No</v>
          </cell>
          <cell r="AB23" t="str">
            <v>No</v>
          </cell>
          <cell r="AC23" t="str">
            <v>Numero de niños y niñas menores de cinco años víctimas del conflicto armado beneficiados con las modalidades de atención a la Primera Infancia.</v>
          </cell>
          <cell r="AD23" t="str">
            <v xml:space="preserve">Sistema de Información de Primera Infancia y
 Base de datos de la Red Unidos. </v>
          </cell>
          <cell r="AE23" t="str">
            <v>Meta de Victimas en Primera Infancia</v>
          </cell>
          <cell r="AF23" t="str">
            <v>Cruce de Base de Victimas Vs. Población Infantil en el aplicativo CUENTAME vigencia 2014</v>
          </cell>
          <cell r="AG23" t="str">
            <v>Número de niños y niñas menores de cinco años víctimas del conflicto armado beneficiados con las modalidades de atención a la primera infancia./ Meta de Victimas en Primera Infancia</v>
          </cell>
          <cell r="AH23" t="str">
            <v>Trimestral</v>
          </cell>
          <cell r="AI23">
            <v>0</v>
          </cell>
          <cell r="AJ23">
            <v>0</v>
          </cell>
          <cell r="AK23" t="str">
            <v>x</v>
          </cell>
          <cell r="AL23">
            <v>0</v>
          </cell>
          <cell r="AM23">
            <v>0</v>
          </cell>
          <cell r="AN23" t="str">
            <v>x</v>
          </cell>
          <cell r="AO23">
            <v>0</v>
          </cell>
          <cell r="AP23">
            <v>0</v>
          </cell>
          <cell r="AQ23" t="str">
            <v>x</v>
          </cell>
          <cell r="AR23">
            <v>0</v>
          </cell>
          <cell r="AS23">
            <v>0</v>
          </cell>
          <cell r="AT23" t="str">
            <v>x</v>
          </cell>
        </row>
        <row r="24">
          <cell r="B24">
            <v>20</v>
          </cell>
          <cell r="C24" t="str">
            <v>MPM2</v>
          </cell>
          <cell r="D24" t="str">
            <v xml:space="preserve">Gestión para la promoción y Prevención para la protección integral de las niñez y la adolescencia </v>
          </cell>
          <cell r="E24" t="str">
            <v>N/A</v>
          </cell>
          <cell r="F24" t="str">
            <v>N/A</v>
          </cell>
          <cell r="G24" t="str">
            <v>Gestión misional y de gobierno</v>
          </cell>
          <cell r="H24" t="str">
            <v>Indicadores y metas de gobierno</v>
          </cell>
          <cell r="I24">
            <v>0</v>
          </cell>
          <cell r="J24">
            <v>0</v>
          </cell>
          <cell r="K24" t="str">
            <v xml:space="preserve">Dirección de Niñez y Adolescencia </v>
          </cell>
          <cell r="L24" t="str">
            <v>PA-11</v>
          </cell>
          <cell r="M24" t="str">
            <v>Porcentaje del  diseño e implementación de la ruta integral de atenciones de infancia y adolescencia.</v>
          </cell>
          <cell r="N24" t="str">
            <v>Valorar los alcances en el diseño y la implementación de una ruta integral de atenciones para niños, niñas y adolescentes entre los 6 y los 17 años, en el marco de la protección y el desarrollo integral de los mismos.</v>
          </cell>
          <cell r="O24" t="str">
            <v>Creciente</v>
          </cell>
          <cell r="P24" t="str">
            <v xml:space="preserve">Gestión </v>
          </cell>
          <cell r="Q24" t="str">
            <v>N/A</v>
          </cell>
          <cell r="R24" t="str">
            <v xml:space="preserve">Gestión </v>
          </cell>
          <cell r="S24" t="str">
            <v xml:space="preserve">Eficiencia </v>
          </cell>
          <cell r="T24">
            <v>0.4</v>
          </cell>
          <cell r="U24">
            <v>1</v>
          </cell>
          <cell r="V24" t="str">
            <v>Porcentaje</v>
          </cell>
          <cell r="W24" t="str">
            <v>Si</v>
          </cell>
          <cell r="X24" t="str">
            <v>No</v>
          </cell>
          <cell r="Y24" t="str">
            <v>No</v>
          </cell>
          <cell r="Z24" t="str">
            <v>No</v>
          </cell>
          <cell r="AA24" t="str">
            <v>Si</v>
          </cell>
          <cell r="AB24" t="str">
            <v>Si</v>
          </cell>
          <cell r="AC24" t="str">
            <v>Número de fases realizadas durante la vigencia</v>
          </cell>
          <cell r="AD24" t="str">
            <v>Enlaces regionales del ICBF y socio estratégico.</v>
          </cell>
          <cell r="AE24" t="str">
            <v>Número de fases establecidas durante la vigencia</v>
          </cell>
          <cell r="AF24" t="str">
            <v>Enlaces regionales del ICBF y socio estratégico.</v>
          </cell>
          <cell r="AG24" t="str">
            <v>Porcentaje de avance en el diseño y la implementación en la ruta  integral de infancia y adolescencia.</v>
          </cell>
          <cell r="AH24" t="str">
            <v>Trimestral</v>
          </cell>
          <cell r="AI24">
            <v>0</v>
          </cell>
          <cell r="AJ24">
            <v>0</v>
          </cell>
          <cell r="AK24" t="str">
            <v>x</v>
          </cell>
          <cell r="AL24">
            <v>0</v>
          </cell>
          <cell r="AM24">
            <v>0</v>
          </cell>
          <cell r="AN24" t="str">
            <v>x</v>
          </cell>
          <cell r="AO24">
            <v>0</v>
          </cell>
          <cell r="AP24">
            <v>0</v>
          </cell>
          <cell r="AQ24" t="str">
            <v>x</v>
          </cell>
          <cell r="AR24">
            <v>0</v>
          </cell>
          <cell r="AS24">
            <v>0</v>
          </cell>
          <cell r="AT24" t="str">
            <v>x</v>
          </cell>
        </row>
        <row r="25">
          <cell r="B25">
            <v>21</v>
          </cell>
          <cell r="C25" t="str">
            <v>MPM2</v>
          </cell>
          <cell r="D25" t="str">
            <v xml:space="preserve">Gestión para la promoción y Prevención para la protección integral de las niñez y la adolescencia </v>
          </cell>
          <cell r="E25" t="str">
            <v>N/A</v>
          </cell>
          <cell r="F25" t="str">
            <v>N/A</v>
          </cell>
          <cell r="G25" t="str">
            <v>Gestión misional y de gobierno</v>
          </cell>
          <cell r="H25" t="str">
            <v>Indicadores y metas de gobierno</v>
          </cell>
          <cell r="I25">
            <v>0</v>
          </cell>
          <cell r="J25">
            <v>0</v>
          </cell>
          <cell r="K25" t="str">
            <v xml:space="preserve">Dirección de Niñez y Adolescencia </v>
          </cell>
          <cell r="L25" t="str">
            <v>PA-12</v>
          </cell>
          <cell r="M25" t="str">
            <v>Porcentaje del diseño e implementación de la política pública integral de infancia y adolescencia.</v>
          </cell>
          <cell r="N25" t="str">
            <v>Valorar los alcances en el diseño y la implementación de una política pública nacional para niños, niñas y adolescentes entre los 6 y los 17 años, en el marco de la protección y el desarrollo integral de los mismos..</v>
          </cell>
          <cell r="O25" t="str">
            <v>Creciente</v>
          </cell>
          <cell r="P25" t="str">
            <v xml:space="preserve">Gestión </v>
          </cell>
          <cell r="Q25" t="str">
            <v>N/A</v>
          </cell>
          <cell r="R25" t="str">
            <v xml:space="preserve">Gestión </v>
          </cell>
          <cell r="S25" t="str">
            <v xml:space="preserve">Eficiencia </v>
          </cell>
          <cell r="T25">
            <v>0.4</v>
          </cell>
          <cell r="U25">
            <v>1</v>
          </cell>
          <cell r="V25" t="str">
            <v>Porcentaje</v>
          </cell>
          <cell r="W25" t="str">
            <v>Si</v>
          </cell>
          <cell r="X25" t="str">
            <v>No</v>
          </cell>
          <cell r="Y25" t="str">
            <v>No</v>
          </cell>
          <cell r="Z25" t="str">
            <v>No</v>
          </cell>
          <cell r="AA25" t="str">
            <v>Si</v>
          </cell>
          <cell r="AB25" t="str">
            <v>Si</v>
          </cell>
          <cell r="AC25" t="str">
            <v>Número de fases realizadas durante la vigencia</v>
          </cell>
          <cell r="AD25" t="str">
            <v>Enlaces regionales del ICBF y socio estratégico.</v>
          </cell>
          <cell r="AE25" t="str">
            <v>Número de fases establecidas durante la vigencia</v>
          </cell>
          <cell r="AF25" t="str">
            <v>Enlaces regionales del ICBF y socio estratégico.</v>
          </cell>
          <cell r="AG25" t="str">
            <v>Porcentaje de avance en el diseño y la implementación en la política pública integral de infancia y adolescencia..</v>
          </cell>
          <cell r="AH25" t="str">
            <v>Trimestral</v>
          </cell>
          <cell r="AI25">
            <v>0</v>
          </cell>
          <cell r="AJ25">
            <v>0</v>
          </cell>
          <cell r="AK25" t="str">
            <v>x</v>
          </cell>
          <cell r="AL25">
            <v>0</v>
          </cell>
          <cell r="AM25">
            <v>0</v>
          </cell>
          <cell r="AN25" t="str">
            <v>x</v>
          </cell>
          <cell r="AO25">
            <v>0</v>
          </cell>
          <cell r="AP25">
            <v>0</v>
          </cell>
          <cell r="AQ25" t="str">
            <v>x</v>
          </cell>
          <cell r="AR25">
            <v>0</v>
          </cell>
          <cell r="AS25">
            <v>0</v>
          </cell>
          <cell r="AT25" t="str">
            <v>x</v>
          </cell>
        </row>
        <row r="26">
          <cell r="B26">
            <v>22</v>
          </cell>
          <cell r="C26" t="str">
            <v>MPM2</v>
          </cell>
          <cell r="D26" t="str">
            <v xml:space="preserve">Gestión para la promoción y Prevención para la protección integral de las niñez y la adolescencia </v>
          </cell>
          <cell r="E26" t="str">
            <v>N/A</v>
          </cell>
          <cell r="F26" t="str">
            <v>N/A</v>
          </cell>
          <cell r="G26" t="str">
            <v>Gestión misional y de gobierno</v>
          </cell>
          <cell r="H26" t="str">
            <v>Indicadores y metas de gobierno</v>
          </cell>
          <cell r="I26">
            <v>0</v>
          </cell>
          <cell r="J26">
            <v>0</v>
          </cell>
          <cell r="K26" t="str">
            <v xml:space="preserve">Dirección de Niñez y Adolescencia </v>
          </cell>
          <cell r="L26" t="str">
            <v>PA-13</v>
          </cell>
          <cell r="M26" t="str">
            <v xml:space="preserve">Número de departamentos con la estrategia de prevención de embarazo en la adolescencia implementada </v>
          </cell>
          <cell r="N26" t="str">
            <v xml:space="preserve">Mide el numero de departamentos  que implementan la estrategia de Embarazo en Adolescencia de acuerdo con los lineamientos establecidos por el ICBF </v>
          </cell>
          <cell r="O26" t="str">
            <v>Creciente</v>
          </cell>
          <cell r="P26" t="str">
            <v>Producto</v>
          </cell>
          <cell r="Q26" t="str">
            <v>N/A</v>
          </cell>
          <cell r="R26" t="str">
            <v>Producto</v>
          </cell>
          <cell r="S26" t="str">
            <v>Eficacia</v>
          </cell>
          <cell r="T26">
            <v>6</v>
          </cell>
          <cell r="U26">
            <v>33</v>
          </cell>
          <cell r="V26" t="str">
            <v xml:space="preserve">Número </v>
          </cell>
          <cell r="W26" t="str">
            <v>Si</v>
          </cell>
          <cell r="X26" t="str">
            <v>Si</v>
          </cell>
          <cell r="Y26" t="str">
            <v>No</v>
          </cell>
          <cell r="Z26" t="str">
            <v>No</v>
          </cell>
          <cell r="AA26" t="str">
            <v>Si</v>
          </cell>
          <cell r="AB26" t="str">
            <v>Si</v>
          </cell>
          <cell r="AC26" t="str">
            <v xml:space="preserve">Numero de  departamentos  con la implementación de la estrategia de Prevención de Embarazo en Adolescentes </v>
          </cell>
          <cell r="AD26" t="str">
            <v>Enlaces PEA; Socios Estratégicos de la Dirección de Niñez y Adolescia en el tema de Derechos Sexuales y Reproductivos</v>
          </cell>
          <cell r="AE26" t="str">
            <v xml:space="preserve">Número de departamentos programados para  la implementación de la  estrategia de Prevención de Embarazo en Adolescentes </v>
          </cell>
          <cell r="AF26" t="str">
            <v>Enlaces PEA; Socios Estratégicos de la Dirección de Niñez y Adolescia en el tema de Derechos Sexuales y Reproductivos</v>
          </cell>
          <cell r="AG26" t="str">
            <v xml:space="preserve">Numero de departamentos con la  implementación de la estrategia PEA/ Número de departamentos  establecidos con  la implementación de la  estrategia de Prevención de Embarazo en Adolescentes </v>
          </cell>
          <cell r="AH26" t="str">
            <v>Trimestral</v>
          </cell>
          <cell r="AI26">
            <v>0</v>
          </cell>
          <cell r="AJ26">
            <v>0</v>
          </cell>
          <cell r="AK26">
            <v>0</v>
          </cell>
          <cell r="AL26">
            <v>0</v>
          </cell>
          <cell r="AM26">
            <v>0</v>
          </cell>
          <cell r="AN26">
            <v>0</v>
          </cell>
          <cell r="AO26">
            <v>0</v>
          </cell>
          <cell r="AP26">
            <v>0</v>
          </cell>
          <cell r="AQ26" t="str">
            <v>x</v>
          </cell>
          <cell r="AR26">
            <v>0</v>
          </cell>
          <cell r="AS26">
            <v>0</v>
          </cell>
          <cell r="AT26" t="str">
            <v>x</v>
          </cell>
        </row>
        <row r="27">
          <cell r="B27">
            <v>23</v>
          </cell>
          <cell r="C27" t="str">
            <v>MPM2</v>
          </cell>
          <cell r="D27" t="str">
            <v xml:space="preserve">Gestión para la promoción y Prevención para la protección integral de las niñez y la adolescencia </v>
          </cell>
          <cell r="E27" t="str">
            <v>N/A</v>
          </cell>
          <cell r="F27" t="str">
            <v>N/A</v>
          </cell>
          <cell r="G27" t="str">
            <v>Gestión misional y de gobierno</v>
          </cell>
          <cell r="H27" t="str">
            <v>Indicadores y metas de gobierno</v>
          </cell>
          <cell r="I27">
            <v>0</v>
          </cell>
          <cell r="J27">
            <v>0</v>
          </cell>
          <cell r="K27" t="str">
            <v xml:space="preserve">Dirección de Niñez y Adolescencia </v>
          </cell>
          <cell r="L27" t="str">
            <v>PA-14</v>
          </cell>
          <cell r="M27" t="str">
            <v>Número de Municipios priorizados  con la implementación de la estrategia de prevención de embarazo en la adolescencia</v>
          </cell>
          <cell r="N27" t="str">
            <v xml:space="preserve">Mide el número de municipios que implementan la estrategia de Embarazo en Adolescencia de acuerdo con los lineamientos establecidos por el ICBF </v>
          </cell>
          <cell r="O27" t="str">
            <v>Creciente</v>
          </cell>
          <cell r="P27" t="str">
            <v>Producto</v>
          </cell>
          <cell r="Q27" t="str">
            <v>N/A</v>
          </cell>
          <cell r="R27" t="str">
            <v>Producto</v>
          </cell>
          <cell r="S27" t="str">
            <v>Eficacia</v>
          </cell>
          <cell r="T27">
            <v>75</v>
          </cell>
          <cell r="U27">
            <v>353</v>
          </cell>
          <cell r="V27" t="str">
            <v xml:space="preserve">Número </v>
          </cell>
          <cell r="W27" t="str">
            <v>Si</v>
          </cell>
          <cell r="X27" t="str">
            <v>Si</v>
          </cell>
          <cell r="Y27" t="str">
            <v>No</v>
          </cell>
          <cell r="Z27" t="str">
            <v>Si</v>
          </cell>
          <cell r="AA27" t="str">
            <v>Si</v>
          </cell>
          <cell r="AB27" t="str">
            <v>Si</v>
          </cell>
          <cell r="AC27" t="str">
            <v xml:space="preserve">Numero de  municipios   con la implementación de la estrategia de Prevención de Embarazo en Adolescentes </v>
          </cell>
          <cell r="AD27" t="str">
            <v>Enlaces PEA; Socios Estratégicos de la Dirección de Niñez y Adolescia en el tema de Derechos Sexuales y Reproductivos</v>
          </cell>
          <cell r="AE27" t="str">
            <v xml:space="preserve">Número de municipios   establecidos con   la implementación de la  estrategia de Prevención de Embarazo en Adolescentes </v>
          </cell>
          <cell r="AF27" t="str">
            <v>Enlaces PEA; Socios Estratégicos de la Dirección de Niñez y Adolescia en el tema de Derechos Sexuales y Reproductivos</v>
          </cell>
          <cell r="AG27" t="str">
            <v xml:space="preserve">Numero de municipios  con la  implementación de la estrategia PEA/ Número de municipios  establecidos con la implementación  de la estrategia de Prevención de Embarazo en Adolescentes </v>
          </cell>
          <cell r="AH27" t="str">
            <v xml:space="preserve">semestral </v>
          </cell>
          <cell r="AI27">
            <v>0</v>
          </cell>
          <cell r="AJ27">
            <v>0</v>
          </cell>
          <cell r="AK27">
            <v>0</v>
          </cell>
          <cell r="AL27">
            <v>0</v>
          </cell>
          <cell r="AM27">
            <v>0</v>
          </cell>
          <cell r="AN27" t="str">
            <v>x</v>
          </cell>
          <cell r="AO27">
            <v>0</v>
          </cell>
          <cell r="AP27">
            <v>0</v>
          </cell>
          <cell r="AQ27">
            <v>0</v>
          </cell>
          <cell r="AR27">
            <v>0</v>
          </cell>
          <cell r="AS27">
            <v>0</v>
          </cell>
          <cell r="AT27" t="str">
            <v>x</v>
          </cell>
        </row>
        <row r="28">
          <cell r="B28">
            <v>24</v>
          </cell>
          <cell r="C28" t="str">
            <v>MPM2</v>
          </cell>
          <cell r="D28" t="str">
            <v xml:space="preserve">Gestión para la promoción y Prevención para la protección integral de las niñez y la adolescencia </v>
          </cell>
          <cell r="E28" t="str">
            <v>N/A</v>
          </cell>
          <cell r="F28" t="str">
            <v>N/A</v>
          </cell>
          <cell r="G28" t="str">
            <v>Gestión misional y de gobierno</v>
          </cell>
          <cell r="H28" t="str">
            <v>Indicadores y metas de gobierno</v>
          </cell>
          <cell r="I28">
            <v>0</v>
          </cell>
          <cell r="J28">
            <v>0</v>
          </cell>
          <cell r="K28" t="str">
            <v xml:space="preserve">Dirección de Niñez y Adolescencia </v>
          </cell>
          <cell r="L28" t="str">
            <v>PA-15</v>
          </cell>
          <cell r="M28" t="str">
            <v>Número de  Agentes educativos, institucionales y comunitarios de Programas del ICBF formados en derechos sexuales y reproductivos y prevención del embarazo en la adolescencia</v>
          </cell>
          <cell r="N28" t="str">
            <v xml:space="preserve"> Mide el número de agentes del ICBF formados en derechos sexuales y reproductivos, de acuerdo con lo establecido en la estrategia nacional de Prevención de Embarazo en Adolescentes </v>
          </cell>
          <cell r="O28" t="str">
            <v>Creciente</v>
          </cell>
          <cell r="P28" t="str">
            <v xml:space="preserve">Gestión </v>
          </cell>
          <cell r="Q28">
            <v>3479</v>
          </cell>
          <cell r="R28" t="str">
            <v xml:space="preserve">Gestión </v>
          </cell>
          <cell r="S28" t="str">
            <v xml:space="preserve">Eficiencia </v>
          </cell>
          <cell r="T28">
            <v>4000</v>
          </cell>
          <cell r="U28">
            <v>15042</v>
          </cell>
          <cell r="V28" t="str">
            <v xml:space="preserve">Número </v>
          </cell>
          <cell r="W28" t="str">
            <v>Si</v>
          </cell>
          <cell r="X28" t="str">
            <v>Si</v>
          </cell>
          <cell r="Y28" t="str">
            <v>No</v>
          </cell>
          <cell r="Z28" t="str">
            <v>No</v>
          </cell>
          <cell r="AA28" t="str">
            <v>Si</v>
          </cell>
          <cell r="AB28" t="str">
            <v>Si</v>
          </cell>
          <cell r="AC28" t="str">
            <v>Número de  agentes educativos institucionales y comunitarios de Programas del ICBF formados en derechos sexuales y reproductivos y prevención del embarazo adolescente en el periodo de medición</v>
          </cell>
          <cell r="AD28" t="str">
            <v>Escuela Virtual ICBF y Socios Estratégicos de la Dirección de Niñez y Adolescencia  en el tema de Derechos Sexuales y Reproductivos</v>
          </cell>
          <cell r="AE28" t="str">
            <v>sumatoria del total de Agentes educativos  institucionales y comunitarios de Programas del ICBF formados en derechos sexuales y reproductivos y prevención del embarazo</v>
          </cell>
          <cell r="AF28" t="str">
            <v>Falta actualizar la HV del indicador con la fuente</v>
          </cell>
          <cell r="AG28" t="str">
            <v>Sumatoria de los agentes educativos e institucionales de Programas del ICBF formados en derechos sexuales y reproductivos y prevención del embarazo adolescente en el periodo de medición</v>
          </cell>
          <cell r="AH28" t="str">
            <v>Trimestral</v>
          </cell>
          <cell r="AI28">
            <v>0</v>
          </cell>
          <cell r="AJ28">
            <v>0</v>
          </cell>
          <cell r="AK28">
            <v>0</v>
          </cell>
          <cell r="AL28">
            <v>0</v>
          </cell>
          <cell r="AM28">
            <v>0</v>
          </cell>
          <cell r="AN28">
            <v>0</v>
          </cell>
          <cell r="AO28">
            <v>0</v>
          </cell>
          <cell r="AP28">
            <v>0</v>
          </cell>
          <cell r="AQ28" t="str">
            <v>x</v>
          </cell>
          <cell r="AR28">
            <v>0</v>
          </cell>
          <cell r="AS28">
            <v>0</v>
          </cell>
          <cell r="AT28" t="str">
            <v>x</v>
          </cell>
        </row>
        <row r="29">
          <cell r="B29">
            <v>25</v>
          </cell>
          <cell r="C29" t="str">
            <v>MPM2</v>
          </cell>
          <cell r="D29" t="str">
            <v xml:space="preserve">Gestión para la promoción y Prevención para la protección integral de las niñez y la adolescencia </v>
          </cell>
          <cell r="E29" t="str">
            <v>N/A</v>
          </cell>
          <cell r="F29" t="str">
            <v>N/A</v>
          </cell>
          <cell r="G29" t="str">
            <v>Gestión misional y de gobierno</v>
          </cell>
          <cell r="H29" t="str">
            <v>Indicadores y metas de gobierno</v>
          </cell>
          <cell r="I29">
            <v>0</v>
          </cell>
          <cell r="J29">
            <v>0</v>
          </cell>
          <cell r="K29" t="str">
            <v xml:space="preserve">Dirección de Niñez y Adolescencia </v>
          </cell>
          <cell r="L29" t="str">
            <v>PA-16</v>
          </cell>
          <cell r="M29" t="str">
            <v xml:space="preserve">Número de niños, niñas y adolescentes participantes en programas de prevención </v>
          </cell>
          <cell r="N29" t="str">
            <v>identificar la participación de los Niños, Niñas y Adolescentes entre los 6 y 17  años en programas y estrategias de prevención y promoción de derechos implementadas</v>
          </cell>
          <cell r="O29" t="str">
            <v>Creciente</v>
          </cell>
          <cell r="P29" t="str">
            <v>Producto</v>
          </cell>
          <cell r="Q29">
            <v>201150</v>
          </cell>
          <cell r="R29" t="str">
            <v>Producto</v>
          </cell>
          <cell r="S29" t="str">
            <v>Eficacia</v>
          </cell>
          <cell r="T29">
            <v>250000</v>
          </cell>
          <cell r="U29">
            <v>1000000</v>
          </cell>
          <cell r="V29" t="str">
            <v xml:space="preserve">Número </v>
          </cell>
          <cell r="W29" t="str">
            <v>Si</v>
          </cell>
          <cell r="X29" t="str">
            <v>Si</v>
          </cell>
          <cell r="Y29" t="str">
            <v>No</v>
          </cell>
          <cell r="Z29" t="str">
            <v>No</v>
          </cell>
          <cell r="AA29" t="str">
            <v>Si</v>
          </cell>
          <cell r="AB29" t="str">
            <v>Si</v>
          </cell>
          <cell r="AC29" t="str">
            <v>Sumatoria del número de niños, niñas y adolescentes participantes del Programa Generaciones con Bienestar en todas sus modalidades + Sumatoria del número de NNA participantes de las acciones de promoción de derechos de la DNA + Sumatoria del número de NNA participantes del Programa Generaciones con Bienestar financiado mediante adhesiones de los Entes Territoriales.</v>
          </cell>
          <cell r="AD29" t="str">
            <v>Ejecución de Metas sociales y financieras Sistema de Información Misional SIM
Reportes de la Dirección de Niñez y Adolescencia</v>
          </cell>
          <cell r="AE29" t="str">
            <v xml:space="preserve">sumatoria del total de niños niños, niñas y adolescentes participantes del Programa Generaciones con Bienestar en todas sus modalidades programados  </v>
          </cell>
          <cell r="AF29" t="str">
            <v>Falta actualizar la HV del indicador con la fuente</v>
          </cell>
          <cell r="AG29" t="str">
            <v>Número de niños, niñas y adolescentes vinculados al Programa de Promoción y Prevención para la Protección Integral de Niños, Niñas y Adolescentes..</v>
          </cell>
          <cell r="AH29" t="str">
            <v>Mensual</v>
          </cell>
          <cell r="AI29">
            <v>0</v>
          </cell>
          <cell r="AJ29">
            <v>0</v>
          </cell>
          <cell r="AK29" t="str">
            <v>x</v>
          </cell>
          <cell r="AL29" t="str">
            <v>x</v>
          </cell>
          <cell r="AM29" t="str">
            <v>x</v>
          </cell>
          <cell r="AN29" t="str">
            <v>x</v>
          </cell>
          <cell r="AO29" t="str">
            <v>x</v>
          </cell>
          <cell r="AP29" t="str">
            <v>x</v>
          </cell>
          <cell r="AQ29" t="str">
            <v>x</v>
          </cell>
          <cell r="AR29" t="str">
            <v>x</v>
          </cell>
          <cell r="AS29" t="str">
            <v>x</v>
          </cell>
          <cell r="AT29" t="str">
            <v>x</v>
          </cell>
        </row>
        <row r="30">
          <cell r="B30">
            <v>26</v>
          </cell>
          <cell r="C30" t="str">
            <v>MPM2</v>
          </cell>
          <cell r="D30" t="str">
            <v xml:space="preserve">Gestión para la promoción y Prevención para la protección integral de las niñez y la adolescencia </v>
          </cell>
          <cell r="E30" t="str">
            <v>N/A</v>
          </cell>
          <cell r="F30" t="str">
            <v>N/A</v>
          </cell>
          <cell r="G30" t="str">
            <v>N/A</v>
          </cell>
          <cell r="H30" t="str">
            <v>N/A</v>
          </cell>
          <cell r="I30">
            <v>0</v>
          </cell>
          <cell r="J30">
            <v>0</v>
          </cell>
          <cell r="K30" t="str">
            <v xml:space="preserve">Dirección de Niñez y Adolescencia </v>
          </cell>
          <cell r="L30" t="str">
            <v>MPM2-01</v>
          </cell>
          <cell r="M30" t="str">
            <v xml:space="preserve">Porcentaje de victimas NNA vinculados a Programas de Prevención </v>
          </cell>
          <cell r="N30" t="str">
            <v>Identificar la participación de los Niños, Niñas y Adolescentes  entre los 6 y 17 los años,  identificados  como  victimas,  en programas y estrategias de prevención y promoción de derechos</v>
          </cell>
          <cell r="O30" t="str">
            <v>Creciente</v>
          </cell>
          <cell r="P30" t="str">
            <v>Producto</v>
          </cell>
          <cell r="Q30" t="str">
            <v xml:space="preserve">21.264 atendidos  ( fuente de informacion :  Metas sociales y financiera con corte a diciembre de 2014 </v>
          </cell>
          <cell r="R30" t="str">
            <v>Producto</v>
          </cell>
          <cell r="S30" t="str">
            <v>Eficacia</v>
          </cell>
          <cell r="T30">
            <v>81900</v>
          </cell>
          <cell r="U30" t="str">
            <v>N/A</v>
          </cell>
          <cell r="V30" t="str">
            <v>Porcentaje</v>
          </cell>
          <cell r="W30" t="str">
            <v>Si</v>
          </cell>
          <cell r="X30" t="str">
            <v>Si</v>
          </cell>
          <cell r="Y30" t="str">
            <v>No</v>
          </cell>
          <cell r="Z30" t="str">
            <v>No</v>
          </cell>
          <cell r="AA30" t="str">
            <v>No</v>
          </cell>
          <cell r="AB30" t="str">
            <v>No</v>
          </cell>
          <cell r="AC30" t="str">
            <v>Sumatoria del número de niños, niñas y adolescentes participantes   del Programa Generaciones con Bienestar en todas sus modalidades identificados como victimas</v>
          </cell>
          <cell r="AD30" t="str">
            <v>Ejecución de Metas sociales y financieras Sistema de Información Misional SIM
Reportes de la Dirección de Niñez y Adolescencia</v>
          </cell>
          <cell r="AE30" t="str">
            <v xml:space="preserve">sumatoria del total de niños niños, niñas y adolescentes participantes del Programa Generaciones con Bienestar en todas sus modalidades programados  </v>
          </cell>
          <cell r="AF30" t="str">
            <v>Falta actualizar la HV del indicador con la fuente</v>
          </cell>
          <cell r="AG30" t="str">
            <v xml:space="preserve">Número de niños, niñas y adolescentes vinculados al Programa de Promoción y Prevención para la Protección Integral de Niños, Niñas y Adolescente como Victimas </v>
          </cell>
          <cell r="AH30" t="str">
            <v>Mensual</v>
          </cell>
          <cell r="AI30">
            <v>0</v>
          </cell>
          <cell r="AJ30">
            <v>0</v>
          </cell>
          <cell r="AK30" t="str">
            <v>x</v>
          </cell>
          <cell r="AL30" t="str">
            <v>x</v>
          </cell>
          <cell r="AM30" t="str">
            <v>x</v>
          </cell>
          <cell r="AN30" t="str">
            <v>x</v>
          </cell>
          <cell r="AO30" t="str">
            <v>x</v>
          </cell>
          <cell r="AP30" t="str">
            <v>x</v>
          </cell>
          <cell r="AQ30" t="str">
            <v>x</v>
          </cell>
          <cell r="AR30" t="str">
            <v>x</v>
          </cell>
          <cell r="AS30" t="str">
            <v>x</v>
          </cell>
          <cell r="AT30" t="str">
            <v>x</v>
          </cell>
        </row>
        <row r="31">
          <cell r="B31">
            <v>27</v>
          </cell>
          <cell r="C31" t="str">
            <v>MPM2</v>
          </cell>
          <cell r="D31" t="str">
            <v xml:space="preserve">Gestión para la promoción y Prevención para la protección integral de las niñez y la adolescencia </v>
          </cell>
          <cell r="E31" t="str">
            <v>N/A</v>
          </cell>
          <cell r="F31" t="str">
            <v>N/A</v>
          </cell>
          <cell r="G31" t="str">
            <v>Gestión misional y de gobierno</v>
          </cell>
          <cell r="H31" t="str">
            <v>Indicadores y metas de gobierno</v>
          </cell>
          <cell r="I31">
            <v>0</v>
          </cell>
          <cell r="J31">
            <v>0</v>
          </cell>
          <cell r="K31" t="str">
            <v xml:space="preserve">Dirección de Niñez y Adolescencia </v>
          </cell>
          <cell r="L31" t="str">
            <v>PA-17</v>
          </cell>
          <cell r="M31" t="str">
            <v>Número de ejercicios de promoción de la participación significativa de niños, niñas y adolescentes  en políticas, programas, proyectos y estrategias desarrollados en los territorios.</v>
          </cell>
          <cell r="N31" t="str">
            <v xml:space="preserve">Promover y consolidar escenarios de construcción colectiva para garantizar la participación significativa de Niños Niñas y Adolescentes en los territorios </v>
          </cell>
          <cell r="O31" t="str">
            <v>Creciente</v>
          </cell>
          <cell r="P31" t="str">
            <v xml:space="preserve">Gestión </v>
          </cell>
          <cell r="Q31" t="str">
            <v>N/A</v>
          </cell>
          <cell r="R31" t="str">
            <v xml:space="preserve">Gestión </v>
          </cell>
          <cell r="S31" t="str">
            <v xml:space="preserve">Eficiencia </v>
          </cell>
          <cell r="T31">
            <v>436</v>
          </cell>
          <cell r="U31">
            <v>1744</v>
          </cell>
          <cell r="V31" t="str">
            <v xml:space="preserve">Número </v>
          </cell>
          <cell r="W31" t="str">
            <v>Si</v>
          </cell>
          <cell r="X31" t="str">
            <v>Si</v>
          </cell>
          <cell r="Y31" t="str">
            <v>No</v>
          </cell>
          <cell r="Z31" t="str">
            <v>No</v>
          </cell>
          <cell r="AA31" t="str">
            <v>Si</v>
          </cell>
          <cell r="AB31" t="str">
            <v>Si</v>
          </cell>
          <cell r="AC31" t="str">
            <v>Número de ejercicios de promoción de la participación significativa de niños, niñas y adolescentes  en políticas, programas, proyectos y estrategias desarrollados en los territorios.</v>
          </cell>
          <cell r="AD31" t="str">
            <v xml:space="preserve">Regianales ICBF y socios estrategicos 
Meta: 436 Ejercicios de participacion que se distribuyen de la siguiente manera
416 ejercicios de Control Social al programa GCB
20 Elercicios para el Fortalecimientos de politicas, Programas , proyectos y estrategias desarrollados en los territorios </v>
          </cell>
          <cell r="AE31" t="str">
            <v>N/A</v>
          </cell>
          <cell r="AF31" t="str">
            <v>N/A</v>
          </cell>
          <cell r="AG31" t="str">
            <v>Número de ejercicios de promoción de la participación significativa de niños, niñas y adolescentes  en políticas, programas, proyectos y estrategias desarrollados en los territorios.</v>
          </cell>
          <cell r="AH31" t="str">
            <v>Semestral</v>
          </cell>
          <cell r="AI31">
            <v>0</v>
          </cell>
          <cell r="AJ31">
            <v>0</v>
          </cell>
          <cell r="AK31">
            <v>0</v>
          </cell>
          <cell r="AL31">
            <v>0</v>
          </cell>
          <cell r="AM31">
            <v>0</v>
          </cell>
          <cell r="AN31">
            <v>0</v>
          </cell>
          <cell r="AO31" t="str">
            <v>x</v>
          </cell>
          <cell r="AP31">
            <v>0</v>
          </cell>
          <cell r="AQ31">
            <v>0</v>
          </cell>
          <cell r="AR31">
            <v>0</v>
          </cell>
          <cell r="AS31">
            <v>0</v>
          </cell>
          <cell r="AT31" t="str">
            <v>x</v>
          </cell>
        </row>
        <row r="32">
          <cell r="B32">
            <v>28</v>
          </cell>
          <cell r="C32" t="str">
            <v>MPM2</v>
          </cell>
          <cell r="D32" t="str">
            <v xml:space="preserve">Gestión para la promoción y Prevención para la protección integral de las niñez y la adolescencia </v>
          </cell>
          <cell r="E32" t="str">
            <v>N/A</v>
          </cell>
          <cell r="F32" t="str">
            <v>N/A</v>
          </cell>
          <cell r="G32" t="str">
            <v>N/A</v>
          </cell>
          <cell r="H32" t="str">
            <v>N/A</v>
          </cell>
          <cell r="I32">
            <v>0</v>
          </cell>
          <cell r="J32">
            <v>0</v>
          </cell>
          <cell r="K32" t="str">
            <v xml:space="preserve">Dirección de Niñez y Adolescencia </v>
          </cell>
          <cell r="L32" t="str">
            <v>MPM2-02</v>
          </cell>
          <cell r="M32" t="str">
            <v xml:space="preserve">Numero de horas de encuentros vivenciales realizados por el  Programa de Promoción y Prevención para la Protección Integral de los niños, niñas y adolescentes "Generaciones con Bienestar"  </v>
          </cell>
          <cell r="N32" t="str">
            <v xml:space="preserve">Medir el número de horas de encuentros vivenciales que realizan los operadores del Programa de Promoción y Prevención para la Protección Integral de niños, niñas y adolescentes "Generaciones con Bienestar", en las modalidades GCB Tradicional y  GCB Rural y  GCB Étnicos. </v>
          </cell>
          <cell r="O32" t="str">
            <v>Creciente</v>
          </cell>
          <cell r="P32" t="str">
            <v xml:space="preserve">Producto </v>
          </cell>
          <cell r="Q32">
            <v>916552</v>
          </cell>
          <cell r="R32" t="str">
            <v xml:space="preserve">Producto </v>
          </cell>
          <cell r="S32" t="str">
            <v>Eficacia</v>
          </cell>
          <cell r="T32">
            <v>1123089</v>
          </cell>
          <cell r="U32" t="str">
            <v>N/A</v>
          </cell>
          <cell r="V32" t="str">
            <v>Número de horas</v>
          </cell>
          <cell r="W32" t="str">
            <v>Si</v>
          </cell>
          <cell r="X32" t="str">
            <v>Si</v>
          </cell>
          <cell r="Y32" t="str">
            <v>No</v>
          </cell>
          <cell r="Z32" t="str">
            <v>No</v>
          </cell>
          <cell r="AA32" t="str">
            <v>No</v>
          </cell>
          <cell r="AB32" t="str">
            <v>No</v>
          </cell>
          <cell r="AC32" t="str">
            <v xml:space="preserve">  Número de horas de encuentros vivenciales realizados por el Programa de Promoción y Prevención para la Protección Integral de los niños, niñas y adolescentes "Generaciones con Bienestar".</v>
          </cell>
          <cell r="AD32" t="str">
            <v>Reporte entregado por los Enlaces Regionales de manera oficial, sobre el número de encuentros vivenciales realizados  en el Programa para la modalidad tradicional,  rural y etnicos</v>
          </cell>
          <cell r="AE32" t="str">
            <v xml:space="preserve">  Número de horas de encuentros vivenciales programados  por el Programa de Promoción y Prevención para la Protección Integral de los niños, niñas y adolescentes "Generaciones con Bienestar".</v>
          </cell>
          <cell r="AF32" t="str">
            <v>Falta actualizar la HV del indicador con la fuente</v>
          </cell>
          <cell r="AG32" t="str">
            <v xml:space="preserve">Número de horas de encuentros vivenciales realizados por el Programa de Promoción y Prevención para la Protección Integral de Niños, Niñas y Adolescentes "Generaciones con Bienestar", en la modalidad tradicional,  rural y Étnico/ numero de horas de encuentros vivenciales programados  </v>
          </cell>
          <cell r="AH32" t="str">
            <v>Mensual</v>
          </cell>
          <cell r="AI32">
            <v>0</v>
          </cell>
          <cell r="AJ32">
            <v>0</v>
          </cell>
          <cell r="AK32" t="str">
            <v>x</v>
          </cell>
          <cell r="AL32" t="str">
            <v>x</v>
          </cell>
          <cell r="AM32" t="str">
            <v>x</v>
          </cell>
          <cell r="AN32" t="str">
            <v>x</v>
          </cell>
          <cell r="AO32" t="str">
            <v>x</v>
          </cell>
          <cell r="AP32" t="str">
            <v>x</v>
          </cell>
          <cell r="AQ32" t="str">
            <v>x</v>
          </cell>
          <cell r="AR32" t="str">
            <v>x</v>
          </cell>
          <cell r="AS32" t="str">
            <v>x</v>
          </cell>
          <cell r="AT32" t="str">
            <v>x</v>
          </cell>
        </row>
        <row r="33">
          <cell r="B33">
            <v>29</v>
          </cell>
          <cell r="C33" t="str">
            <v>MPM2</v>
          </cell>
          <cell r="D33" t="str">
            <v xml:space="preserve">Gestión para la promoción y Prevención para la protección integral de las niñez y la adolescencia </v>
          </cell>
          <cell r="E33" t="str">
            <v>N/A</v>
          </cell>
          <cell r="F33" t="str">
            <v>N/A</v>
          </cell>
          <cell r="G33" t="str">
            <v>N/A</v>
          </cell>
          <cell r="H33" t="str">
            <v>N/A</v>
          </cell>
          <cell r="I33">
            <v>0</v>
          </cell>
          <cell r="J33">
            <v>0</v>
          </cell>
          <cell r="K33" t="str">
            <v xml:space="preserve">Dirección de Niñez y Adolescencia </v>
          </cell>
          <cell r="L33" t="str">
            <v>MPM2-03</v>
          </cell>
          <cell r="M33" t="str">
            <v xml:space="preserve"> Porcentaje de respuesta efectivas  a las  gestiones  realizadas por el operador para la activación de la ruta de restablecimiento derechos. </v>
          </cell>
          <cell r="N33" t="str">
            <v xml:space="preserve"> Medir la  efectividad de  las  gestiones  realizadas por  el  operador  en los  casos en los cuales habiendo identificado vulneración, amenaza o inobservancia de derechos de los NNA a través de los diagnósticos  de derechos, se adelantaron desde el Programa gestiones con las entidades del Sistema Nacional de Bienestar Familiar para activar rutas de restablecimiento de derechos.</v>
          </cell>
          <cell r="O33" t="str">
            <v>Creciente</v>
          </cell>
          <cell r="P33" t="str">
            <v>Gestión</v>
          </cell>
          <cell r="Q33">
            <v>0.8</v>
          </cell>
          <cell r="R33" t="str">
            <v>Gestión</v>
          </cell>
          <cell r="S33" t="str">
            <v xml:space="preserve">Eficiencia </v>
          </cell>
          <cell r="T33">
            <v>0.9</v>
          </cell>
          <cell r="U33" t="str">
            <v>N/A</v>
          </cell>
          <cell r="V33" t="str">
            <v xml:space="preserve">Porcentaje de respuestas efectivas </v>
          </cell>
          <cell r="W33" t="str">
            <v>Si</v>
          </cell>
          <cell r="X33" t="str">
            <v>Si</v>
          </cell>
          <cell r="Y33" t="str">
            <v>No</v>
          </cell>
          <cell r="Z33" t="str">
            <v>No</v>
          </cell>
          <cell r="AA33" t="str">
            <v>No</v>
          </cell>
          <cell r="AB33" t="str">
            <v>No</v>
          </cell>
          <cell r="AC33" t="str">
            <v>Respuesta efectivas a las  gestiones  realizadas por el operador para la activación de la ruta de restablecimiento derechos.</v>
          </cell>
          <cell r="AD33" t="str">
            <v xml:space="preserve">Informe de gestion para la garantia de derechos </v>
          </cell>
          <cell r="AE33" t="str">
            <v>Números de casos en los cuales se ha realizado gestión para la activación de ruta de restablecimiento de derechos por parte de operador</v>
          </cell>
          <cell r="AF33" t="str">
            <v xml:space="preserve">Informe de gestion para la garantia de derechos </v>
          </cell>
          <cell r="AG33" t="str">
            <v>Respuesta efectivas a las  gestiones  realizadas por el operador para la activación de la ruta de restablecimiento derechos./Números de casos en los cuales se ha realizado gestión para la activación de ruta de restablecimiento de derechos por parte de operador</v>
          </cell>
          <cell r="AH33" t="str">
            <v>Mensual</v>
          </cell>
          <cell r="AI33">
            <v>0</v>
          </cell>
          <cell r="AJ33">
            <v>0</v>
          </cell>
          <cell r="AK33">
            <v>0</v>
          </cell>
          <cell r="AL33">
            <v>0</v>
          </cell>
          <cell r="AM33">
            <v>0</v>
          </cell>
          <cell r="AN33" t="str">
            <v>x</v>
          </cell>
          <cell r="AO33" t="str">
            <v>x</v>
          </cell>
          <cell r="AP33" t="str">
            <v>x</v>
          </cell>
          <cell r="AQ33" t="str">
            <v>x</v>
          </cell>
          <cell r="AR33" t="str">
            <v>x</v>
          </cell>
          <cell r="AS33" t="str">
            <v>x</v>
          </cell>
          <cell r="AT33" t="str">
            <v>x</v>
          </cell>
        </row>
        <row r="34">
          <cell r="B34">
            <v>30</v>
          </cell>
          <cell r="C34" t="str">
            <v>MPM2</v>
          </cell>
          <cell r="D34" t="str">
            <v xml:space="preserve">Gestión para la promoción y Prevención para la protección integral de las niñez y la adolescencia </v>
          </cell>
          <cell r="E34" t="str">
            <v>N/A</v>
          </cell>
          <cell r="F34" t="str">
            <v>N/A</v>
          </cell>
          <cell r="G34" t="str">
            <v>N/A</v>
          </cell>
          <cell r="H34" t="str">
            <v>N/A</v>
          </cell>
          <cell r="I34">
            <v>0</v>
          </cell>
          <cell r="J34">
            <v>0</v>
          </cell>
          <cell r="K34" t="str">
            <v xml:space="preserve">Dirección de Niñez y Adolescencia </v>
          </cell>
          <cell r="L34" t="str">
            <v>MPM2-04</v>
          </cell>
          <cell r="M34" t="str">
            <v xml:space="preserve"> Porcentaje de casos de vulneración, amenaza o in observancia de derechos identificados por diagnostico de derechos, con gestiones realizadas por el operador para la activación de ruta de restablecimiento </v>
          </cell>
          <cell r="N34" t="str">
            <v>Medir los  casos en los cuales habiendo identificado vulneración, amenaza o inobservancia de derechos de los NNA a través de los diagnósticos  de derechos, se han realizado desde el Programa gestiones con las entidades del Sistema Nacional de Bienestar Familiar para activar rutas de restablecimiento de derechos</v>
          </cell>
          <cell r="O34" t="str">
            <v>Creciente</v>
          </cell>
          <cell r="P34" t="str">
            <v>Gestión</v>
          </cell>
          <cell r="Q34">
            <v>0.75</v>
          </cell>
          <cell r="R34" t="str">
            <v>Gestión</v>
          </cell>
          <cell r="S34" t="str">
            <v xml:space="preserve">Eficiencia </v>
          </cell>
          <cell r="T34">
            <v>0.9</v>
          </cell>
          <cell r="U34" t="str">
            <v>N/A</v>
          </cell>
          <cell r="V34" t="str">
            <v xml:space="preserve">Porcentaje </v>
          </cell>
          <cell r="W34" t="str">
            <v>Si</v>
          </cell>
          <cell r="X34" t="str">
            <v>Si</v>
          </cell>
          <cell r="Y34" t="str">
            <v>No</v>
          </cell>
          <cell r="Z34" t="str">
            <v>No</v>
          </cell>
          <cell r="AA34" t="str">
            <v>No</v>
          </cell>
          <cell r="AB34" t="str">
            <v>No</v>
          </cell>
          <cell r="AC34" t="str">
            <v xml:space="preserve"> Numero de casos en los cuales se ha realizado gestión para la activación de ruta de restablecimiento de derechos por parte de operador</v>
          </cell>
          <cell r="AD34" t="str">
            <v xml:space="preserve">Informe de gestión para la garantia de derechos </v>
          </cell>
          <cell r="AE34" t="str">
            <v xml:space="preserve">Numero de casos de derechos  vulnerados, inobservados o amenazados identificados mediante diagnostico de derechos </v>
          </cell>
          <cell r="AF34" t="str">
            <v>Diagnóstico de Derechos del Programa Generaciones con Bienestar</v>
          </cell>
          <cell r="AG34" t="str">
            <v xml:space="preserve">Números de casos en los cuales se ha realizado gestión para la activación de ruta de restablecimiento de derechos por parte de operador/ Numero de casos de derechos  vulnerados, amenazados o in observados identificados mediante diagnostico de derechos </v>
          </cell>
          <cell r="AH34" t="str">
            <v>Mensual</v>
          </cell>
          <cell r="AI34">
            <v>0</v>
          </cell>
          <cell r="AJ34">
            <v>0</v>
          </cell>
          <cell r="AK34">
            <v>0</v>
          </cell>
          <cell r="AL34">
            <v>0</v>
          </cell>
          <cell r="AM34">
            <v>0</v>
          </cell>
          <cell r="AN34" t="str">
            <v>x</v>
          </cell>
          <cell r="AO34" t="str">
            <v>x</v>
          </cell>
          <cell r="AP34" t="str">
            <v>x</v>
          </cell>
          <cell r="AQ34" t="str">
            <v>x</v>
          </cell>
          <cell r="AR34" t="str">
            <v>x</v>
          </cell>
          <cell r="AS34" t="str">
            <v>x</v>
          </cell>
          <cell r="AT34" t="str">
            <v>x</v>
          </cell>
        </row>
        <row r="35">
          <cell r="B35">
            <v>31</v>
          </cell>
          <cell r="C35" t="str">
            <v>MPM3</v>
          </cell>
          <cell r="D35" t="str">
            <v>Gestión para la atención de las familias y comunidades</v>
          </cell>
          <cell r="E35" t="str">
            <v>N/A</v>
          </cell>
          <cell r="F35" t="str">
            <v>N/A</v>
          </cell>
          <cell r="G35" t="str">
            <v>Gestión misional y de Gobierno</v>
          </cell>
          <cell r="H35" t="str">
            <v>Indicadores y metas de gobierno</v>
          </cell>
          <cell r="I35">
            <v>0</v>
          </cell>
          <cell r="J35">
            <v>0</v>
          </cell>
          <cell r="K35" t="str">
            <v>Dirección de Familia y Comunidades</v>
          </cell>
          <cell r="L35" t="str">
            <v>PA-18</v>
          </cell>
          <cell r="M35" t="str">
            <v>Porcentaje de Familias atendidas por  la modalidad "Familias con bienestar"</v>
          </cell>
          <cell r="N35" t="str">
            <v>Medir los  casos en los cuales habiendo identificado vulneración, amenaza o inobservancia de derechos de los NNA a través de los diagnósticos  de derechos, se han realizado desde el Programa gestiones con las entidades del Sistema Nacional de Bienestar Familiar para activar rutas de restablecimiento de derechos</v>
          </cell>
          <cell r="O35" t="str">
            <v>Creciente</v>
          </cell>
          <cell r="P35" t="str">
            <v>Resultado</v>
          </cell>
          <cell r="Q35">
            <v>138059</v>
          </cell>
          <cell r="R35" t="str">
            <v>Resultado</v>
          </cell>
          <cell r="S35" t="str">
            <v>Eficacia</v>
          </cell>
          <cell r="T35">
            <v>140000</v>
          </cell>
          <cell r="U35">
            <v>560000</v>
          </cell>
          <cell r="V35" t="str">
            <v>Número de familias</v>
          </cell>
          <cell r="W35" t="str">
            <v>Si</v>
          </cell>
          <cell r="X35" t="str">
            <v>Si</v>
          </cell>
          <cell r="Y35" t="str">
            <v>No</v>
          </cell>
          <cell r="Z35" t="str">
            <v>Si</v>
          </cell>
          <cell r="AA35" t="str">
            <v>Si</v>
          </cell>
          <cell r="AB35" t="str">
            <v>Si</v>
          </cell>
          <cell r="AC35" t="str">
            <v xml:space="preserve">Número de familias atendidas por la modalidad "Familias con Bienestar" en la vigencia </v>
          </cell>
          <cell r="AD35" t="str">
            <v>SIM - Ejecución de Metas sociales y financieras de la modalidad Familias con Bienestar, usando como insumo el formato "F2 MPM3 Seguimiento de Atención a Familias v4"</v>
          </cell>
          <cell r="AE35" t="str">
            <v xml:space="preserve">Número de familias atendidas por la modalidad "Familias con Bienestar" en la vigencia </v>
          </cell>
          <cell r="AF35" t="str">
            <v>SIM - Programación de Metas sociales y financieras de la modalidad Familias con Bienestar</v>
          </cell>
          <cell r="AG35" t="str">
            <v>Número de familias atendidas por la modalidad "Familias con Bienestar" en la vigencia / Número de familias programadas por la modalidad "Familias con Bienestar" en la vigencia * 100</v>
          </cell>
          <cell r="AH35" t="str">
            <v>Mensual</v>
          </cell>
          <cell r="AI35">
            <v>0</v>
          </cell>
          <cell r="AJ35">
            <v>0</v>
          </cell>
          <cell r="AK35">
            <v>0</v>
          </cell>
          <cell r="AL35">
            <v>0</v>
          </cell>
          <cell r="AM35" t="str">
            <v>x</v>
          </cell>
          <cell r="AN35" t="str">
            <v>x</v>
          </cell>
          <cell r="AO35" t="str">
            <v>x</v>
          </cell>
          <cell r="AP35" t="str">
            <v>x</v>
          </cell>
          <cell r="AQ35" t="str">
            <v>x</v>
          </cell>
          <cell r="AR35" t="str">
            <v>x</v>
          </cell>
          <cell r="AS35" t="str">
            <v>x</v>
          </cell>
          <cell r="AT35" t="str">
            <v>x</v>
          </cell>
        </row>
        <row r="36">
          <cell r="B36">
            <v>32</v>
          </cell>
          <cell r="C36" t="str">
            <v>MPM3</v>
          </cell>
          <cell r="D36" t="str">
            <v>Gestión para la atención de las familias y comunidades</v>
          </cell>
          <cell r="E36" t="str">
            <v>N/A</v>
          </cell>
          <cell r="F36" t="str">
            <v>N/A</v>
          </cell>
          <cell r="G36" t="str">
            <v>Gestión misional y de Gobierno</v>
          </cell>
          <cell r="H36" t="str">
            <v>Indicadores y metas de gobierno</v>
          </cell>
          <cell r="I36">
            <v>0</v>
          </cell>
          <cell r="J36">
            <v>0</v>
          </cell>
          <cell r="K36" t="str">
            <v>Dirección de Familia y Comunidades</v>
          </cell>
          <cell r="L36" t="str">
            <v>PA-19</v>
          </cell>
          <cell r="M36" t="str">
            <v>Porcentaje de Familias de grupos étnicos atendidas por la modalidad "Territorios Étnicos con Bienestar".</v>
          </cell>
          <cell r="N36" t="str">
            <v>Conocer el porcentaje  de familias atendidas por  la  modalidad "Territorios Étnicos con Bienestar" frente  a las familias programadas en la vigencia</v>
          </cell>
          <cell r="O36" t="str">
            <v>Creciente</v>
          </cell>
          <cell r="P36" t="str">
            <v>Resultado</v>
          </cell>
          <cell r="Q36">
            <v>21000</v>
          </cell>
          <cell r="R36" t="str">
            <v>Resultado</v>
          </cell>
          <cell r="S36" t="str">
            <v>Eficacia</v>
          </cell>
          <cell r="T36">
            <v>22000</v>
          </cell>
          <cell r="U36">
            <v>114000</v>
          </cell>
          <cell r="V36" t="str">
            <v>Número de familias</v>
          </cell>
          <cell r="W36" t="str">
            <v>Si</v>
          </cell>
          <cell r="X36" t="str">
            <v>Si</v>
          </cell>
          <cell r="Y36" t="str">
            <v>No</v>
          </cell>
          <cell r="Z36" t="str">
            <v>No</v>
          </cell>
          <cell r="AA36" t="str">
            <v>Si</v>
          </cell>
          <cell r="AB36" t="str">
            <v>Si</v>
          </cell>
          <cell r="AC36" t="str">
            <v>Número de familias atendidas de la modalidad Territorios Étnicos con Bienestar</v>
          </cell>
          <cell r="AD36" t="str">
            <v>SIM - Ejecución de Metas sociales y financieras de la modalidad Territorios etnicos con Bienestar usando como insumo el Formato F1 LM5 MPM3</v>
          </cell>
          <cell r="AE36" t="str">
            <v>Número de familias programadas para ser atendidas por la modalidad Territorios Étnicos con Bienestar</v>
          </cell>
          <cell r="AF36" t="str">
            <v>SIM - Programación de Metas sociales y financieras de la modalidad Territorios etnicos con Bienestar usando como insumo los proyectos aprobados</v>
          </cell>
          <cell r="AG36" t="str">
            <v>numero de familias atendidas por la modalidad territorios étnicos con bienestar/ numero de familias programadas para la atención en la modalidad territorios étnicos con bienestar</v>
          </cell>
          <cell r="AH36" t="str">
            <v>Mensual</v>
          </cell>
          <cell r="AI36">
            <v>0</v>
          </cell>
          <cell r="AJ36">
            <v>0</v>
          </cell>
          <cell r="AK36">
            <v>0</v>
          </cell>
          <cell r="AL36">
            <v>0</v>
          </cell>
          <cell r="AM36" t="str">
            <v>x</v>
          </cell>
          <cell r="AN36" t="str">
            <v>x</v>
          </cell>
          <cell r="AO36" t="str">
            <v>x</v>
          </cell>
          <cell r="AP36" t="str">
            <v>x</v>
          </cell>
          <cell r="AQ36" t="str">
            <v>x</v>
          </cell>
          <cell r="AR36" t="str">
            <v>x</v>
          </cell>
          <cell r="AS36" t="str">
            <v>x</v>
          </cell>
          <cell r="AT36" t="str">
            <v>x</v>
          </cell>
        </row>
        <row r="37">
          <cell r="B37">
            <v>33</v>
          </cell>
          <cell r="C37" t="str">
            <v>MPM3</v>
          </cell>
          <cell r="D37" t="str">
            <v>Gestión para la atención de las familias y comunidades</v>
          </cell>
          <cell r="E37" t="str">
            <v>N/A</v>
          </cell>
          <cell r="F37" t="str">
            <v>N/A</v>
          </cell>
          <cell r="G37" t="str">
            <v>Gestión misional y de Gobierno</v>
          </cell>
          <cell r="H37" t="str">
            <v>Indicadores y metas de gobierno</v>
          </cell>
          <cell r="I37">
            <v>0</v>
          </cell>
          <cell r="J37">
            <v>0</v>
          </cell>
          <cell r="K37" t="str">
            <v>Dirección de Familia y Comunidades</v>
          </cell>
          <cell r="L37" t="str">
            <v>PA-20</v>
          </cell>
          <cell r="M37" t="str">
            <v>Porcentaje de avance en el diseño e implementación de un modelo de enfoque conceptual de inclusión y atención a las familias con las áreas misionales</v>
          </cell>
          <cell r="N37" t="str">
            <v>Apoyar la consolidación de la oferta institucional del ICBF orientada a fortalecer las capacidades de las familias y las comunidades colombianas para ser agentes de su propio desarrollo a partir de la unificación del enfoque conceptual en un plan de implementación 2016-2018</v>
          </cell>
          <cell r="O37" t="str">
            <v>Creciente</v>
          </cell>
          <cell r="P37" t="str">
            <v>Producto</v>
          </cell>
          <cell r="Q37" t="str">
            <v>N/A</v>
          </cell>
          <cell r="R37" t="str">
            <v>Producto</v>
          </cell>
          <cell r="S37" t="str">
            <v>Calidad</v>
          </cell>
          <cell r="T37">
            <v>0.2</v>
          </cell>
          <cell r="U37">
            <v>1</v>
          </cell>
          <cell r="V37" t="str">
            <v>Porcentaje</v>
          </cell>
          <cell r="W37" t="str">
            <v>Si</v>
          </cell>
          <cell r="X37" t="str">
            <v>No</v>
          </cell>
          <cell r="Y37" t="str">
            <v>No</v>
          </cell>
          <cell r="Z37" t="str">
            <v>No</v>
          </cell>
          <cell r="AA37" t="str">
            <v>Si</v>
          </cell>
          <cell r="AB37" t="str">
            <v>Si</v>
          </cell>
          <cell r="AC37" t="str">
            <v>Actividades cumplidas para la generación del plan de implementación de un modelo de enfoque conceptual de inclusión y atención a las familias con las áreas misionales</v>
          </cell>
          <cell r="AD37" t="str">
            <v xml:space="preserve">Diagnostico de las estrategias y acciones de intervencion que en el ambito familiar desarrollan las diferentes areas misionales, contextos de intervención según particularidades territoriales y de enfoque diferencial, actas de la mesas intermisional de conciliacion del plan de implementacion </v>
          </cell>
          <cell r="AE37" t="str">
            <v>Actividades propuestas a desarrollar en la generación del plan de implementación de un modelo de enfoque conceptual de inclusión y atención a las familias con las áreas misionales</v>
          </cell>
          <cell r="AF37" t="str">
            <v>Plan indicativo de la direccion de familias y comunidades 2015</v>
          </cell>
          <cell r="AG37" t="str">
            <v>actividades cumplidas para la generación del plan de implementación de un modelo de enfoque conceptual de inclusión y atención a las familias con las áreas misionales / actividades propuestas a desarrollar en la generación del plan de implementación de un modelo de enfoque conceptual de inclusión y atención a las familias con las áreas misionales * 100</v>
          </cell>
          <cell r="AH37" t="str">
            <v>Trimestral</v>
          </cell>
          <cell r="AI37">
            <v>0</v>
          </cell>
          <cell r="AJ37">
            <v>0</v>
          </cell>
          <cell r="AK37" t="str">
            <v>x</v>
          </cell>
          <cell r="AL37">
            <v>0</v>
          </cell>
          <cell r="AM37">
            <v>0</v>
          </cell>
          <cell r="AN37" t="str">
            <v>x</v>
          </cell>
          <cell r="AO37">
            <v>0</v>
          </cell>
          <cell r="AP37">
            <v>0</v>
          </cell>
          <cell r="AQ37" t="str">
            <v>x</v>
          </cell>
          <cell r="AR37">
            <v>0</v>
          </cell>
          <cell r="AS37">
            <v>0</v>
          </cell>
          <cell r="AT37" t="str">
            <v>x</v>
          </cell>
        </row>
        <row r="38">
          <cell r="B38">
            <v>34</v>
          </cell>
          <cell r="C38" t="str">
            <v>MPM3</v>
          </cell>
          <cell r="D38" t="str">
            <v>Gestión para la atención de las familias y comunidades</v>
          </cell>
          <cell r="E38" t="str">
            <v>N/A</v>
          </cell>
          <cell r="F38" t="str">
            <v>N/A</v>
          </cell>
          <cell r="G38" t="str">
            <v>Gestión misional y de Gobierno</v>
          </cell>
          <cell r="H38" t="str">
            <v>Indicadores y metas de gobierno</v>
          </cell>
          <cell r="I38">
            <v>0</v>
          </cell>
          <cell r="J38">
            <v>0</v>
          </cell>
          <cell r="K38" t="str">
            <v>Dirección de Familia y Comunidades</v>
          </cell>
          <cell r="L38" t="str">
            <v>PA-21</v>
          </cell>
          <cell r="M38" t="str">
            <v>Porcentaje de Familias atendidas mediante formas innovadoras de intervención</v>
          </cell>
          <cell r="N38" t="str">
            <v>Medir el avance de las acciones planteadas para el diseño, focalización e implementación de formas innovadoras de intervención comunitaria.</v>
          </cell>
          <cell r="O38" t="str">
            <v>Creciente</v>
          </cell>
          <cell r="P38" t="str">
            <v>Resultado</v>
          </cell>
          <cell r="Q38" t="str">
            <v>N/A</v>
          </cell>
          <cell r="R38" t="str">
            <v>Resultado</v>
          </cell>
          <cell r="S38" t="str">
            <v>Eficacia</v>
          </cell>
          <cell r="T38">
            <v>500</v>
          </cell>
          <cell r="U38">
            <v>2000</v>
          </cell>
          <cell r="V38" t="str">
            <v>Número de familias</v>
          </cell>
          <cell r="W38" t="str">
            <v>Si</v>
          </cell>
          <cell r="X38" t="str">
            <v>Si</v>
          </cell>
          <cell r="Y38" t="str">
            <v>No</v>
          </cell>
          <cell r="Z38" t="str">
            <v>No</v>
          </cell>
          <cell r="AA38" t="str">
            <v>Si</v>
          </cell>
          <cell r="AB38" t="str">
            <v>Si</v>
          </cell>
          <cell r="AC38" t="str">
            <v>Número de familias atendidas por la modalidad</v>
          </cell>
          <cell r="AD38" t="str">
            <v>Familias caracterizadas durante la atencion de la modalidad</v>
          </cell>
          <cell r="AE38" t="str">
            <v>Número total de familias programadas para la atención en la modalidad</v>
          </cell>
          <cell r="AF38" t="str">
            <v>Familias programadas a ser beneficiarias</v>
          </cell>
          <cell r="AG38" t="str">
            <v>Número de familias atendidas por la modalidad / Número total de familias programadas para la atención en la modalidad*100</v>
          </cell>
          <cell r="AH38" t="str">
            <v>Trimestral</v>
          </cell>
          <cell r="AI38">
            <v>0</v>
          </cell>
          <cell r="AJ38">
            <v>0</v>
          </cell>
          <cell r="AK38" t="str">
            <v>x</v>
          </cell>
          <cell r="AL38">
            <v>0</v>
          </cell>
          <cell r="AM38">
            <v>0</v>
          </cell>
          <cell r="AN38" t="str">
            <v>x</v>
          </cell>
          <cell r="AO38">
            <v>0</v>
          </cell>
          <cell r="AP38">
            <v>0</v>
          </cell>
          <cell r="AQ38" t="str">
            <v>x</v>
          </cell>
          <cell r="AR38">
            <v>0</v>
          </cell>
          <cell r="AS38">
            <v>0</v>
          </cell>
          <cell r="AT38" t="str">
            <v>x</v>
          </cell>
        </row>
        <row r="39">
          <cell r="B39">
            <v>35</v>
          </cell>
          <cell r="C39" t="str">
            <v>MPM4</v>
          </cell>
          <cell r="D39" t="str">
            <v>Gestión para la Nutrición</v>
          </cell>
          <cell r="E39" t="str">
            <v>N/A</v>
          </cell>
          <cell r="F39" t="str">
            <v>N/A</v>
          </cell>
          <cell r="G39" t="str">
            <v>Gestión misional y de gobierno</v>
          </cell>
          <cell r="H39" t="str">
            <v>Indicadores y metas de gobierno</v>
          </cell>
          <cell r="I39">
            <v>0</v>
          </cell>
          <cell r="J39">
            <v>0</v>
          </cell>
          <cell r="K39" t="str">
            <v>Dirección de Nutrición</v>
          </cell>
          <cell r="L39" t="str">
            <v>PA-22</v>
          </cell>
          <cell r="M39" t="str">
            <v>Porcentaje de niños y niñas entre dos y cinco años reportados al Sistema de Seguimiento Nutricional (excluyendo FAMI, RN) con desnutrición aguda que mejoraron su estado Nutricional.</v>
          </cell>
          <cell r="N39" t="str">
            <v xml:space="preserve">Evaluar  el efecto de los programas  de HI - HCB - CDI Institucional en los niños y niñas  en términos de su estado nutricional     </v>
          </cell>
          <cell r="O39" t="str">
            <v>Creciente</v>
          </cell>
          <cell r="P39" t="str">
            <v>Calidad</v>
          </cell>
          <cell r="Q39">
            <v>0.76</v>
          </cell>
          <cell r="R39" t="str">
            <v>Impacto</v>
          </cell>
          <cell r="S39" t="str">
            <v>Eficacia</v>
          </cell>
          <cell r="T39">
            <v>0.8</v>
          </cell>
          <cell r="U39" t="str">
            <v>N/A</v>
          </cell>
          <cell r="V39" t="str">
            <v>Porcentaje</v>
          </cell>
          <cell r="W39" t="str">
            <v>Si</v>
          </cell>
          <cell r="X39" t="str">
            <v>Si</v>
          </cell>
          <cell r="Y39" t="str">
            <v>Si</v>
          </cell>
          <cell r="Z39" t="str">
            <v>No</v>
          </cell>
          <cell r="AA39" t="str">
            <v>No</v>
          </cell>
          <cell r="AB39" t="str">
            <v>Si</v>
          </cell>
          <cell r="AC39" t="str">
            <v>No. niños y niñas entre dos y cinco años reportados al SSN que pasaron a Riesgo o Peso Adecuado para la Talla en HI - HCB - CDI (excluyendo FAMI, RN, RNEC)</v>
          </cell>
          <cell r="AD39" t="str">
            <v>1. Con el reporte en formato Excel generado por el Sistema de Información  CUÉNTAME de la Regional y/o Centro zonal que corresponda, y las modalidades de atención de Primera Infancia realice los siguientes pasos: 
a) Genere la opción de filtro a través de la barra de herramientas en la pestaña "Datos" de excel.
b) Seleccione en la columna "NombreServicio" las siguientes opciones: CDI Institucional con arrIendo, CDI Institucional sin arrIendo, CDI Modalidad Familiar, HCB Tradicionales Familiares, HCB Agrupados, Hogares  Infantiles, Hogar Empresarial, Hogares Múltiples y Jardines Sociales.
c) Dirijase a las columnas nombradas como flag y filtre para asegurar que solo se revisarán los datos con flag "0".
d) En la columna "GrupoEdad", seleccione únicamente el Grupo 2 (corresponde a los beneficiarios entre 2 años y 4 años 11 meses).
e) Posteriomente, en la columna denominada "EstadoPesoTalla/Inicial", filtre los datos que presentan Desnutrición Aguda y Desnutrición Aguda Severa (tomar el dato y registrarlo, este será el denominador).
f) Manteniendo los filtros anteriormente mencionados dirijirse a la columna "EstadoPesoTallaFinal"  y  filtre las opciones  "Riesgo de peso bajo para la talla y Peso adecuado para la talla"  (tomar el dato y registrarlo, este será el numerador).</v>
          </cell>
          <cell r="AE39" t="str">
            <v>Total de niños y niñas  entre dos y cinco años de los HI - HCB - CDI (excluyendo FAMI, RN, RNEC) reportados al Sistema de Seguimiento Nutricional con Desnutrición Aguda en el primer trimestre</v>
          </cell>
          <cell r="AF39" t="str">
            <v xml:space="preserve">1. Con el reporte en formato Excel generado por el Sistema de Información  CUÉNTAME de la Regional y/o Centro zonal que corresponda, y las modalidades de atención de Primera Infancia realice los siguientes pasos: 
a) Genere la opción de filtro a través de la barra de herramientas en la pestaña "Datos" de excel.
b) Seleccione en la columna "NombreServicio" las siguientes opciones: CDI Institucional con arrIendo, CDI Institucional sin arrIendo, CDI Modalidad Familiar, HCB Tradicionales Familiares, HCB Agrupados, Hogares  Infantiles, Hogar Empresarial, Hogares Múltiples y Jardines Sociales.
c) Dirijase a las columnas nombradas como flag y filtre para asegurar que solo se revisarán los datos con flag "0".
d) En la columna "GrupoEdad", seleccione únicamente el Grupo 2 (corresponde a los beneficiarios entre 2 años y 4 años 11 meses).
e) Posteriomente, en la columna denominada "EstadoPesoTallaFinal", filtre los datos que presentan Desnutrición Aguda y Desnutrición Aguda Severa (tomar el dato y registrarlo, este será el denominador).
</v>
          </cell>
          <cell r="AG39" t="str">
            <v xml:space="preserve">Total de niños y niñas entre dos y cinco años reportados al SSN que cambiaron a Riesgo o Peso Adecuado para la Talla en HI - HCB - CDI  (excluyendo FAMI, RN, RNEC)  /Total de niños y niñas entre dos y cinco años de los HI - HCB - CDI  (excluyendo FAMI, RN, RNEC) reportados al Sistema de Seguimiento Nutricional con Desnutrición Aguda en el primer trimestre  * 100  </v>
          </cell>
          <cell r="AH39" t="str">
            <v>Semestral</v>
          </cell>
          <cell r="AI39">
            <v>0</v>
          </cell>
          <cell r="AJ39">
            <v>0</v>
          </cell>
          <cell r="AK39">
            <v>0</v>
          </cell>
          <cell r="AL39">
            <v>0</v>
          </cell>
          <cell r="AM39">
            <v>0</v>
          </cell>
          <cell r="AN39" t="str">
            <v>x</v>
          </cell>
          <cell r="AO39">
            <v>0</v>
          </cell>
          <cell r="AP39">
            <v>0</v>
          </cell>
          <cell r="AQ39">
            <v>0</v>
          </cell>
          <cell r="AR39">
            <v>0</v>
          </cell>
          <cell r="AS39">
            <v>0</v>
          </cell>
          <cell r="AT39" t="str">
            <v>x</v>
          </cell>
        </row>
        <row r="40">
          <cell r="B40">
            <v>36</v>
          </cell>
          <cell r="C40" t="str">
            <v>MPM4</v>
          </cell>
          <cell r="D40" t="str">
            <v>Gestión para la Nutrición</v>
          </cell>
          <cell r="E40" t="str">
            <v>N/A</v>
          </cell>
          <cell r="F40" t="str">
            <v>N/A</v>
          </cell>
          <cell r="G40" t="str">
            <v>Gestión misional y de gobierno</v>
          </cell>
          <cell r="H40" t="str">
            <v>Indicadores y metas de gobierno</v>
          </cell>
          <cell r="I40">
            <v>0</v>
          </cell>
          <cell r="J40">
            <v>0</v>
          </cell>
          <cell r="K40" t="str">
            <v>Dirección de Nutrición</v>
          </cell>
          <cell r="L40" t="str">
            <v>PA-23</v>
          </cell>
          <cell r="M40" t="str">
            <v>Porcentaje de niños y niñas que mejoraron su estado Nutricional que se encuentran en la modalidad Recuperación Nutricional con Enfoque Comunitario - RNEC</v>
          </cell>
          <cell r="N40" t="str">
            <v>Niños y niñas que mejoraron su estado Nutricional que se encuentran en la modalidad Recuperación Nutricional con Enfoque Comunitario - RNEC</v>
          </cell>
          <cell r="O40" t="str">
            <v>Creciente</v>
          </cell>
          <cell r="P40" t="str">
            <v>Calidad</v>
          </cell>
          <cell r="Q40">
            <v>0.7</v>
          </cell>
          <cell r="R40" t="str">
            <v>Impacto</v>
          </cell>
          <cell r="S40" t="str">
            <v>Eficacia</v>
          </cell>
          <cell r="T40">
            <v>0.8</v>
          </cell>
          <cell r="U40" t="str">
            <v>N/A</v>
          </cell>
          <cell r="V40" t="str">
            <v>Porcentaje</v>
          </cell>
          <cell r="W40" t="str">
            <v>Si</v>
          </cell>
          <cell r="X40" t="str">
            <v>Si</v>
          </cell>
          <cell r="Y40" t="str">
            <v>No</v>
          </cell>
          <cell r="Z40" t="str">
            <v>No</v>
          </cell>
          <cell r="AA40" t="str">
            <v>No</v>
          </cell>
          <cell r="AB40" t="str">
            <v>Si</v>
          </cell>
          <cell r="AC40" t="str">
            <v>Total de niños y niñas menores de 5 años atendidos en la modalidad  Recuperación Nutricional con Enfoque Comunitario que mejoran su estado nutricional  al final de los seis (6) meses de permanencia</v>
          </cell>
          <cell r="AD40" t="str">
            <v>1. Con el reporte en formato excel generado por el sistema CUENTAME de la modalidad de Recuperación Nutricional con Enfoque Comunitario  -  RNEC y sus diferentes variables procesadas, realice los siguientes pasos:  
a) Genere la opción de filtro a través de la barra de herramientas en la pestaña "Datos" de excel.
b) Dirijase a las columnas nombradas como flag y filtre para asegurar que solo se revisarán los datos con flag "0".
c) Para el proceso de análisis se debe considerar únicamente los niños y niñas que hayan completado los seis (6) meses de atención, a través de 6 registros de peso y talla. 
d)  Posteriomente, filtrar las columnas de clasificación nutricional Peso para la talla Inicial y peso para la edad inicial ( WHZ1 y WAZ1 de acuerdo al grupo de edad: P/T mayor de 2 años y P/E menor de 2 años), filtrar los datos que presentan riesgo de desnutrición aguda, desnutrición  aguda, desnutrición aguda severa, desnutrición global y desnutrición global severa (tomar el dato y registrarlo, este será el denominador).
e) Manteniendo los filtros anteriormente mencionados dirijirse a la columna clasificación nutricional Peso para la talla final y peso para la edad final ( WHZ6 y WAZ6 de acuerdo al grupo de edad: P/T mayor de 2 años y P/E menor de 2 años), para los niños y niñas que ingresaron con desnutrición  aguda, desnutrición aguda severa, desnutrición global y desnutrición global severa filtrar por las opciones  "Riesgo de desnutrición y Peso adecuado"  (tomar el dato y registrarlo, este será la primera parte del numerador).
f)  Para los niños y niñas que ingresaron con riesgo de desnutrición  aguda, filtrar por la opción "Peso adecuado para la talla"  (tomar el dato y registrarlo, este será la segunda  parte del numerador).
g) Sumar los datos obtenidos en el punto e y f, este será el valor total del numerador.</v>
          </cell>
          <cell r="AE40" t="str">
            <v>Total de niños y niñas menores de 5 años que ingresan a la modalidad de Recuperación Nutricional con Enfoque Comunitario con seis (6) meses de permanencia</v>
          </cell>
          <cell r="AF40" t="str">
            <v>1. Con el reporte en formato excel generado por el sistema CUENTAME de la modalidad de Recuperación Nutricional con Enfoque Comunitario  -  RNEC y sus diferentes variables procesadas, realice los siguientes pasos:  
a) Genere la opción de filtro a través de la barra de herramientas en la pestaña "Datos" de excel.
b) Dirijase a las columnas nombradas como flag y filtre para asegurar que solo se revisarán los datos con flag "0".
c) Para el proceso de análisis se debe considerar únicamente los niños y niñas que hayan completado los seis (6) meses de atención, a través de 6 registros de peso y talla. 
d)  Posteriomente, filtrar las columnas de clasificación nutricional Peso para la talla Inicial y peso para la edad inicial ( WHZ1 y WAZ1 de acuerdo al grupo de edad: P/T mayor de 2 años y P/E menor de 2 años), filtrar los datos que presentan riesgo de desnutrición aguda, desnutrición  aguda, desnutrición aguda severa. desnutrición global y desnutrición global severa (tomar el dato y registrarlo, este será el denominador).</v>
          </cell>
          <cell r="AG40" t="str">
            <v>Total de niños y niñas menores de 5 años atendidos en la modalidad  Recuperación Nutricional con Enfoque Comunitario que mejoran su estado nutricional  al final de los seis (6) meses de permanencia / Total de niños y niñas menores de 5 años que ingresan a la modalidad de Recuperación Nutricional con Enfoque Comunitario con seis (6) meses de permanencia* 100</v>
          </cell>
          <cell r="AH40" t="str">
            <v>Semestral</v>
          </cell>
          <cell r="AI40">
            <v>0</v>
          </cell>
          <cell r="AJ40">
            <v>0</v>
          </cell>
          <cell r="AK40">
            <v>0</v>
          </cell>
          <cell r="AL40">
            <v>0</v>
          </cell>
          <cell r="AM40">
            <v>0</v>
          </cell>
          <cell r="AN40" t="str">
            <v>x</v>
          </cell>
          <cell r="AO40">
            <v>0</v>
          </cell>
          <cell r="AP40">
            <v>0</v>
          </cell>
          <cell r="AQ40">
            <v>0</v>
          </cell>
          <cell r="AR40">
            <v>0</v>
          </cell>
          <cell r="AS40">
            <v>0</v>
          </cell>
          <cell r="AT40" t="str">
            <v>x</v>
          </cell>
        </row>
        <row r="41">
          <cell r="B41">
            <v>37</v>
          </cell>
          <cell r="C41" t="str">
            <v>MPM4</v>
          </cell>
          <cell r="D41" t="str">
            <v>Gestión para la Nutrición</v>
          </cell>
          <cell r="E41" t="str">
            <v>N/A</v>
          </cell>
          <cell r="F41" t="str">
            <v>N/A</v>
          </cell>
          <cell r="G41" t="str">
            <v>Gestión misional y de gobierno</v>
          </cell>
          <cell r="H41" t="str">
            <v>Indicadores y metas de gobierno</v>
          </cell>
          <cell r="I41">
            <v>0</v>
          </cell>
          <cell r="J41">
            <v>0</v>
          </cell>
          <cell r="K41" t="str">
            <v>Dirección de Nutrición</v>
          </cell>
          <cell r="L41" t="str">
            <v>PA-24</v>
          </cell>
          <cell r="M41" t="str">
            <v xml:space="preserve"> Toneladas distribuidas de Bienestarina</v>
          </cell>
          <cell r="N41" t="str">
            <v>Medir  la distribución de la Bienestarina MÁS y/o Liquida que esté acorde con la solicitudes realizadas</v>
          </cell>
          <cell r="O41" t="str">
            <v>Creciente</v>
          </cell>
          <cell r="P41" t="str">
            <v>Calidad</v>
          </cell>
          <cell r="Q41" t="str">
            <v>22,000 Toneladas</v>
          </cell>
          <cell r="R41" t="str">
            <v>Gestión</v>
          </cell>
          <cell r="S41" t="str">
            <v>Eficiencia</v>
          </cell>
          <cell r="T41" t="str">
            <v>22.000 toneladas</v>
          </cell>
          <cell r="U41" t="str">
            <v>88.000 Toneladas</v>
          </cell>
          <cell r="V41" t="str">
            <v>Toneladas</v>
          </cell>
          <cell r="W41" t="str">
            <v>Si</v>
          </cell>
          <cell r="X41" t="str">
            <v>No</v>
          </cell>
          <cell r="Y41" t="str">
            <v>No</v>
          </cell>
          <cell r="Z41" t="str">
            <v>No</v>
          </cell>
          <cell r="AA41" t="str">
            <v>Si</v>
          </cell>
          <cell r="AB41" t="str">
            <v>Si</v>
          </cell>
          <cell r="AC41" t="str">
            <v>Medir  la distribución de la Bienestarina MÁS y/o Liquida que esté acorde con la solicitudes realizadas</v>
          </cell>
          <cell r="AD41" t="str">
            <v>Reporte en el Sistema de Información definido por el ICBF  de las entregas de Bienestarina MÁS  y Bienestarina Liquida a puntos primarios. Este reporte es alimentado por el concesionario encargado de operar las Plantas de Producción. 
Instrucciones de calculo Numerador: 
1. La sumatoria de toneladas de Bienesatrina MÁS  y Bienestarina Liquida distribuidas en los puntos de entrega primarios por parte del concesionario desagragado por Regional.</v>
          </cell>
          <cell r="AE41" t="str">
            <v>No TONELADAS SOLICITADAS  EN EL PERIODO (Mensual)</v>
          </cell>
          <cell r="AF41" t="str">
            <v>Programación  periodica (FT1) que realiza los Centros Zonales a traves de la Direcciones Regionales; adicionalmente de la solicitudes realizadas por parte de  los programas especiales consolidado en un archivo Excel. 
Instrucciones de calculo denominador: La sumatoria de toneladas de Bienestarina MÁS  y Bienestarina Liquida  solicitadas al concesionario a distribuir en los puntos primarios en un periodo especifico, y que resulta de consolidar la informacion de las regionales y programas especiales (FT1), desagregado por Regional.</v>
          </cell>
          <cell r="AG41" t="str">
            <v>No TONELADAS DISTRIBUIDAS (MES) /No TONELADAS SOLICITADAS EN EL PERIODO (Mensual)</v>
          </cell>
          <cell r="AH41" t="str">
            <v>Mensual</v>
          </cell>
          <cell r="AI41" t="str">
            <v>x</v>
          </cell>
          <cell r="AJ41" t="str">
            <v>x</v>
          </cell>
          <cell r="AK41" t="str">
            <v>x</v>
          </cell>
          <cell r="AL41" t="str">
            <v>x</v>
          </cell>
          <cell r="AM41" t="str">
            <v>x</v>
          </cell>
          <cell r="AN41" t="str">
            <v>x</v>
          </cell>
          <cell r="AO41" t="str">
            <v>x</v>
          </cell>
          <cell r="AP41" t="str">
            <v>x</v>
          </cell>
          <cell r="AQ41" t="str">
            <v>x</v>
          </cell>
          <cell r="AR41" t="str">
            <v>x</v>
          </cell>
          <cell r="AS41" t="str">
            <v>x</v>
          </cell>
          <cell r="AT41" t="str">
            <v>x</v>
          </cell>
        </row>
        <row r="42">
          <cell r="B42">
            <v>38</v>
          </cell>
          <cell r="C42" t="str">
            <v>MPM4</v>
          </cell>
          <cell r="D42" t="str">
            <v>Gestión para la Nutrición</v>
          </cell>
          <cell r="E42" t="str">
            <v>N/A</v>
          </cell>
          <cell r="F42" t="str">
            <v>N/A</v>
          </cell>
          <cell r="G42" t="str">
            <v>Gestión misional y de gobierno</v>
          </cell>
          <cell r="H42" t="str">
            <v>Indicadores y metas de gobierno</v>
          </cell>
          <cell r="I42">
            <v>0</v>
          </cell>
          <cell r="J42">
            <v>0</v>
          </cell>
          <cell r="K42" t="str">
            <v>Dirección de Nutrición</v>
          </cell>
          <cell r="L42" t="str">
            <v>PA-25</v>
          </cell>
          <cell r="M42" t="str">
            <v xml:space="preserve"> Toneladas producidas de Bienestarina</v>
          </cell>
          <cell r="N42" t="str">
            <v>Controlar   la producción de Alimentos de Alto valor nutricional para  que cumpla con  las necesidades  del ICBF .</v>
          </cell>
          <cell r="O42" t="str">
            <v>Creciente</v>
          </cell>
          <cell r="P42" t="str">
            <v>Calidad</v>
          </cell>
          <cell r="Q42" t="str">
            <v>22,000 Toneladas</v>
          </cell>
          <cell r="R42" t="str">
            <v>Gestión</v>
          </cell>
          <cell r="S42" t="str">
            <v>Eficiencia</v>
          </cell>
          <cell r="T42" t="str">
            <v>22.000 toneladas</v>
          </cell>
          <cell r="U42">
            <v>88000</v>
          </cell>
          <cell r="V42" t="str">
            <v>Toneladas</v>
          </cell>
          <cell r="W42" t="str">
            <v>Si</v>
          </cell>
          <cell r="X42" t="str">
            <v>No</v>
          </cell>
          <cell r="Y42" t="str">
            <v>No</v>
          </cell>
          <cell r="Z42" t="str">
            <v>No</v>
          </cell>
          <cell r="AA42" t="str">
            <v>Si</v>
          </cell>
          <cell r="AB42" t="str">
            <v>Si</v>
          </cell>
          <cell r="AC42" t="str">
            <v>No TONELADAS PRODUCIDAS REALMENTE EN LAS PLANTAS (MES)</v>
          </cell>
          <cell r="AD42" t="str">
            <v>Archivo en Excel consolidado que entrega  INTERVENTORIA que consolide la produccion real  de Bienestarina en las plantas de Cartago -  Valle y Sabanagrande Atlántico.
Instrucciones de calculo Numerador: 1. Consolidar los informes  de la interventoria y del operador referente a la produccionn en el periodo correspondiente.
2. Obtencion de la cifra en toneladas producidas en el plazo establecido  (los 3 primeros dias después del mes vencido) , desagregado por planta ( Cartago - Sabanagrande).</v>
          </cell>
          <cell r="AE42" t="str">
            <v xml:space="preserve"> No TONELADAS  DE PRODUCCION PROGRAMADAS   POR EL CONCESIONARIO  </v>
          </cell>
          <cell r="AF42" t="str">
            <v>La informacion se obtiene a  partir de mail o memorando o circular enviado por el Concesionario informando la programacion de producción  del periodo  correspondiente
Instrucciones de calculo denominador: La sumatoria de toneladas correspondientes a la programacion de produccion del Concesionario  desagregado por planta ( Cartago - Sabanagrande).
1. se suma las toneladas dela programacion mensual  de produccion  enviado por el Concesionario.</v>
          </cell>
          <cell r="AG42" t="str">
            <v xml:space="preserve">No TONELADAS PRODUCIDAS EN LAS PLANTAS (MES)/No TONELADAS  DE PRODUCCION PROGRAMADAS   POR EL CONCESIONARIO   </v>
          </cell>
          <cell r="AH42" t="str">
            <v>Mensual</v>
          </cell>
          <cell r="AI42" t="str">
            <v>x</v>
          </cell>
          <cell r="AJ42" t="str">
            <v>x</v>
          </cell>
          <cell r="AK42" t="str">
            <v>x</v>
          </cell>
          <cell r="AL42" t="str">
            <v>x</v>
          </cell>
          <cell r="AM42" t="str">
            <v>x</v>
          </cell>
          <cell r="AN42" t="str">
            <v>x</v>
          </cell>
          <cell r="AO42" t="str">
            <v>x</v>
          </cell>
          <cell r="AP42" t="str">
            <v>x</v>
          </cell>
          <cell r="AQ42" t="str">
            <v>x</v>
          </cell>
          <cell r="AR42" t="str">
            <v>x</v>
          </cell>
          <cell r="AS42" t="str">
            <v>x</v>
          </cell>
          <cell r="AT42" t="str">
            <v>x</v>
          </cell>
        </row>
        <row r="43">
          <cell r="B43">
            <v>39</v>
          </cell>
          <cell r="C43" t="str">
            <v>MPM4</v>
          </cell>
          <cell r="D43" t="str">
            <v>Gestión para la Nutrición</v>
          </cell>
          <cell r="E43" t="str">
            <v>N/A</v>
          </cell>
          <cell r="F43" t="str">
            <v>N/A</v>
          </cell>
          <cell r="G43" t="str">
            <v>N/A</v>
          </cell>
          <cell r="H43" t="str">
            <v>N/A</v>
          </cell>
          <cell r="I43">
            <v>0</v>
          </cell>
          <cell r="J43">
            <v>0</v>
          </cell>
          <cell r="K43" t="str">
            <v>Dirección de Nutrición</v>
          </cell>
          <cell r="L43" t="str">
            <v>MPM4-01</v>
          </cell>
          <cell r="M43" t="str">
            <v xml:space="preserve"> Niños y niñas que recuperaron su estado Nutricional que se encuentran en la modalidad de Centros de Recuperación Nutricional - CRN</v>
          </cell>
          <cell r="N43" t="str">
            <v>Evaluar el efecto sobre el estado nutricional de los niños y niñas que ingresan con desnutrición aguda, desnutrición aguda severa o riesgo de desnutrición aguda atendidos en la modalidad de Centros de Recuperación Nutricional al final de los seis (6) meses de permanencia en esta modalidad.</v>
          </cell>
          <cell r="O43" t="str">
            <v>Creciente</v>
          </cell>
          <cell r="P43" t="str">
            <v>Calidad</v>
          </cell>
          <cell r="Q43">
            <v>0.64</v>
          </cell>
          <cell r="R43" t="str">
            <v>Impacto</v>
          </cell>
          <cell r="S43" t="str">
            <v>Eficacia</v>
          </cell>
          <cell r="T43">
            <v>0.8</v>
          </cell>
          <cell r="U43" t="str">
            <v>N/A</v>
          </cell>
          <cell r="V43" t="str">
            <v>Porcentaje</v>
          </cell>
          <cell r="W43" t="str">
            <v>Si</v>
          </cell>
          <cell r="X43" t="str">
            <v>Si</v>
          </cell>
          <cell r="Y43" t="str">
            <v>No</v>
          </cell>
          <cell r="Z43" t="str">
            <v>No</v>
          </cell>
          <cell r="AA43" t="str">
            <v>No</v>
          </cell>
          <cell r="AB43" t="str">
            <v>No</v>
          </cell>
          <cell r="AC43" t="str">
            <v>Total de niños y niñas menores de 5 años atendidos en la modalidad  Centros de Recuperación Nutricional  que recuperan su estado nutricional  al final de los cuatro (4) meses de intervención</v>
          </cell>
          <cell r="AD43" t="str">
            <v>1. Con el reporte en formato excel generado por el sistema CUENTAME de la modalidad de Centros de Recuperación Nutricional - CRN y sus diferentes variables procesadas, realice los siguientes pasos:  
a) Genere la opción de filtro a través de la barra de herramientas en la pestaña "Datos" de excel.
b) Dirijase a las columnas nombradas como flag y filtre para asegurar que solo se revisarán los datos con flag "0".
c) Para el proceso de análisis se debe considerar únicamente los niños y niñas que hayan completado los cuatro (4) meses de atención.
d)  Posteriomente, filtrar las columnas de clasificación nutricional Peso para la talla Inicial (WHZ1), filtrar los datos que presentan desnutrición  aguda, desnutrición aguda severa y riesgo de desnutrición aguda (tomar el dato y registrarlo, este será el denominador).
e) Manteniendo los filtros anteriormente mencionados dirijirse a la columna clasificación nutricional Peso para la talla final  ( WHZ4) filtrar por la opción "Peso adecuado"  (tomar el dato y registrarlo, este será el numerador).</v>
          </cell>
          <cell r="AE43" t="str">
            <v>Total de niños y niñas menores de 5 años que ingresan a la modalidad de Centros de  Recuperación Nutricional y que tuvieron cuatro (4) meses de permanencia.</v>
          </cell>
          <cell r="AF43" t="str">
            <v>1. Con el reporte en formato excel generado por el sistema CUENTAME de la modalidad de Centros de Recuperación Nutricional - CRN y sus diferentes variables procesadas, realice los siguientes pasos:  
a) Genere la opción de filtro a través de la barra de herramientas en la pestaña "Datos" de excel.
b) Dirijase a las columnas nombradas como flag y filtre para asegurar que solo se revisarán los datos con flag "0".
c) Para el proceso de análisis se debe considerar únicamente los niños y niñas que hayan completado los cuatro (4) meses de atención.
d)  Posteriomente, filtrar las columnas de clasificación nutricional Peso para la talla Inicial (WHZ1), filtrar los datos que presentan desnutrición  aguda, desnutrición aguda severa y riesgo de desnutrición aguda (tomar el dato y registrarlo, este será el denominador).</v>
          </cell>
          <cell r="AG43" t="str">
            <v>Total de niños y niñas menores de 5 años atendidos en la modalidad  Centros de Recuperación Nutricional  que recuperan su estado nutricional  al final de los cuatro (4) meses de intervención / Total de niños y niñas menores de 5 años que ingresan a la modalidad de Centros de  Recuperación Nutricional con cuatro (4) meses de permanencia* 100</v>
          </cell>
          <cell r="AH43" t="str">
            <v>Semestral</v>
          </cell>
          <cell r="AI43">
            <v>0</v>
          </cell>
          <cell r="AJ43">
            <v>0</v>
          </cell>
          <cell r="AK43">
            <v>0</v>
          </cell>
          <cell r="AL43">
            <v>0</v>
          </cell>
          <cell r="AM43">
            <v>0</v>
          </cell>
          <cell r="AN43" t="str">
            <v>x</v>
          </cell>
          <cell r="AO43">
            <v>0</v>
          </cell>
          <cell r="AP43">
            <v>0</v>
          </cell>
          <cell r="AQ43">
            <v>0</v>
          </cell>
          <cell r="AR43">
            <v>0</v>
          </cell>
          <cell r="AS43">
            <v>0</v>
          </cell>
          <cell r="AT43" t="str">
            <v>x</v>
          </cell>
        </row>
        <row r="44">
          <cell r="B44">
            <v>40</v>
          </cell>
          <cell r="C44" t="str">
            <v>MPM4</v>
          </cell>
          <cell r="D44" t="str">
            <v>Gestión para la Nutrición</v>
          </cell>
          <cell r="E44" t="str">
            <v>N/A</v>
          </cell>
          <cell r="F44" t="str">
            <v>N/A</v>
          </cell>
          <cell r="G44" t="str">
            <v>N/A</v>
          </cell>
          <cell r="H44" t="str">
            <v>N/A</v>
          </cell>
          <cell r="I44">
            <v>0</v>
          </cell>
          <cell r="J44">
            <v>0</v>
          </cell>
          <cell r="K44" t="str">
            <v>Dirección de Nutrición</v>
          </cell>
          <cell r="L44" t="str">
            <v>MPM4-02</v>
          </cell>
          <cell r="M44" t="str">
            <v>Porcentaje de niños de 6  meses  a 2 años reportados al Sistema de Seguimiento Nutricional – SSN pertenecientes al programa FAMI y CDI Modalidad Familiar, con desnutrición global  que mejoran su estado nutricional.</v>
          </cell>
          <cell r="N44" t="str">
            <v xml:space="preserve">Evaluar  el efecto de la modalidad FAMI y CDI Modalidad Familiar en los niños y niñas en términos de su estado nutricional </v>
          </cell>
          <cell r="O44" t="str">
            <v>Creciente</v>
          </cell>
          <cell r="P44" t="str">
            <v>Calidad</v>
          </cell>
          <cell r="Q44">
            <v>0.7</v>
          </cell>
          <cell r="R44" t="str">
            <v>Impacto</v>
          </cell>
          <cell r="S44" t="str">
            <v>Eficacia</v>
          </cell>
          <cell r="T44">
            <v>0.75</v>
          </cell>
          <cell r="U44" t="str">
            <v>N/A</v>
          </cell>
          <cell r="V44" t="str">
            <v>Porcentaje</v>
          </cell>
          <cell r="W44" t="str">
            <v>Si</v>
          </cell>
          <cell r="X44" t="str">
            <v>Si</v>
          </cell>
          <cell r="Y44" t="str">
            <v>No</v>
          </cell>
          <cell r="Z44" t="str">
            <v>No</v>
          </cell>
          <cell r="AA44" t="str">
            <v>No</v>
          </cell>
          <cell r="AB44" t="str">
            <v>No</v>
          </cell>
          <cell r="AC44" t="str">
            <v>No.  niños y niñas  entre 6 meses y dos años reportados al SSN, pertenecientes al programa FAMI y CDI Modalidad Familiar, que pasaron a Riesgo o Peso Adecuado para la edad en FAMI y CDI Modalidad Familiar</v>
          </cell>
          <cell r="AD44" t="str">
            <v>1. Con el reporte en formato Excel generado por el Sistema de Información  CUÉNTAME de la Regional y/o Centro zonal que corresponda, y las modalidades de atención de Primera Infancia realice los siguientes pasos: 
a) Genere la opción de filtro a través de la barra de herramientas en la pestaña "Datos" de excel.
b) Seleccione en la columna "NombreServicio" las siguientes opciones:  CDI Modalidad Familiar  y  HCB FAMI.
c) Dirijase a las columnas nombradas como flag y filtre para asegurar que solo se revisarán los datos con flag "0".
d) En la columna "GrupoEdad", seleccione únicamente el Grupo 1 (corresponde a los beneficiarios entre 0 años y 1 años 11 meses.
e) En la columna "Edadmeses",  elimine los datos que sean menores de 6 meses.
f) Posteriomente, en la columna denominada "EstadoPesoEdadInicial", filtre los datos que presentan Desnutrición Global y Desnutrición Global Severa (tomar el dato y registrarlo, este será el denominador).
g) Manteniendo los filtros anteriormente mencionados dirijirse a la columna "EstadoPesoEdadFinal"  y  filtre las opciones  "Riesgo de peso bajo para la edad y Peso adecuado para la edad"  (tomar el dato y registrarlo, este será el numerador).</v>
          </cell>
          <cell r="AE44" t="str">
            <v>Total de niños y niñas entre 6 meses y dos años, pertenecientes al programa FAMI y CDI Modalidad Familiar,  reportados al Sistema de Seguimiento Nutricional con Desnutrición Global en el primer trimestre</v>
          </cell>
          <cell r="AF44" t="str">
            <v>1. Con el reporte en formato Excel generado por el Sistema de Información  CUÉNTAME de la Regional y/o Centro zonal que corresponda, y las modalidades de atención de Primera Infancia realice los siguientes pasos: 
a) Genere la opción de filtro a través de la barra de herramientas en la pestaña "Datos" de excel.
b) Seleccione en la columna "NombreServicio" las siguientes opciones:  CDI Modalidad Familiar  y  HCB FAMI.
c) Dirijase a las columnas nombradas como flag y filtre para asegurar que solo se revisarán los datos con flag "0".
d) En la columna "GrupoEdad", seleccione únicamente el Grupo 1 (corresponde a los beneficiarios entre 0 años y 1 años 11 meses.
e) En la columna "Edadmeses",  elimine los datos que sean menores de 6 meses.
f) Posteriomente, en la columna denominada "EstadoPesoEdadInicial", filtre los datos que presentan Desnutrición Global y Desnutrición Global Severa (tomar el dato y registrarlo, este será el denominador).</v>
          </cell>
          <cell r="AG44" t="str">
            <v>Total de niños y niñas entre 6 meses y dos años,  pertenecientes al programa FAMI y CDI Modalidad Familiar, reportados al SSN que pasaron a Riesgo o Peso Adecuado para la Edad  / Total de niños y niñas entre 6 meses y dos años,  pertenecientes al programa FAMI y CDI Modalidad Familiar, reportados al SSN con Desnutrición Global en el primer trimestre) * 100</v>
          </cell>
          <cell r="AH44" t="str">
            <v>Semestral</v>
          </cell>
          <cell r="AI44">
            <v>0</v>
          </cell>
          <cell r="AJ44">
            <v>0</v>
          </cell>
          <cell r="AK44">
            <v>0</v>
          </cell>
          <cell r="AL44">
            <v>0</v>
          </cell>
          <cell r="AM44">
            <v>0</v>
          </cell>
          <cell r="AN44" t="str">
            <v>x</v>
          </cell>
          <cell r="AO44">
            <v>0</v>
          </cell>
          <cell r="AP44">
            <v>0</v>
          </cell>
          <cell r="AQ44">
            <v>0</v>
          </cell>
          <cell r="AR44">
            <v>0</v>
          </cell>
          <cell r="AS44">
            <v>0</v>
          </cell>
          <cell r="AT44" t="str">
            <v>x</v>
          </cell>
        </row>
        <row r="45">
          <cell r="B45">
            <v>41</v>
          </cell>
          <cell r="C45" t="str">
            <v>MPM4</v>
          </cell>
          <cell r="D45" t="str">
            <v>Gestión para la Nutrición</v>
          </cell>
          <cell r="E45" t="str">
            <v>N/A</v>
          </cell>
          <cell r="F45" t="str">
            <v>N/A</v>
          </cell>
          <cell r="G45" t="str">
            <v>N/A</v>
          </cell>
          <cell r="H45" t="str">
            <v>N/A</v>
          </cell>
          <cell r="I45">
            <v>0</v>
          </cell>
          <cell r="J45">
            <v>0</v>
          </cell>
          <cell r="K45" t="str">
            <v>Dirección de Nutrición</v>
          </cell>
          <cell r="L45" t="str">
            <v>MPM4-03</v>
          </cell>
          <cell r="M45" t="str">
            <v>Porcentaje de niños y niñas entre dos y cinco años victimas de desplazamiento reportados al Sistema de Seguimiento Nutricional - SSN en HI - HCB - CDI (excluyendo FAMI) con desnutrición aguda que mejoraron su estado Nutricional.</v>
          </cell>
          <cell r="N45" t="str">
            <v xml:space="preserve">Evaluar  el efecto de los programas  de HI - HCB - CDI en los niños y niñas victimas de desplazamiento en términos de su estado nutricional </v>
          </cell>
          <cell r="O45" t="str">
            <v>Creciente</v>
          </cell>
          <cell r="P45" t="str">
            <v>Calidad</v>
          </cell>
          <cell r="Q45">
            <v>0.75</v>
          </cell>
          <cell r="R45" t="str">
            <v>Impacto</v>
          </cell>
          <cell r="S45" t="str">
            <v>Eficacia</v>
          </cell>
          <cell r="T45">
            <v>0.78</v>
          </cell>
          <cell r="U45" t="str">
            <v>N/A</v>
          </cell>
          <cell r="V45" t="str">
            <v>Porcentaje</v>
          </cell>
          <cell r="W45" t="str">
            <v>Si</v>
          </cell>
          <cell r="X45" t="str">
            <v>Si</v>
          </cell>
          <cell r="Y45" t="str">
            <v>No</v>
          </cell>
          <cell r="Z45" t="str">
            <v>No</v>
          </cell>
          <cell r="AA45" t="str">
            <v>No</v>
          </cell>
          <cell r="AB45" t="str">
            <v>No</v>
          </cell>
          <cell r="AC45" t="str">
            <v>No.  niños y niñas desplazados entre dos y cinco años reportados al SSN que pasaron a Riesgo o Peso Adecuado para la Talla en HI - HCB - CDI  (excluyendo FAMI)</v>
          </cell>
          <cell r="AD45" t="str">
            <v>1. Con el reporte en formato Excel generado por el Sistema de Información  CUÉNTAME de la Regional y/o Centro zonal que corresponda, y las modalidades de atención de Primera Infancia realice los siguientes pasos: 
a) Genere la opción de filtro a través de la barra de herramientas en la pestaña "Datos" de excel.
b) Seleccione en la columna "NombreServicio" las siguientes opciones: CDI Institucional con arrIendo, CDI Institucional sin arrIendo, CDI Modalidad Familiar, HCB Tradicionales Familiares, HCB Agrupados, Hogares  Infantiles, Hogar Empresarial, Hogares Múltiples y Jardines Sociales.
c) Dirijase a las columnas nombradas como flag y filtre para asegurar que solo se revisarán los datos con flag "0".
d) En la columna "GrupoEdad", seleccione únicamente el Grupo 2 (corresponde a los beneficiarios entre 2 años y 4 años 11 meses).
e) Seleccione en la columna "Desplazado", todos los datos que correspondan a "SI"
f) Posteriomente, en la columna denominada "EstadoPesoTalla/Inicial", filtre los datos que presentan Desnutrición Aguda y Desnutrición Aguda Severa (tomar el dato y registrarlo, este será el denominador).
g) Manteniendo los filtros anteriormente mencionados dirijirse a la columna "EstadoPesoTalla/Final"  y  filtre las opciones  "Riesgo de peso bajo para la talla y Peso adecuado para la talla"  (tomar el dato y registrarlo, este será el numerador).</v>
          </cell>
          <cell r="AE45" t="str">
            <v>Total de niños y niñas desplazados entre dos y cinco años de los HI - HCB - CDI  (excluyendo FAMI) reportados al Sistema de Seguimiento Nutricional con Desnutrición Aguda en el primer trimestre</v>
          </cell>
          <cell r="AF45" t="str">
            <v>1. Con el reporte en formato Excel generado por el Sistema de Información  CUÉNTAME de la Regional y/o Centro zonal que corresponda, y las modalidades de atención de Primera Infancia realice los siguientes pasos: 
a) Genere la opción de filtro a través de la barra de herramientas en la pestaña "Datos" de excel.
b) Seleccione en la columna "NombreServicio" las siguientes opciones: CDI Institucional con arrIendo, CDI Institucional sin arrIendo, CDI Modalidad Familiar, HCB Tradicionales Familiares, HCB Agrupados, Hogares  Infantiles, Hogar Empresarial, Hogares Múltiples y Jardines Sociales.
c) Dirijase a las columnas nombradas como flag y filtre para asegurar que solo se revisarán los datos con flag "0".
d) En la columna "GrupoEdad", seleccione únicamente el Grupo 2 (corresponde a los beneficiarios entre 2 años y 4 años 11 meses).
e) Seleccione en la columna "Desplazado", todos los datos que correspondan a "SI"
f) Posteriomente, en la columna denominada "EstadoPesoTalla/Inicial", filtre los datos que presentan Desnutrición Aguda y Desnutrición Aguda Severa (tomar el dato y registrarlo, este será el denominador).</v>
          </cell>
          <cell r="AG45" t="str">
            <v>Total de niños y niñas desplazados entre dos y cinco años reportados al SSN que pasaron a Riesgo o Peso Adecuado para la Talla en HI - HCB - CDI  (excluyendo FAMI)  /Total de niños y niñas desplazados entre dos y cinco años de los HI, HCB y CDI  (excluyendo FAMI ) reportados al Sistema de Seguimiento Nutricional con Desnutrición Aguda en el primer trimestre* 100</v>
          </cell>
          <cell r="AH45" t="str">
            <v>Semestral</v>
          </cell>
          <cell r="AI45">
            <v>0</v>
          </cell>
          <cell r="AJ45">
            <v>0</v>
          </cell>
          <cell r="AK45">
            <v>0</v>
          </cell>
          <cell r="AL45">
            <v>0</v>
          </cell>
          <cell r="AM45">
            <v>0</v>
          </cell>
          <cell r="AN45" t="str">
            <v>x</v>
          </cell>
          <cell r="AO45">
            <v>0</v>
          </cell>
          <cell r="AP45">
            <v>0</v>
          </cell>
          <cell r="AQ45">
            <v>0</v>
          </cell>
          <cell r="AR45">
            <v>0</v>
          </cell>
          <cell r="AS45">
            <v>0</v>
          </cell>
          <cell r="AT45" t="str">
            <v>x</v>
          </cell>
        </row>
        <row r="46">
          <cell r="B46">
            <v>42</v>
          </cell>
          <cell r="C46" t="str">
            <v>MPM4</v>
          </cell>
          <cell r="D46" t="str">
            <v>Gestión para la Nutrición</v>
          </cell>
          <cell r="E46" t="str">
            <v>N/A</v>
          </cell>
          <cell r="F46" t="str">
            <v>N/A</v>
          </cell>
          <cell r="G46" t="str">
            <v>N/A</v>
          </cell>
          <cell r="H46" t="str">
            <v>N/A</v>
          </cell>
          <cell r="I46">
            <v>0</v>
          </cell>
          <cell r="J46">
            <v>0</v>
          </cell>
          <cell r="K46" t="str">
            <v>Dirección de Nutrición</v>
          </cell>
          <cell r="L46" t="str">
            <v>MPM4-04</v>
          </cell>
          <cell r="M46" t="str">
            <v>Porcentaje de niños y niñas reportados al Sistema de Seguimiento Nutricional –SSN en HI, CDI  y HCB (excluyendo FAMI y menores de 2 años) que permanecieron con  Obesidad</v>
          </cell>
          <cell r="N46" t="str">
            <v xml:space="preserve">Evaluar  el efecto de los programas  de HI - HCB - CDI en los niños y niñas  en términos de su estado nutricional </v>
          </cell>
          <cell r="O46" t="str">
            <v>Decreciente</v>
          </cell>
          <cell r="P46" t="str">
            <v>Calidad</v>
          </cell>
          <cell r="Q46">
            <v>0.4</v>
          </cell>
          <cell r="R46" t="str">
            <v>Impacto</v>
          </cell>
          <cell r="S46" t="str">
            <v>Eficacia</v>
          </cell>
          <cell r="T46">
            <v>0.4</v>
          </cell>
          <cell r="U46" t="str">
            <v>N/A</v>
          </cell>
          <cell r="V46" t="str">
            <v>Porcentaje</v>
          </cell>
          <cell r="W46" t="str">
            <v>Si</v>
          </cell>
          <cell r="X46" t="str">
            <v>Si</v>
          </cell>
          <cell r="Y46" t="str">
            <v>No</v>
          </cell>
          <cell r="Z46" t="str">
            <v>No</v>
          </cell>
          <cell r="AA46" t="str">
            <v>No</v>
          </cell>
          <cell r="AB46" t="str">
            <v>No</v>
          </cell>
          <cell r="AC46" t="str">
            <v>No.  niños y niñas reportados al SSN que continuaron en obesidad en HI - HCB - CDI (excluyendo FAMI y menores de 2 años)</v>
          </cell>
          <cell r="AD46" t="str">
            <v>1. Con el reporte en formato Excel generado por el Sistema de Información  CUÉNTAME de la Regional y/o Centro zonal que corresponda, y las modalidades de atención de Primera Infancia realice los siguientes pasos: 
a) Genere la opción de filtro a través de la barra de herramientas en la pestaña "Datos" de excel.
b) Seleccione en la columna "NombreServicio" las siguientes opciones: CDI Institucional con arrIendo, CDI Institucional sin arrIendo, CDI Modalidad Familiar, HCB Tradicionales Familiares, HCB Agrupados, Hogares  Infantiles, Hogar Empresarial, Hogares Múltiples y Jardines Sociales.
c) Dirijase a las columnas nombradas como flag y filtre para asegurar que solo se revisarán los datos con flag "0".
d) En la columna "GrupoEdad", seleccione únicamente el Grupo 2 (corresponde a los beneficiarios entre 2 años y 4 años 11 meses).
e) Posteriomente, en la columna denominada "EstadoIMC/Inicial", filtre los datos que presentan "Obesidad" (tomar el dato y registrarlo, este será el denominador).
f) Manteniendo los filtros anteriormente mencionados dirijirse a la columna "EstadoIMC/Final"  y  filtre las opciones  "Obesidad"  (tomar el dato y registrarlo, este será el numerador).</v>
          </cell>
          <cell r="AE46" t="str">
            <v xml:space="preserve"> Total de niños y niñas de los HI - HCB - CDI  (excluyendo FAMI y menores de 2 años) reportados al Sistema de Seguimiento Nutricional con obesidad en el primer trimestre</v>
          </cell>
          <cell r="AF46" t="str">
            <v>1. Con el reporte en formato Excel generado por el Sistema de Información  CUÉNTAME de la Regional y/o Centro zonal que corresponda, y las modalidades de atención de Primera Infancia realice los siguientes pasos: 
a) Genere la opción de filtro a través de la barra de herramientas en la pestaña "Datos" de excel.
b) Seleccione en la columna "NombreServicio" las siguientes opciones: CDI Institucional con arrIendo, CDI Institucional sin arrIendo, CDI Modalidad Familiar, HCB Tradicionales Familiares, HCB Agrupados, Hogares  Infantiles, Hogar Empresarial, Hogares Múltiples y Jardines Sociales.
c) Dirijase a las columnas nombradas como flag y filtre para asegurar que solo se revisarán los datos con flag "0".
d) En la columna "GrupoEdad", seleccione únicamente el Grupo 2 (corresponde a los beneficiarios entre 2 años y 4 años 11 meses).
e) Posteriomente, en la columna denominada "EstadoIMC/Inicial", filtre los datos que presentan "Obesidad" (tomar el dato y registrarlo, este será el denominador).</v>
          </cell>
          <cell r="AG46" t="str">
            <v>Total de niños y niñas reportados al SSN que continuaron con obesidad en HI - HCB - CDI (excluyendo FAMI y menores de 2 años)  /Total de niños y niñas de los HI, CDI  y HCB (excluyendo FAMI  y menores de 2 años) reportados al Sistema de Seguimiento Nutricional con obesidad en el primer trimestre* 100</v>
          </cell>
          <cell r="AH46" t="str">
            <v>Semestral</v>
          </cell>
          <cell r="AI46">
            <v>0</v>
          </cell>
          <cell r="AJ46">
            <v>0</v>
          </cell>
          <cell r="AK46">
            <v>0</v>
          </cell>
          <cell r="AL46">
            <v>0</v>
          </cell>
          <cell r="AM46">
            <v>0</v>
          </cell>
          <cell r="AN46" t="str">
            <v>x</v>
          </cell>
          <cell r="AO46">
            <v>0</v>
          </cell>
          <cell r="AP46">
            <v>0</v>
          </cell>
          <cell r="AQ46">
            <v>0</v>
          </cell>
          <cell r="AR46">
            <v>0</v>
          </cell>
          <cell r="AS46">
            <v>0</v>
          </cell>
          <cell r="AT46" t="str">
            <v>x</v>
          </cell>
        </row>
        <row r="47">
          <cell r="B47">
            <v>43</v>
          </cell>
          <cell r="C47" t="str">
            <v>MPM4</v>
          </cell>
          <cell r="D47" t="str">
            <v>Gestión para la Nutrición</v>
          </cell>
          <cell r="E47" t="str">
            <v>N/A</v>
          </cell>
          <cell r="F47" t="str">
            <v>N/A</v>
          </cell>
          <cell r="G47" t="str">
            <v>N/A</v>
          </cell>
          <cell r="H47" t="str">
            <v>N/A</v>
          </cell>
          <cell r="I47">
            <v>0</v>
          </cell>
          <cell r="J47">
            <v>0</v>
          </cell>
          <cell r="K47" t="str">
            <v>Dirección de Nutrición</v>
          </cell>
          <cell r="L47" t="str">
            <v>MPM4-05</v>
          </cell>
          <cell r="M47" t="str">
            <v>Duración en meses de la lactancia materna exclusiva en la modalidad FAMI y CDI Modalidad Familiar</v>
          </cell>
          <cell r="N47" t="str">
            <v xml:space="preserve">Medir el efecto la modalidad FAMI y CDI Modalidad Familiar en relación con la promoción de la lactancia materna exclusiva hasta los 6 meses de edad. </v>
          </cell>
          <cell r="O47" t="str">
            <v>Estático</v>
          </cell>
          <cell r="P47" t="str">
            <v>Calidad</v>
          </cell>
          <cell r="Q47" t="str">
            <v>4,5 Meses</v>
          </cell>
          <cell r="R47" t="str">
            <v>Impacto</v>
          </cell>
          <cell r="S47" t="str">
            <v>Eficacia</v>
          </cell>
          <cell r="T47" t="str">
            <v>4,8 Meses</v>
          </cell>
          <cell r="U47" t="str">
            <v>N/A</v>
          </cell>
          <cell r="V47" t="str">
            <v xml:space="preserve">Numero   </v>
          </cell>
          <cell r="W47" t="str">
            <v>Si</v>
          </cell>
          <cell r="X47" t="str">
            <v>No</v>
          </cell>
          <cell r="Y47" t="str">
            <v>No</v>
          </cell>
          <cell r="Z47" t="str">
            <v>No</v>
          </cell>
          <cell r="AA47" t="str">
            <v>No</v>
          </cell>
          <cell r="AB47" t="str">
            <v>No</v>
          </cell>
          <cell r="AC47" t="str">
            <v>Mediana de la duración en meses de la lactancia materna exclusiva en niños y niñas de 6 meses a 2 años pertenecientes a la modalidad FAMI y CDI Modalidad Familiar</v>
          </cell>
          <cell r="AD47" t="str">
            <v>1. Con el reporte en formato Excel generado por el Sistema de Información  CUÉNTAME de la Regional y/o Centro zonal que corresponda, y las modalidades de atención de Primera Infancia realice los siguientes pasos: 
a) Genere la opción de filtro a través de la barra de herramientas en la pestaña "Datos" de excel.
b) Seleccione en la columna "NombreServicio" las siguientes opciones:  CDI Modalidad Familiar  y  HCB FAMI.
c) En la columna "GrupoEdad", seleccione únicamente el Grupo 1 (corresponde a los beneficiarios entre 0 años y 1 años 11 meses.
d) En la columna "Edadmeses",  elimine los datos que sean menores de 6 meses.
e) Posteriomente, en la columna denominada "MesesLactanciaMaternaExclusiva", organice los datos de menor a mayor.
f) Seleccione los datos e inserte la función "Mediana" para obtener el resultado.</v>
          </cell>
          <cell r="AE47" t="str">
            <v>N/A</v>
          </cell>
          <cell r="AF47" t="str">
            <v>N/A</v>
          </cell>
          <cell r="AG47" t="str">
            <v>Mediana de la duración en meses de la lactancia materna exclusiva en niños y niñas de 6 meses a 2 años pertenecientes a la modalidad FAMI y CDI Modalidad Familiar</v>
          </cell>
          <cell r="AH47" t="str">
            <v>Semestral</v>
          </cell>
          <cell r="AI47">
            <v>0</v>
          </cell>
          <cell r="AJ47">
            <v>0</v>
          </cell>
          <cell r="AK47">
            <v>0</v>
          </cell>
          <cell r="AL47">
            <v>0</v>
          </cell>
          <cell r="AM47">
            <v>0</v>
          </cell>
          <cell r="AN47" t="str">
            <v>x</v>
          </cell>
          <cell r="AO47">
            <v>0</v>
          </cell>
          <cell r="AP47">
            <v>0</v>
          </cell>
          <cell r="AQ47">
            <v>0</v>
          </cell>
          <cell r="AR47">
            <v>0</v>
          </cell>
          <cell r="AS47">
            <v>0</v>
          </cell>
          <cell r="AT47" t="str">
            <v>x</v>
          </cell>
        </row>
        <row r="48">
          <cell r="B48">
            <v>44</v>
          </cell>
          <cell r="C48" t="str">
            <v>MPM4</v>
          </cell>
          <cell r="D48" t="str">
            <v>Gestión para la Nutrición</v>
          </cell>
          <cell r="E48" t="str">
            <v>N/A</v>
          </cell>
          <cell r="F48" t="str">
            <v>N/A</v>
          </cell>
          <cell r="G48" t="str">
            <v>N/A</v>
          </cell>
          <cell r="H48" t="str">
            <v>N/A</v>
          </cell>
          <cell r="I48">
            <v>0</v>
          </cell>
          <cell r="J48">
            <v>0</v>
          </cell>
          <cell r="K48" t="str">
            <v>Dirección de Nutrición</v>
          </cell>
          <cell r="L48" t="str">
            <v>MPM4-06</v>
          </cell>
          <cell r="M48" t="str">
            <v>Porcentaje de niños y niñas  atendidos en la modalidad FAMI y CDI Modalidad Familiar con lactancia materna exclusiva hasta los seis meses</v>
          </cell>
          <cell r="N48" t="str">
            <v>Medir el efecto la modalidad FAMI y CDI Modalidad Familiar en relación con la promoción de la lactancia materna exclusiva hasta los 6 meses de edad.</v>
          </cell>
          <cell r="O48" t="str">
            <v>Estático</v>
          </cell>
          <cell r="P48" t="str">
            <v>Calidad</v>
          </cell>
          <cell r="Q48">
            <v>0.24</v>
          </cell>
          <cell r="R48" t="str">
            <v>Impacto</v>
          </cell>
          <cell r="S48" t="str">
            <v>Eficacia</v>
          </cell>
          <cell r="T48">
            <v>0.25</v>
          </cell>
          <cell r="U48" t="str">
            <v>N/A</v>
          </cell>
          <cell r="V48" t="str">
            <v>Porcentaje</v>
          </cell>
          <cell r="W48" t="str">
            <v>Si</v>
          </cell>
          <cell r="X48" t="str">
            <v>Si</v>
          </cell>
          <cell r="Y48" t="str">
            <v>No</v>
          </cell>
          <cell r="Z48" t="str">
            <v>No</v>
          </cell>
          <cell r="AA48" t="str">
            <v>No</v>
          </cell>
          <cell r="AB48" t="str">
            <v>No</v>
          </cell>
          <cell r="AC48" t="str">
            <v>No.  de niños y niñas entre 6 meses y dos años atendidos en la modalidad FAMI y CDI Modalidad Familiar que recibieron lactancia materna exclusiva hasta los 6 meses de edad.</v>
          </cell>
          <cell r="AD48" t="str">
            <v>1. Con el reporte en formato Excel generado por el Sistema de Información  CUÉNTAME de la Regional y/o Centro zonal que corresponda, y las modalidades de atención de Primera Infancia realice los siguientes pasos: 
a) Genere la opción de filtro a través de la barra de herramientas en la pestaña "Datos" de excel.
b) Seleccione en la columna "NombreServicio" las siguientes opciones:  CDI Modalidad Familiar  y  HCB FAMI.
c) En la columna "GrupoEdad", seleccione únicamente el Grupo 1 (corresponde a los beneficiarios entre 0 años y 1 años 11 meses.
d) En la columna "Edadmeses",  elimine los datos que sean menores de 6 meses. (tomar el dato y registrarlo, este será el denominador).
e) Posteriomente, en la columna denominada "MesesLactanciaMaternaExclusiva",  filtre únicamente los datos que correspondan a seis meses -6-  (tomar el dato y registrarlo, este será el numerador).</v>
          </cell>
          <cell r="AE48" t="str">
            <v>Total niños y niñas entre 6 meses y 2 años atendidos en  la modalidad FAMI y CDI Modalidad Familiar</v>
          </cell>
          <cell r="AF48" t="str">
            <v xml:space="preserve">1. Con el reporte en formato Excel generado por el Sistema de Información  CUÉNTAME de la Regional y/o Centro zonal que corresponda, y las modalidades de atención de Primera Infancia realice los siguientes pasos: 
a) Genere la opción de filtro a través de la barra de herramientas en la pestaña "Datos" de excel.
b) Seleccione en la columna "NombreServicio" las siguientes opciones:  CDI Modalidad Familiar  y  HCB FAMI.
c) En la columna "GrupoEdad", seleccione únicamente el Grupo 1 (corresponde a los beneficiarios entre 0 años y 1 años 11 meses.
d) En la columna "Edadmeses",  elimine los datos que sean menores de 6 meses. (tomar el dato y registrarlo, este será el denominador).
</v>
          </cell>
          <cell r="AG48" t="str">
            <v>Número de niños y niñas entre 6 meses y dos años atendidos en la modalidad FAMI y CDI Modalidad Familiar que recibieron lactancia materna exclusiva hasta los 6 meses de edad / Total niños y niñas entre 6 meses y 2 años atendidos en  la modalidad FAMI y CDI Modalidad Familiar * 100</v>
          </cell>
          <cell r="AH48" t="str">
            <v>Semestral</v>
          </cell>
          <cell r="AI48">
            <v>0</v>
          </cell>
          <cell r="AJ48">
            <v>0</v>
          </cell>
          <cell r="AK48">
            <v>0</v>
          </cell>
          <cell r="AL48">
            <v>0</v>
          </cell>
          <cell r="AM48">
            <v>0</v>
          </cell>
          <cell r="AN48" t="str">
            <v>x</v>
          </cell>
          <cell r="AO48">
            <v>0</v>
          </cell>
          <cell r="AP48">
            <v>0</v>
          </cell>
          <cell r="AQ48">
            <v>0</v>
          </cell>
          <cell r="AR48">
            <v>0</v>
          </cell>
          <cell r="AS48">
            <v>0</v>
          </cell>
          <cell r="AT48" t="str">
            <v>x</v>
          </cell>
        </row>
        <row r="49">
          <cell r="B49">
            <v>45</v>
          </cell>
          <cell r="C49" t="str">
            <v>MPM4</v>
          </cell>
          <cell r="D49" t="str">
            <v>Gestión para la Nutrición</v>
          </cell>
          <cell r="E49" t="str">
            <v>N/A</v>
          </cell>
          <cell r="F49" t="str">
            <v>N/A</v>
          </cell>
          <cell r="G49" t="str">
            <v>N/A</v>
          </cell>
          <cell r="H49" t="str">
            <v>N/A</v>
          </cell>
          <cell r="I49">
            <v>0</v>
          </cell>
          <cell r="J49">
            <v>0</v>
          </cell>
          <cell r="K49" t="str">
            <v>Dirección de Nutrición</v>
          </cell>
          <cell r="L49" t="str">
            <v>MPM4-07</v>
          </cell>
          <cell r="M49" t="str">
            <v>Niños y niñas que mejoraron su estado Nutricional que se encuentran en la modalidad Recuperación Nutricional con Énfasis en los Primeros 1.000 Días - RN1.000</v>
          </cell>
          <cell r="N49" t="str">
            <v>Evaluar el efecto sobre el estado nutricional de los niños y niñas que ingresan con desnutrición aguda, aguda severa o riesgo de desnutrición aguda, desnutrición global y  global severa, atendidos en la modalidad de Recuperación Nutricional con Énfasis en los Primeros 1.000 Días al final de los seis (6) meses de permanencia en esta modalidad.</v>
          </cell>
          <cell r="O49" t="str">
            <v>Creciente</v>
          </cell>
          <cell r="P49" t="str">
            <v>Calidad</v>
          </cell>
          <cell r="Q49">
            <v>0</v>
          </cell>
          <cell r="R49" t="str">
            <v>Impacto</v>
          </cell>
          <cell r="S49" t="str">
            <v>Eficacia</v>
          </cell>
          <cell r="T49">
            <v>0.8</v>
          </cell>
          <cell r="U49" t="str">
            <v>N/A</v>
          </cell>
          <cell r="V49" t="str">
            <v>Porcentaje</v>
          </cell>
          <cell r="W49" t="str">
            <v>Si</v>
          </cell>
          <cell r="X49" t="str">
            <v>Si</v>
          </cell>
          <cell r="Y49" t="str">
            <v>No</v>
          </cell>
          <cell r="Z49" t="str">
            <v>No</v>
          </cell>
          <cell r="AA49" t="str">
            <v>No</v>
          </cell>
          <cell r="AB49" t="str">
            <v>No</v>
          </cell>
          <cell r="AC49" t="str">
            <v>Total de niños y niñas menores de 5 años atendidos en la modalidad  Recuperación Nutricional con Énfasis en los Primeros 1.000 Días que mejoran su estado nutricional  al final de los seis (6) meses de permanencia</v>
          </cell>
          <cell r="AD49" t="str">
            <v>1. Con el reporte en formato excel generado por el sistema CUENTAME de la modalidad de Recuperación Nutricional con Énfasis en los Primeros 1.000 Días y sus diferentes variables procesadas, realice los siguientes pasos:  
a) Genere la opción de filtro a través de la barra de herramientas en la pestaña "Datos" de excel.
b) Dirijase a las columnas nombradas como flag y filtre para asegurar que sólo se revisarán los datos con flag "0".
c) Para el proceso de análisis se debe considerar únicamente los niños y niñas que hayan completado los seis (6) meses de atención, a través de 6 registros de peso y talla. 
d)  Posteriomente, filtrar las columnas de clasificación nutricional Peso para la talla Inicial y peso para la edad Inicial (WHZ1 y WAZ1 de acuerdo al grupo de edad: P/T mayor de 2 años y P/E menor de 2 años), filtrar los datos que presentan riesgo de desnutrición aguda, desnutrición  aguda, desnutrición aguda severa, desnutrición global y desnutrición global severa (tomar el dato y registrarlo, este será el denominador).
e) Manteniendo los filtros anteriormente mencionados dirijirse a la columna clasificación nutricional Peso para la talla final y peso para la edad final (WHZ6 y WAZ6 de acuerdo al grupo de edad: P/T mayor de 2 años y P/E menor de 2 años), para los niños y niñas que ingresaron con desnutrición  aguda, desnutrición aguda severa, desnutrición global y desnutrición global severa filtrar por las opciones  "Riesgo de desnutrición y Peso adecuado"  (tomar el dato y registrarlo, este será la primera parte del numerador).
f)  Para los niños y niñas que ingresaron con riesgo de desnutrición  aguda, filtrar por la opción "Peso adecuado para la talla"  (tomar el dato y registrarlo, este será la segunda  parte del numerador).
g) Sumar los datos obtenidos en el punto e y f, este será el valor total del numerador.</v>
          </cell>
          <cell r="AE49" t="str">
            <v>Total de niños y niñas menores de 5 años que ingresan a la modalidad de Recuperación Nutricional con Énfasis en los Primeros 1.000 Días con seis (6) meses de permanencia</v>
          </cell>
          <cell r="AF49" t="str">
            <v>1. Con el reporte en formato excel generado por el sistema CUENTAME de la modalidad de Recuperación Nutricional con Énfasis en los Primeros 1.000 Días  y sus diferentes variables procesadas, realice los siguientes pasos:  
a) Genere la opción de filtro a través de la barra de herramientas en la pestaña "Datos" de excel.
b) Dirijase a las columnas nombradas como flag y filtre para asegurar que solo se revisarán los datos con flag "0".
c) Para el proceso de análisis se debe considerar únicamente los niños y niñas que hayan completado los seis (6) meses de atención, a través de 6 registros de peso y talla. 
d)  Posteriomente, filtrar las columnas de clasificación nutricional Peso para la talla Inicial y peso para la edad inicial (WHZ1 y WAZ1 de acuerdo al grupo de edad: P/T mayor de 2 años y P/E menor de 2 años), filtrar los datos que presentan riesgo de desnutrición aguda, desnutrición  aguda, desnutrición aguda severa. desnutrición global y desnutrición global severa (tomar el dato y registrarlo, este será el denominador).</v>
          </cell>
          <cell r="AG49" t="str">
            <v>Total de niños y niñas menores de 5 años atendidos en la modalidad Recuperación Nutricional con Énfasis en los Primeros 1.000 Días que mejoran su estado nutricional  al final de los seis (6) meses de permanencia / Total de niños y niñas menores de 5 años que ingresan a la modalidad de Recuperación Nutricional con Énfasis en los Primeros 1.000 Días con seis (6) meses de permanencia* 100</v>
          </cell>
          <cell r="AH49" t="str">
            <v>Semestral</v>
          </cell>
          <cell r="AI49">
            <v>0</v>
          </cell>
          <cell r="AJ49">
            <v>0</v>
          </cell>
          <cell r="AK49">
            <v>0</v>
          </cell>
          <cell r="AL49">
            <v>0</v>
          </cell>
          <cell r="AM49">
            <v>0</v>
          </cell>
          <cell r="AN49" t="str">
            <v>x</v>
          </cell>
          <cell r="AO49">
            <v>0</v>
          </cell>
          <cell r="AP49">
            <v>0</v>
          </cell>
          <cell r="AQ49">
            <v>0</v>
          </cell>
          <cell r="AR49">
            <v>0</v>
          </cell>
          <cell r="AS49">
            <v>0</v>
          </cell>
          <cell r="AT49" t="str">
            <v>x</v>
          </cell>
        </row>
        <row r="50">
          <cell r="B50">
            <v>46</v>
          </cell>
          <cell r="C50" t="str">
            <v>MPM4</v>
          </cell>
          <cell r="D50" t="str">
            <v>Gestión para la Nutrición</v>
          </cell>
          <cell r="E50" t="str">
            <v>N/A</v>
          </cell>
          <cell r="F50" t="str">
            <v>N/A</v>
          </cell>
          <cell r="G50" t="str">
            <v>Gestión misional y de gobierno</v>
          </cell>
          <cell r="H50" t="str">
            <v>Indicadores y metas de gobierno</v>
          </cell>
          <cell r="I50">
            <v>0</v>
          </cell>
          <cell r="J50">
            <v>0</v>
          </cell>
          <cell r="K50" t="str">
            <v>Dirección de Nutrición</v>
          </cell>
          <cell r="L50" t="str">
            <v>PA-26</v>
          </cell>
          <cell r="M50" t="str">
            <v>Porcentaje de Mujeres en periodo de Gestación y Madres en periodo de Lactancia con bajo peso atendidas mediante la modalidad de Recuperación Nutricional con Énfasis en los Primeros 1.000 días que mejoran su estado nutricional.</v>
          </cell>
          <cell r="N50" t="str">
            <v>Evaluar el efecto de seis (6) meses de atención en la modalidad de Recuperación Nutricional con Énfasis en los Primeros 1.000 Días sobre el estado nutricional de las mujeres gestantes que ingresan con bajo peso para la edad gestacional y madres en periodo de lactancia que ingresan con bajo peso.</v>
          </cell>
          <cell r="O50" t="str">
            <v>Creciente</v>
          </cell>
          <cell r="P50" t="str">
            <v>Calidad</v>
          </cell>
          <cell r="Q50">
            <v>0</v>
          </cell>
          <cell r="R50" t="str">
            <v>Impacto</v>
          </cell>
          <cell r="S50" t="str">
            <v>Eficacia</v>
          </cell>
          <cell r="T50">
            <v>0.7</v>
          </cell>
          <cell r="U50">
            <v>0.8</v>
          </cell>
          <cell r="V50" t="str">
            <v>Porcentaje</v>
          </cell>
          <cell r="W50" t="str">
            <v>Si</v>
          </cell>
          <cell r="X50" t="str">
            <v>Si</v>
          </cell>
          <cell r="Y50" t="str">
            <v>No</v>
          </cell>
          <cell r="Z50" t="str">
            <v>No</v>
          </cell>
          <cell r="AA50" t="str">
            <v>Si</v>
          </cell>
          <cell r="AB50" t="str">
            <v>Si</v>
          </cell>
          <cell r="AC50" t="str">
            <v>Total de mujeres gestantes y madres en periodo de lactancia atendidas en la modalidad  Recuperación Nutricional con Énfasis en los Primeros 1.000 Días que mejoran su estado nutricional al final de los seis (6) meses de permanencia.</v>
          </cell>
          <cell r="AD50" t="str">
            <v>1. Con el reporte en formato Excel generado por el sistema CUENTAME de la modalidad de Recuperación Nutricional con Énfasis en los Primeros 1.000 Días y sus diferentes variables procesadas, realice los siguientes pasos:  
a) Genere la opción de filtro a través de la barra de herramientas en la pestaña "Datos" de excel.
b) Para el proceso de análisis se debe considerar únicamente las mujeres gestantes y madres en periodo de lactancia que hayan completado los seis (6) meses de atención, a través de 6 registros de peso y semanas de gestación e IMC respectivamente.
c)  Posteriomente, filtrar las columnas de clasificación nutricional indice de masa corporal para la edad gestacional e indice de masa corporal para las mujeres en periodo de lactanciai(nicial), filtrar los datos que presentan bajo peso en el caso de las gestantes y delgadez en el caso de las madres lactantes (tomar el dato y registrarlo, este será el denominador).
d) Manteniendo los filtros anteriormente mencionados dirijirse a la columna clasificación nutricional indice de masa corporal para la edad gestacional e indice de masa corporal para las mujeres en periodo de lactancia(final) contar los datos que registran normalidad (tomar el dato y registrarlo, este será el numerador).</v>
          </cell>
          <cell r="AE50" t="str">
            <v>Total de mujeres gestantes que ingresan a la modalidad de Recuperación Nutricional con Énfasis en los Primeros 1.000 Días con seis (6) meses de permanencia</v>
          </cell>
          <cell r="AF50" t="str">
            <v>1. Con el reporte en formato Excel generado por el sistema CUENTAME de la modalidad de Recuperación Nutricional con Énfasis en los Primeros 1.000 Días y sus diferentes variables procesadas, realice los siguientes pasos:  
a) Genere la opción de filtro a través de la barra de herramientas en la pestaña "Datos" de excel.
b) Para el proceso de análisis se debe considerar únicamente las mujeres gestantes y madres en periodo de lactancia que hayan completado los seis (6) meses de atención, a través de 6 registros de peso y semanas de gestación e IMC respectivamente.
c)  Posteriomente, filtrar las columnas de clasificación nutricional, indice de masa corporal para la edad gestacional e indice de masa corporal para las mujeres en periodo de lactancia(inicial), filtrar los datos que presentan bajo peso en el caso de las gestantes y delgadez en el caso de las madres lactantes (tomar el dato y registrarlo, este será el denominador).</v>
          </cell>
          <cell r="AG50" t="str">
            <v>Total de mujeres gestantes y madres en periodo de lactancia que mejoran su estado nutricional al final de los seis (6) meses de permanencia en la modalidad Recuperación Nutricional con Énfasis en los Primeros 1.000 Días / Total de mujeres gestantes y madres en periodo de lactancia que ingresan a la modalidad de Recuperación Nutricional con Énfasis en los Primeros 1.000 Días con seis (6) meses de permanencia* 100</v>
          </cell>
          <cell r="AH50" t="str">
            <v>Semestral</v>
          </cell>
          <cell r="AI50">
            <v>0</v>
          </cell>
          <cell r="AJ50">
            <v>0</v>
          </cell>
          <cell r="AK50">
            <v>0</v>
          </cell>
          <cell r="AL50">
            <v>0</v>
          </cell>
          <cell r="AM50">
            <v>0</v>
          </cell>
          <cell r="AN50" t="str">
            <v>x</v>
          </cell>
          <cell r="AO50">
            <v>0</v>
          </cell>
          <cell r="AP50">
            <v>0</v>
          </cell>
          <cell r="AQ50">
            <v>0</v>
          </cell>
          <cell r="AR50">
            <v>0</v>
          </cell>
          <cell r="AS50">
            <v>0</v>
          </cell>
          <cell r="AT50" t="str">
            <v>x</v>
          </cell>
        </row>
        <row r="51">
          <cell r="B51">
            <v>47</v>
          </cell>
          <cell r="C51" t="str">
            <v>MPM4</v>
          </cell>
          <cell r="D51" t="str">
            <v>Gestión para la Nutrición</v>
          </cell>
          <cell r="E51" t="str">
            <v>N/A</v>
          </cell>
          <cell r="F51" t="str">
            <v>N/A</v>
          </cell>
          <cell r="G51" t="str">
            <v>Gestión misional y de gobierno</v>
          </cell>
          <cell r="H51" t="str">
            <v>Indicadores y metas de gobierno</v>
          </cell>
          <cell r="I51">
            <v>0</v>
          </cell>
          <cell r="J51">
            <v>0</v>
          </cell>
          <cell r="K51" t="str">
            <v>Dirección de Nutrición</v>
          </cell>
          <cell r="L51" t="str">
            <v>PA-27</v>
          </cell>
          <cell r="M51" t="str">
            <v>Porcentaje de Niños y Niñas menores de 5 años que ingresan a la Estrategia de Recuperación Nutrición y mejoran y/o recuperan su estado Nutricional</v>
          </cell>
          <cell r="N51" t="str">
            <v>Niños y niñas que mejoraron su estado Nutricional que se encuentran en la Estrategia de Recuperación Nutricional</v>
          </cell>
          <cell r="O51" t="str">
            <v>Creciente</v>
          </cell>
          <cell r="P51" t="str">
            <v>Calidad</v>
          </cell>
          <cell r="Q51">
            <v>0.7</v>
          </cell>
          <cell r="R51" t="str">
            <v>Impacto</v>
          </cell>
          <cell r="S51" t="str">
            <v>Eficacia</v>
          </cell>
          <cell r="T51">
            <v>0.8</v>
          </cell>
          <cell r="U51">
            <v>0.8</v>
          </cell>
          <cell r="V51" t="str">
            <v>Número</v>
          </cell>
          <cell r="W51" t="str">
            <v>Si</v>
          </cell>
          <cell r="X51" t="str">
            <v>Si</v>
          </cell>
          <cell r="Y51" t="str">
            <v>No</v>
          </cell>
          <cell r="Z51" t="str">
            <v>No</v>
          </cell>
          <cell r="AA51" t="str">
            <v>Si</v>
          </cell>
          <cell r="AB51" t="str">
            <v>Si</v>
          </cell>
          <cell r="AC51" t="str">
            <v>Total de niños y niñas menores de 5 años atendidos en la modalidad  Recuperación Nutricional con Enfoque Comunitario que mejoran su estado nutricional  al final de los seis (6) meses de permanencia</v>
          </cell>
          <cell r="AD51" t="str">
            <v>1) Partiendo de la información analaizada de los indicadores de CRN, RNEC y RN1000 (&lt;5 años), tomar los datos reportados como denominador en este mismo periodo y sumarlos, este resultado corresponde al denominador.
2) Tomar la información reportada como numerador en este mismo periodo para los indicadores de CRN, RNEC y RN1000 (&lt;5 años) sumarlos, este resultado corresponde al numerador.</v>
          </cell>
          <cell r="AE51" t="str">
            <v>Total de niños y niñas menores de 5 años que ingresan a la modalidad de Recuperación Nutricional con Enfoque Comunitario con seis (6) meses de permanencia</v>
          </cell>
          <cell r="AF51" t="str">
            <v>1) Partiendo de la información analaizada de los indicadores de CRN, RNEC y RN1000 (&lt;5 años), tomar los datos reportados como denominador en este mismo periodo y sumarlos, este resultado corresponde al denominador.</v>
          </cell>
          <cell r="AG51" t="str">
            <v>Total de niños y niñas menores de 5 años atendidos en la Estrategia de Recuperación Nutricional que mejoran y/o recuperan su estado nutricional  al final de su intervención / Total de niños y niñas menores de 5 años que ingresan a la Estrategia de Recuperación Nutricional y terminan su proceso de atención* 100</v>
          </cell>
          <cell r="AH51" t="str">
            <v>Semestral</v>
          </cell>
          <cell r="AI51">
            <v>0</v>
          </cell>
          <cell r="AJ51">
            <v>0</v>
          </cell>
          <cell r="AK51">
            <v>0</v>
          </cell>
          <cell r="AL51">
            <v>0</v>
          </cell>
          <cell r="AM51">
            <v>0</v>
          </cell>
          <cell r="AN51" t="str">
            <v>x</v>
          </cell>
          <cell r="AO51">
            <v>0</v>
          </cell>
          <cell r="AP51">
            <v>0</v>
          </cell>
          <cell r="AQ51">
            <v>0</v>
          </cell>
          <cell r="AR51">
            <v>0</v>
          </cell>
          <cell r="AS51">
            <v>0</v>
          </cell>
          <cell r="AT51" t="str">
            <v>x</v>
          </cell>
        </row>
        <row r="52">
          <cell r="B52">
            <v>48</v>
          </cell>
          <cell r="C52" t="str">
            <v>MPM4</v>
          </cell>
          <cell r="D52" t="str">
            <v>Gestión para la Nutrición</v>
          </cell>
          <cell r="E52" t="str">
            <v>N/A</v>
          </cell>
          <cell r="F52" t="str">
            <v>N/A</v>
          </cell>
          <cell r="G52" t="str">
            <v>Gestión misional y de gobierno</v>
          </cell>
          <cell r="H52" t="str">
            <v>Indicadores y metas de gobierno</v>
          </cell>
          <cell r="I52">
            <v>0</v>
          </cell>
          <cell r="J52">
            <v>0</v>
          </cell>
          <cell r="K52" t="str">
            <v>Dirección de Nutrición</v>
          </cell>
          <cell r="L52" t="str">
            <v>PA-28</v>
          </cell>
          <cell r="M52" t="str">
            <v>Entes Territoriales asesorados en las acciones propias de la Política de Seguridad Alimentaria y Nutricional</v>
          </cell>
          <cell r="N52" t="str">
            <v xml:space="preserve">Medir el número de entes Territoriales con asesoría técnica para el desarrollo de las acciones propias de la Política de Seguridad Alimentaria y Nutricional. </v>
          </cell>
          <cell r="O52" t="str">
            <v>Creciente</v>
          </cell>
          <cell r="P52" t="str">
            <v>Calidad</v>
          </cell>
          <cell r="Q52">
            <v>0</v>
          </cell>
          <cell r="R52" t="str">
            <v>Resultado</v>
          </cell>
          <cell r="S52" t="str">
            <v>Eficacia</v>
          </cell>
          <cell r="T52">
            <v>16</v>
          </cell>
          <cell r="U52">
            <v>33</v>
          </cell>
          <cell r="V52" t="str">
            <v>Número</v>
          </cell>
          <cell r="W52" t="str">
            <v>Si</v>
          </cell>
          <cell r="X52" t="str">
            <v>No</v>
          </cell>
          <cell r="Y52" t="str">
            <v>No</v>
          </cell>
          <cell r="Z52" t="str">
            <v>No</v>
          </cell>
          <cell r="AA52" t="str">
            <v>Si</v>
          </cell>
          <cell r="AB52" t="str">
            <v>Si</v>
          </cell>
          <cell r="AC52" t="str">
            <v>No.  de Entes Territoriales con asesoría técnica en las acciones propias de la Política de Seguridad Alimentaria y Nutricional</v>
          </cell>
          <cell r="AD52" t="str">
            <v>FALTA, la HV No tiene Fuente</v>
          </cell>
          <cell r="AE52" t="str">
            <v>N/A</v>
          </cell>
          <cell r="AF52" t="str">
            <v>N/A</v>
          </cell>
          <cell r="AG52" t="str">
            <v>No.  de Entes Territoriales con asesoría técnica en las acciones propias de la Política de Seguridad Alimentaria y Nutricional</v>
          </cell>
          <cell r="AH52" t="str">
            <v>Semestral</v>
          </cell>
          <cell r="AI52">
            <v>0</v>
          </cell>
          <cell r="AJ52">
            <v>0</v>
          </cell>
          <cell r="AK52">
            <v>0</v>
          </cell>
          <cell r="AL52">
            <v>0</v>
          </cell>
          <cell r="AM52">
            <v>0</v>
          </cell>
          <cell r="AN52" t="str">
            <v>X</v>
          </cell>
          <cell r="AO52">
            <v>0</v>
          </cell>
          <cell r="AP52">
            <v>0</v>
          </cell>
          <cell r="AQ52">
            <v>0</v>
          </cell>
          <cell r="AR52">
            <v>0</v>
          </cell>
          <cell r="AS52">
            <v>0</v>
          </cell>
          <cell r="AT52" t="str">
            <v>X</v>
          </cell>
        </row>
        <row r="53">
          <cell r="B53">
            <v>49</v>
          </cell>
          <cell r="C53" t="str">
            <v>MPM4</v>
          </cell>
          <cell r="D53" t="str">
            <v>Gestión para la Nutrición</v>
          </cell>
          <cell r="E53" t="str">
            <v>N/A</v>
          </cell>
          <cell r="F53" t="str">
            <v>N/A</v>
          </cell>
          <cell r="G53" t="str">
            <v>Gestión misional y de gobierno</v>
          </cell>
          <cell r="H53" t="str">
            <v>Indicadores y metas de gobierno</v>
          </cell>
          <cell r="I53">
            <v>0</v>
          </cell>
          <cell r="J53">
            <v>0</v>
          </cell>
          <cell r="K53" t="str">
            <v>Dirección de Nutrición</v>
          </cell>
          <cell r="L53" t="str">
            <v>PA-29</v>
          </cell>
          <cell r="M53" t="str">
            <v>Capacitaciones a Servidores Públicos, contratistas y Agentes del Sistema Nacional de Bienestar Familiar en las acciones propias de la Política de Seguridad Alimentaria y Nutricional</v>
          </cell>
          <cell r="N53" t="str">
            <v xml:space="preserve">Determinar el numero de Servidores Públicos, contratistas y Agentes del Sistema Nacional de Bienestar Familiar capacitados en herramientas técnicas de Seguridad Alimentaria y Nutricional. </v>
          </cell>
          <cell r="O53" t="str">
            <v>Creciente</v>
          </cell>
          <cell r="P53" t="str">
            <v>Calidad</v>
          </cell>
          <cell r="Q53">
            <v>0</v>
          </cell>
          <cell r="R53" t="str">
            <v>Resultado</v>
          </cell>
          <cell r="S53" t="str">
            <v>Eficacia</v>
          </cell>
          <cell r="T53">
            <v>1050</v>
          </cell>
          <cell r="U53">
            <v>4758</v>
          </cell>
          <cell r="V53" t="str">
            <v>Número</v>
          </cell>
          <cell r="W53" t="str">
            <v>Si</v>
          </cell>
          <cell r="X53" t="str">
            <v>No</v>
          </cell>
          <cell r="Y53" t="str">
            <v>No</v>
          </cell>
          <cell r="Z53" t="str">
            <v>No</v>
          </cell>
          <cell r="AA53" t="str">
            <v>Si</v>
          </cell>
          <cell r="AB53" t="str">
            <v>Si</v>
          </cell>
          <cell r="AC53" t="str">
            <v xml:space="preserve">No.  Servidores Públicos, contratistas y Agentes del Sistema Nacional de Bienestar Familiar capacitados en herramientas técnicas de Seguridad Alimentaria y Nutricional. </v>
          </cell>
          <cell r="AD53" t="str">
            <v>Listados de asistencia eventos presenciales y/o virtuales.
Plan de Asistencia Tecnica</v>
          </cell>
          <cell r="AE53" t="str">
            <v>N/A</v>
          </cell>
          <cell r="AF53" t="str">
            <v>N/A</v>
          </cell>
          <cell r="AG53" t="str">
            <v xml:space="preserve">No.  Servidores Públicos, contratistas y Agentes del Sistema Nacional de Bienestar Familiar capacitados en herramientas técnicas de Seguridad Alimentaria y Nutricional. </v>
          </cell>
          <cell r="AH53" t="str">
            <v>Semestral</v>
          </cell>
          <cell r="AI53">
            <v>0</v>
          </cell>
          <cell r="AJ53">
            <v>0</v>
          </cell>
          <cell r="AK53">
            <v>0</v>
          </cell>
          <cell r="AL53">
            <v>0</v>
          </cell>
          <cell r="AM53">
            <v>0</v>
          </cell>
          <cell r="AN53" t="str">
            <v>x</v>
          </cell>
          <cell r="AO53">
            <v>0</v>
          </cell>
          <cell r="AP53">
            <v>0</v>
          </cell>
          <cell r="AQ53">
            <v>0</v>
          </cell>
          <cell r="AR53">
            <v>0</v>
          </cell>
          <cell r="AS53">
            <v>0</v>
          </cell>
          <cell r="AT53" t="str">
            <v>x</v>
          </cell>
        </row>
        <row r="54">
          <cell r="B54">
            <v>50</v>
          </cell>
          <cell r="C54" t="str">
            <v>MPM4</v>
          </cell>
          <cell r="D54" t="str">
            <v>Gestión para la Nutrición</v>
          </cell>
          <cell r="E54" t="str">
            <v>N/A</v>
          </cell>
          <cell r="F54" t="str">
            <v>N/A</v>
          </cell>
          <cell r="G54" t="str">
            <v>Gestión misional y de gobierno</v>
          </cell>
          <cell r="H54" t="str">
            <v>Indicadores y metas de gobierno</v>
          </cell>
          <cell r="I54">
            <v>0</v>
          </cell>
          <cell r="J54">
            <v>0</v>
          </cell>
          <cell r="K54" t="str">
            <v>Dirección de Nutrición</v>
          </cell>
          <cell r="L54" t="str">
            <v>PA-30</v>
          </cell>
          <cell r="M54" t="str">
            <v xml:space="preserve"> Niñas y Niños menores de 5 años y mujeres gestantes microfocalizados en el marco del el Plan de Mitigación y Riesgo de Desnutrición</v>
          </cell>
          <cell r="N54" t="str">
            <v>Microfocalizar a Niñas y Niños menores de 5 años y mujeres gestantes sin atención con el fin de vincular a la Modalidad según las necesidades.</v>
          </cell>
          <cell r="O54" t="str">
            <v>Creciente</v>
          </cell>
          <cell r="P54" t="str">
            <v>Calidad</v>
          </cell>
          <cell r="Q54">
            <v>44049</v>
          </cell>
          <cell r="R54" t="str">
            <v>Impacto</v>
          </cell>
          <cell r="S54" t="str">
            <v>Eficacia</v>
          </cell>
          <cell r="T54">
            <v>40000</v>
          </cell>
          <cell r="U54">
            <v>376528</v>
          </cell>
          <cell r="V54" t="str">
            <v>Porcentaje</v>
          </cell>
          <cell r="W54" t="str">
            <v>Si</v>
          </cell>
          <cell r="X54" t="str">
            <v>No</v>
          </cell>
          <cell r="Y54" t="str">
            <v>No</v>
          </cell>
          <cell r="Z54" t="str">
            <v>No</v>
          </cell>
          <cell r="AA54" t="str">
            <v>Si</v>
          </cell>
          <cell r="AB54" t="str">
            <v>Si</v>
          </cell>
          <cell r="AC54" t="str">
            <v>Total de niños y niñas menores de 5 años y mujeres gestantes identificados sin atención y vinculados a una modalidad de apoyo alimentario</v>
          </cell>
          <cell r="AD54" t="str">
            <v>Reportes de Regionales y Centros Zonales</v>
          </cell>
          <cell r="AE54" t="str">
            <v>Total de niños y niñas menores de 5 años y mujeres gestantes Microfocalizados en los Municipios priorizados por el plan.</v>
          </cell>
          <cell r="AF54" t="str">
            <v>Reportes de Regionales y Centros Zonales</v>
          </cell>
          <cell r="AG54" t="str">
            <v>Total de niños y niñas menores de 5 años y mujeres gestantes identificados sin atención y vinculados a una modalidad de apoyo alimentario/ Total de niños y niñas menores de 5 años y mujeres gestantes iMicrofocalizados en los Municipios priorizados por el plan.</v>
          </cell>
          <cell r="AH54" t="str">
            <v>Semestral</v>
          </cell>
          <cell r="AI54">
            <v>0</v>
          </cell>
          <cell r="AJ54">
            <v>0</v>
          </cell>
          <cell r="AK54">
            <v>0</v>
          </cell>
          <cell r="AL54">
            <v>0</v>
          </cell>
          <cell r="AM54">
            <v>0</v>
          </cell>
          <cell r="AN54" t="str">
            <v>x</v>
          </cell>
          <cell r="AO54">
            <v>0</v>
          </cell>
          <cell r="AP54">
            <v>0</v>
          </cell>
          <cell r="AQ54">
            <v>0</v>
          </cell>
          <cell r="AR54">
            <v>0</v>
          </cell>
          <cell r="AS54">
            <v>0</v>
          </cell>
          <cell r="AT54" t="str">
            <v>x</v>
          </cell>
        </row>
        <row r="55">
          <cell r="B55">
            <v>51</v>
          </cell>
          <cell r="C55" t="str">
            <v>MPM5</v>
          </cell>
          <cell r="D55" t="str">
            <v>Gestión para la Protección</v>
          </cell>
          <cell r="E55" t="str">
            <v>MPM5-P1</v>
          </cell>
          <cell r="F55" t="str">
            <v>Gestión Restablecimiento de Derechos</v>
          </cell>
          <cell r="G55" t="str">
            <v>Gestión misional y de gobierno</v>
          </cell>
          <cell r="H55" t="str">
            <v>Indicadores y metas de gobierno</v>
          </cell>
          <cell r="I55">
            <v>0</v>
          </cell>
          <cell r="J55">
            <v>0</v>
          </cell>
          <cell r="K55" t="str">
            <v xml:space="preserve">Subdirección de Restablecimiento de Derechos </v>
          </cell>
          <cell r="L55" t="str">
            <v>PA-31</v>
          </cell>
          <cell r="M55" t="str">
            <v xml:space="preserve">Porcentaje de adolescentes y jóvenes sin discapacidad  mayores de 15 años, con declaratoria de adoptabilidad, desvinculados  de los grupos organizados al margen de la ley y/o vinculados al SRPA , con estudios de bachillerato terminado que estén vinculados a procesos de formación. </v>
          </cell>
          <cell r="N55" t="str">
            <v>Establecer el porcentaje de  adolescentes y Jóvenes mayores de 15 años, sin discapacidad, con declaratoria de adoptabilidad, desvinculados  de los grupos organizados al margen de la ley y/o vinculados al SRPA , cuentan con estudios de bachillerato terminado y están vinculados a proceso de formación como parte de su proceso de proyecto de vida.</v>
          </cell>
          <cell r="O55" t="str">
            <v>Estático</v>
          </cell>
          <cell r="P55" t="str">
            <v>Resultado</v>
          </cell>
          <cell r="Q55">
            <v>0.98</v>
          </cell>
          <cell r="R55" t="str">
            <v>Resultado</v>
          </cell>
          <cell r="S55" t="str">
            <v>Eficacia</v>
          </cell>
          <cell r="T55">
            <v>1</v>
          </cell>
          <cell r="U55" t="str">
            <v>N/A</v>
          </cell>
          <cell r="V55" t="str">
            <v>Porcentaje</v>
          </cell>
          <cell r="W55" t="str">
            <v>Si</v>
          </cell>
          <cell r="X55" t="str">
            <v>Si</v>
          </cell>
          <cell r="Y55" t="str">
            <v>Si</v>
          </cell>
          <cell r="Z55" t="str">
            <v>No</v>
          </cell>
          <cell r="AA55" t="str">
            <v>No</v>
          </cell>
          <cell r="AB55" t="str">
            <v>Si</v>
          </cell>
          <cell r="AC55" t="str">
            <v>Adolescentes y jóvenes sin discapacidad mayores de 15 años, con declaratoria de adoptabilidad, desvinculados  de los grupos organizados al margen de la ley y/o vinculados al SRPA, con estudios de bachillerato terminado que estén vinculados a procesos de formación.</v>
          </cell>
          <cell r="AD55" t="str">
            <v>1. Población de adoptabilidad SIM: Sistema de Información Misional en el módulo de beneficiarios " Número de NNA mayores de 15 años, declarados en adoptabilidad, sin discapacidad con Proyecto de vida definido".
2. Población Desvinculados: Base de Datos RUI a cargo de la subdirección de restablecimiento de derechos. 
 3. Población SRPA: Base de datos en Excel a cargo de la subdirección de Responsabilidad Penal para Adolescentes "F2.PR2.MPM5.P3 Reporte Novedades SRPA v1".</v>
          </cell>
          <cell r="AE55" t="str">
            <v>Total de adolescentes y jóvenes sin discapacidad mayores de 15 años con declaratoria de adoptabilidad, desvinculados  de los grupos organizados al margen de la ley y/o vinculados al SRPA, con estudios de bachillerato terminado.</v>
          </cell>
          <cell r="AF55" t="str">
            <v>1. Población de adoptabilidad SIM: Sistema de Información Misional en el módulo de beneficiarios " Número de NNA mayores de 15 años, declarados en adoptabilidad, sin discapacidad con Proyecto de vida definido".
2. Población Desvinculados: Base de Datos RUI a cargo de la subdirección de restablecimiento de derechos. 
 3. Población SRPA: Base de datos en Excel a cargo de la subdirección de Responsabilidad Penal para Adolescentes "F2.PR2.MPM5.P3 Reporte Novedades SRPA v1".</v>
          </cell>
          <cell r="AG55" t="str">
            <v>Adolescentes y jóvenes sin discapacidad mayores de 15 años, con declaratoria de adoptabilidad, desvinculados  de los grupos organizados al margen de la ley y/o vinculados al SRPA, con estudios de bachillerato terminado que estén vinculados a procesos de formación / Total de adolescentes y Jóvenes sin discapacidad mayores de 15 años con declaratoria de adoptabilidad, desvinculados  de los grupos organizados al margen de la ley y/o vinculados al SRPA, con estudios de bachillerato terminado ) * 100</v>
          </cell>
          <cell r="AH55" t="str">
            <v>Trimestral</v>
          </cell>
          <cell r="AI55">
            <v>0</v>
          </cell>
          <cell r="AJ55">
            <v>0</v>
          </cell>
          <cell r="AK55" t="str">
            <v>x</v>
          </cell>
          <cell r="AL55">
            <v>0</v>
          </cell>
          <cell r="AM55">
            <v>0</v>
          </cell>
          <cell r="AN55" t="str">
            <v>x</v>
          </cell>
          <cell r="AO55">
            <v>0</v>
          </cell>
          <cell r="AP55">
            <v>0</v>
          </cell>
          <cell r="AQ55" t="str">
            <v>x</v>
          </cell>
          <cell r="AR55">
            <v>0</v>
          </cell>
          <cell r="AS55">
            <v>0</v>
          </cell>
          <cell r="AT55" t="str">
            <v>x</v>
          </cell>
        </row>
        <row r="56">
          <cell r="B56">
            <v>52</v>
          </cell>
          <cell r="C56" t="str">
            <v>MPM5</v>
          </cell>
          <cell r="D56" t="str">
            <v>Gestión para la Protección</v>
          </cell>
          <cell r="E56" t="str">
            <v>MPM5-P1</v>
          </cell>
          <cell r="F56" t="str">
            <v>Gestión Restablecimiento de Derechos</v>
          </cell>
          <cell r="G56" t="str">
            <v>Gestión misional y de Gobierno</v>
          </cell>
          <cell r="H56" t="str">
            <v>Indicadores y metas de gobierno</v>
          </cell>
          <cell r="I56">
            <v>0</v>
          </cell>
          <cell r="J56">
            <v>0</v>
          </cell>
          <cell r="K56" t="str">
            <v xml:space="preserve">Subdirección de Restablecimiento de Derechos </v>
          </cell>
          <cell r="L56" t="str">
            <v>PA-32</v>
          </cell>
          <cell r="M56" t="str">
            <v>Porcentaje de niños, niñas y adolescentes menores de 18 años en protección con auto de apertura de investigación con situación legal dentro de los 120 días definidos por la ley.</v>
          </cell>
          <cell r="N56" t="str">
            <v>Identificar el número de niños, niñas y adolescentes a los cuales se les resuelve su situación legal  dentro de los 120 días a partir del auto de apertura</v>
          </cell>
          <cell r="O56" t="str">
            <v>Creciente</v>
          </cell>
          <cell r="P56" t="str">
            <v>Resultado</v>
          </cell>
          <cell r="Q56">
            <v>0.94</v>
          </cell>
          <cell r="R56" t="str">
            <v>Resultado</v>
          </cell>
          <cell r="S56" t="str">
            <v>Eficacia</v>
          </cell>
          <cell r="T56">
            <v>1</v>
          </cell>
          <cell r="U56" t="str">
            <v>N/A</v>
          </cell>
          <cell r="V56" t="str">
            <v>Porcentaje</v>
          </cell>
          <cell r="W56" t="str">
            <v>Si</v>
          </cell>
          <cell r="X56" t="str">
            <v>Si</v>
          </cell>
          <cell r="Y56" t="str">
            <v>No</v>
          </cell>
          <cell r="Z56" t="str">
            <v>No</v>
          </cell>
          <cell r="AA56" t="str">
            <v>No</v>
          </cell>
          <cell r="AB56" t="str">
            <v>Si</v>
          </cell>
          <cell r="AC56" t="str">
            <v>Número de niños, niñas y adolescentes con definición jurídica igual o menor a 120 días desde la fecha de apertura de Proceso Administrativo de Restablecimiento de Derechos PARD.</v>
          </cell>
          <cell r="AD56" t="str">
            <v xml:space="preserve">SIM/ Beneficiarios </v>
          </cell>
          <cell r="AE56" t="str">
            <v>Total de niños, niñas y adolescentes con apertura de Proceso Administrativo de Restablecimiento de Derechos PARD en el último año desde la fecha de corte.</v>
          </cell>
          <cell r="AF56" t="str">
            <v xml:space="preserve">SIM/ Beneficiarios </v>
          </cell>
          <cell r="AG56" t="str">
            <v>(Número de niños, niñas y adolescentes con definición jurídica igual o menor a 120 días desde la fecha de apertura de Proceso Administrativo de Restablecimiento de Derechos PARD /Total de niños, niñas y adolescentes con apertura de Proceso Administrativo de Restablecimiento de Derechos PARD en el último año desde la fecha de corte) * 100</v>
          </cell>
          <cell r="AH56" t="str">
            <v>Mensual</v>
          </cell>
          <cell r="AI56" t="str">
            <v>x</v>
          </cell>
          <cell r="AJ56" t="str">
            <v>x</v>
          </cell>
          <cell r="AK56" t="str">
            <v>x</v>
          </cell>
          <cell r="AL56" t="str">
            <v>x</v>
          </cell>
          <cell r="AM56" t="str">
            <v>x</v>
          </cell>
          <cell r="AN56" t="str">
            <v>x</v>
          </cell>
          <cell r="AO56" t="str">
            <v>x</v>
          </cell>
          <cell r="AP56" t="str">
            <v>x</v>
          </cell>
          <cell r="AQ56" t="str">
            <v>x</v>
          </cell>
          <cell r="AR56" t="str">
            <v>x</v>
          </cell>
          <cell r="AS56" t="str">
            <v>x</v>
          </cell>
          <cell r="AT56" t="str">
            <v>x</v>
          </cell>
        </row>
        <row r="57">
          <cell r="B57">
            <v>53</v>
          </cell>
          <cell r="C57" t="str">
            <v>MPM5</v>
          </cell>
          <cell r="D57" t="str">
            <v>Gestión para la Protección</v>
          </cell>
          <cell r="E57" t="str">
            <v>MPM5-P1</v>
          </cell>
          <cell r="F57" t="str">
            <v>Gestión Restablecimiento de Derechos</v>
          </cell>
          <cell r="G57" t="str">
            <v>Gestión misional y de Gobierno</v>
          </cell>
          <cell r="H57" t="str">
            <v>Indicadores y metas de gobierno</v>
          </cell>
          <cell r="I57">
            <v>0</v>
          </cell>
          <cell r="J57">
            <v>0</v>
          </cell>
          <cell r="K57" t="str">
            <v xml:space="preserve">Subdirección de Restablecimiento de Derechos </v>
          </cell>
          <cell r="L57" t="str">
            <v>PA-33</v>
          </cell>
          <cell r="M57" t="str">
            <v>Porcentaje de niños, niñas, adolescentes y jóvenes víctimas de reclutamiento ilícito que se desvinculan de los grupos armados organizados al margen de la ley, que egresan del programa especializado cumpliendo los objetivos del mismo.</v>
          </cell>
          <cell r="N57" t="str">
            <v xml:space="preserve"> Identificar el número  de niños, niñas, adolescentes y jóvenes víctimas de reclutamiento ilícito que se desvinculan de los grupos armados organizados al margen de la ley que egresan del programa especializado realizando sus fases y dando cumplimiento a los objetivos del mismo, egresando de este por los siguientes motivos: Referenciados a la Agencia Colombiana para la Reintegración (ACR), reintegro familiar, vida independiente y retiro voluntario con cumplimiento de objetivos. </v>
          </cell>
          <cell r="O57" t="str">
            <v>Creciente</v>
          </cell>
          <cell r="P57" t="str">
            <v>Resultado</v>
          </cell>
          <cell r="Q57">
            <v>0.53</v>
          </cell>
          <cell r="R57" t="str">
            <v>Resultado</v>
          </cell>
          <cell r="S57" t="str">
            <v>Eficacia</v>
          </cell>
          <cell r="T57">
            <v>0.65</v>
          </cell>
          <cell r="U57" t="str">
            <v>N/A</v>
          </cell>
          <cell r="V57" t="str">
            <v>Porcentaje</v>
          </cell>
          <cell r="W57" t="str">
            <v>Si</v>
          </cell>
          <cell r="X57" t="str">
            <v>No</v>
          </cell>
          <cell r="Y57" t="str">
            <v>No</v>
          </cell>
          <cell r="Z57" t="str">
            <v>No</v>
          </cell>
          <cell r="AA57" t="str">
            <v>No</v>
          </cell>
          <cell r="AB57" t="str">
            <v>Si</v>
          </cell>
          <cell r="AC57" t="str">
            <v>Número de niños, niñas, adolescentes y jóvenes víctimas de reclutamiento ilícito que se desvinculan de los grupos armados organizados al margen de la ley, que egresan del programa especializado cumpliendo los objetivos del mismo</v>
          </cell>
          <cell r="AD57" t="str">
            <v>Sistema de Información Programa Especializado y Registro Único de Información (RUI)</v>
          </cell>
          <cell r="AE57" t="str">
            <v>Número de niños, niñas, adolescentes y jóvenes víctimas de reclutamiento ilícito que se desvinculan de los grupos armados organizados al margen de la ley, que egresan del programa especializado desde el inicio de la vigencia a la fecha de corte.</v>
          </cell>
          <cell r="AF57" t="str">
            <v>Sistema de Información Programa Especializado y Registro Único de Información (RUI)</v>
          </cell>
          <cell r="AG57" t="str">
            <v>(Número de niños, niñas, adolescentes y jóvenes víctimas de reclutamiento ilícito que se desvinculan de los grupos armados organizados al margen de la ley, que egresan del programa especializado cumpliendo los objetivos del mismo / Total de niños, niñas, adolescentes y jóvenes víctimas de reclutamiento ilícito que se desvinculan de grupos armados organizados al margen de la ley, que egresan del programa especializado a la fecha de corte)*100</v>
          </cell>
          <cell r="AH57" t="str">
            <v>Mensual</v>
          </cell>
          <cell r="AI57" t="str">
            <v>x</v>
          </cell>
          <cell r="AJ57" t="str">
            <v>x</v>
          </cell>
          <cell r="AK57" t="str">
            <v>x</v>
          </cell>
          <cell r="AL57" t="str">
            <v>x</v>
          </cell>
          <cell r="AM57" t="str">
            <v>x</v>
          </cell>
          <cell r="AN57" t="str">
            <v>x</v>
          </cell>
          <cell r="AO57" t="str">
            <v>x</v>
          </cell>
          <cell r="AP57" t="str">
            <v>x</v>
          </cell>
          <cell r="AQ57" t="str">
            <v>x</v>
          </cell>
          <cell r="AR57" t="str">
            <v>x</v>
          </cell>
          <cell r="AS57" t="str">
            <v>x</v>
          </cell>
          <cell r="AT57" t="str">
            <v>x</v>
          </cell>
        </row>
        <row r="58">
          <cell r="B58">
            <v>54</v>
          </cell>
          <cell r="C58" t="str">
            <v>MPM5</v>
          </cell>
          <cell r="D58" t="str">
            <v>Gestión para la Protección</v>
          </cell>
          <cell r="E58" t="str">
            <v>MPM5-P1</v>
          </cell>
          <cell r="F58" t="str">
            <v>Gestión Restablecimiento de Derechos</v>
          </cell>
          <cell r="G58" t="str">
            <v>Gestión misional y de Gobierno</v>
          </cell>
          <cell r="H58" t="str">
            <v>Indicadores y metas de gobierno</v>
          </cell>
          <cell r="I58">
            <v>0</v>
          </cell>
          <cell r="J58">
            <v>0</v>
          </cell>
          <cell r="K58" t="str">
            <v xml:space="preserve">Subdirección de Restablecimiento de Derechos </v>
          </cell>
          <cell r="L58" t="str">
            <v>PA-34</v>
          </cell>
          <cell r="M58" t="str">
            <v>Porcentaje de niños, niñas y adolescente víctimas del desplazamiento forzado con proceso de acompañamiento familiar por las unidades móviles para contribuir a la atención, asistencia, reparación integral y al restablecimiento de sus derechos.</v>
          </cell>
          <cell r="N58" t="str">
            <v>Identificar el número de niños, niñas y adolescente víctimas del desplazamiento forzado con proceso de acompañamiento familiar por las unidades móviles para contribuir a la atención, asistencia, reparación integral y al restablecimiento de sus derechos.</v>
          </cell>
          <cell r="O58" t="str">
            <v>Creciente</v>
          </cell>
          <cell r="P58" t="str">
            <v>Gestión</v>
          </cell>
          <cell r="Q58">
            <v>1.1599999999999999</v>
          </cell>
          <cell r="R58" t="str">
            <v>Gestión</v>
          </cell>
          <cell r="S58" t="str">
            <v>Eficacia</v>
          </cell>
          <cell r="T58">
            <v>1</v>
          </cell>
          <cell r="U58" t="str">
            <v>N/A</v>
          </cell>
          <cell r="V58" t="str">
            <v>Porcentaje</v>
          </cell>
          <cell r="W58" t="str">
            <v>Si</v>
          </cell>
          <cell r="X58" t="str">
            <v>Si</v>
          </cell>
          <cell r="Y58" t="str">
            <v>No</v>
          </cell>
          <cell r="Z58" t="str">
            <v>No</v>
          </cell>
          <cell r="AA58" t="str">
            <v>No</v>
          </cell>
          <cell r="AB58" t="str">
            <v>Si</v>
          </cell>
          <cell r="AC58" t="str">
            <v>Cantidad  de niños, niñas y adolescentes, víctimas del desplazamiento forzado  con proceso de acompañamiento familiar por las unidades móviles para contribuir a la atención, asistencia, reparación integral y al restablecimiento de sus derechos.</v>
          </cell>
          <cell r="AD58" t="str">
            <v>RUUM (Registro Único de Unidades Móviles)</v>
          </cell>
          <cell r="AE58" t="str">
            <v>Meta proyectada de atención de niños, niñas y adolescentes víctimas de desplazamiento forzado.</v>
          </cell>
          <cell r="AF58" t="str">
            <v xml:space="preserve">Información del programa de Desplazados </v>
          </cell>
          <cell r="AG58" t="str">
            <v>Número de niños, niñas y adolescentes, víctimas del desplazamiento forzado con proceso de acompañamiento familiar por las unidades móviles para contribuir a la atención, asistencia, reparación integral y al restablecimiento de sus derechos / Meta proyectada de atención</v>
          </cell>
          <cell r="AH58" t="str">
            <v>Mensual</v>
          </cell>
          <cell r="AI58" t="str">
            <v>x</v>
          </cell>
          <cell r="AJ58" t="str">
            <v>x</v>
          </cell>
          <cell r="AK58" t="str">
            <v>x</v>
          </cell>
          <cell r="AL58" t="str">
            <v>x</v>
          </cell>
          <cell r="AM58" t="str">
            <v>x</v>
          </cell>
          <cell r="AN58" t="str">
            <v>x</v>
          </cell>
          <cell r="AO58" t="str">
            <v>x</v>
          </cell>
          <cell r="AP58" t="str">
            <v>x</v>
          </cell>
          <cell r="AQ58" t="str">
            <v>x</v>
          </cell>
          <cell r="AR58" t="str">
            <v>x</v>
          </cell>
          <cell r="AS58" t="str">
            <v>x</v>
          </cell>
          <cell r="AT58" t="str">
            <v>x</v>
          </cell>
        </row>
        <row r="59">
          <cell r="B59">
            <v>55</v>
          </cell>
          <cell r="C59" t="str">
            <v>MPM5</v>
          </cell>
          <cell r="D59" t="str">
            <v>Gestión para la Protección</v>
          </cell>
          <cell r="E59" t="str">
            <v>MPM5-P1</v>
          </cell>
          <cell r="F59" t="str">
            <v>Gestión Restablecimiento de Derechos</v>
          </cell>
          <cell r="G59" t="str">
            <v>N/A</v>
          </cell>
          <cell r="H59" t="str">
            <v>N/A</v>
          </cell>
          <cell r="I59">
            <v>0</v>
          </cell>
          <cell r="J59">
            <v>0</v>
          </cell>
          <cell r="K59" t="str">
            <v xml:space="preserve">Subdirección de Restablecimiento de Derechos </v>
          </cell>
          <cell r="L59" t="str">
            <v>MPM5-P1-01</v>
          </cell>
          <cell r="M59" t="str">
            <v>Porcentaje de Niños, niñas y adolescentes en Proceso Administrativo de Restablecimiento de Derechos PARD ubicados en la modalidad de hogar sustituto o medio Institucional Internado con permanencia mayor a 12 meses.</v>
          </cell>
          <cell r="N59" t="str">
            <v xml:space="preserve">Identificar los niños, niñas y adolescentes ubicados en la modalidad de hogar sustituto o medio Institucional Internado, que tienen altas permanencias en su ubicación. </v>
          </cell>
          <cell r="O59" t="str">
            <v>Decreciente</v>
          </cell>
          <cell r="P59" t="str">
            <v>Resultado</v>
          </cell>
          <cell r="Q59">
            <v>0.28000000000000003</v>
          </cell>
          <cell r="R59" t="str">
            <v>Resultado</v>
          </cell>
          <cell r="S59" t="str">
            <v>Eficacia</v>
          </cell>
          <cell r="T59">
            <v>0.08</v>
          </cell>
          <cell r="U59" t="str">
            <v>N/A</v>
          </cell>
          <cell r="V59" t="str">
            <v>Porcentaje</v>
          </cell>
          <cell r="W59" t="str">
            <v>Si</v>
          </cell>
          <cell r="X59" t="str">
            <v>Si</v>
          </cell>
          <cell r="Y59" t="str">
            <v>Si</v>
          </cell>
          <cell r="Z59" t="str">
            <v>No</v>
          </cell>
          <cell r="AA59" t="str">
            <v>No</v>
          </cell>
          <cell r="AB59" t="str">
            <v>No</v>
          </cell>
          <cell r="AC59" t="str">
            <v>Número de niños, niñas y adolescentes ubicados en la modalidad de hogar sustituto o medio Institucional Internado con más de doce meses de permanencia</v>
          </cell>
          <cell r="AD59" t="str">
            <v xml:space="preserve">Sistema de Información Misional SIM </v>
          </cell>
          <cell r="AE59" t="str">
            <v>Total de  niños, niñas y adolescentes ubicados en la modalidad de hogar sustituto o medio Institucional Internado</v>
          </cell>
          <cell r="AF59" t="str">
            <v xml:space="preserve">Sistema de Información Misional SIM </v>
          </cell>
          <cell r="AG59" t="str">
            <v>(Número de niños, niñas y adolescentes ubicados en la modalidad de hogar sustituto o medio Institucional Internado con más de  12 meses de permanencia/ Total de  niños, niñas y adolescentes ubicados en la modalidad de hogar sustituto y  medio Institucional Internado a la fecha de corte) * 100</v>
          </cell>
          <cell r="AH59" t="str">
            <v>Mensual</v>
          </cell>
          <cell r="AI59" t="str">
            <v>X</v>
          </cell>
          <cell r="AJ59" t="str">
            <v>X</v>
          </cell>
          <cell r="AK59" t="str">
            <v>X</v>
          </cell>
          <cell r="AL59" t="str">
            <v>X</v>
          </cell>
          <cell r="AM59" t="str">
            <v>X</v>
          </cell>
          <cell r="AN59" t="str">
            <v>X</v>
          </cell>
          <cell r="AO59" t="str">
            <v>X</v>
          </cell>
          <cell r="AP59" t="str">
            <v>X</v>
          </cell>
          <cell r="AQ59" t="str">
            <v>X</v>
          </cell>
          <cell r="AR59" t="str">
            <v>X</v>
          </cell>
          <cell r="AS59" t="str">
            <v>X</v>
          </cell>
          <cell r="AT59" t="str">
            <v>X</v>
          </cell>
        </row>
        <row r="60">
          <cell r="B60">
            <v>56</v>
          </cell>
          <cell r="C60" t="str">
            <v>MPM5</v>
          </cell>
          <cell r="D60" t="str">
            <v>Gestión para la Protección</v>
          </cell>
          <cell r="E60" t="str">
            <v>MPM5-P1</v>
          </cell>
          <cell r="F60" t="str">
            <v>Gestión Restablecimiento de Derechos</v>
          </cell>
          <cell r="G60" t="str">
            <v>N/A</v>
          </cell>
          <cell r="H60" t="str">
            <v>N/A</v>
          </cell>
          <cell r="I60">
            <v>0</v>
          </cell>
          <cell r="J60">
            <v>0</v>
          </cell>
          <cell r="K60" t="str">
            <v xml:space="preserve">Subdirección de Restablecimiento de Derechos </v>
          </cell>
          <cell r="L60" t="str">
            <v>MPM5-P1-02</v>
          </cell>
          <cell r="M60" t="str">
            <v>Porcentaje de niños, niñas o adolescentes con auto de apertura de investigación que llevan entre 121 y 180 días sin situación legal definida o con fallos ejecutoriados pendientes.</v>
          </cell>
          <cell r="N60" t="str">
            <v>Determinar el porcentaje de  niños, niñas o adolescentes con Auto de apertura entre 121 y 180 días a los cuales no se les ha definido su situación legal, motivo por el cual se está en riesgo de perder competencia de estos casos. Adicionalmente se requiere identificar los procesos donde transcurrido el termino de la ejecutoria no se tiene evidencia de la misma.</v>
          </cell>
          <cell r="O60" t="str">
            <v>Decreciente</v>
          </cell>
          <cell r="P60" t="str">
            <v>Resultado</v>
          </cell>
          <cell r="Q60">
            <v>0.05</v>
          </cell>
          <cell r="R60" t="str">
            <v>Resultado</v>
          </cell>
          <cell r="S60" t="str">
            <v>Eficacia</v>
          </cell>
          <cell r="T60">
            <v>0</v>
          </cell>
          <cell r="U60" t="str">
            <v>N/A</v>
          </cell>
          <cell r="V60" t="str">
            <v>Porcentaje</v>
          </cell>
          <cell r="W60" t="str">
            <v>Si</v>
          </cell>
          <cell r="X60" t="str">
            <v>Si</v>
          </cell>
          <cell r="Y60" t="str">
            <v>Si</v>
          </cell>
          <cell r="Z60" t="str">
            <v>No</v>
          </cell>
          <cell r="AA60" t="str">
            <v>No</v>
          </cell>
          <cell r="AB60" t="str">
            <v>No</v>
          </cell>
          <cell r="AC60" t="str">
            <v>Niños, niñas y adolescentes  con auto de apertura de investigación  que llevan entre 121 y 180 días  sin situación legal definida con fallos ejecutoriados.</v>
          </cell>
          <cell r="AD60" t="str">
            <v xml:space="preserve">Sistema de Información Misional SIM/ Beneficiarios </v>
          </cell>
          <cell r="AE60" t="str">
            <v xml:space="preserve">Número de niños, niñas adolescentes con PARD abierto  sin situación legal definida o sin los respectivos fallos ejecutoriados, a la fecha de corte. </v>
          </cell>
          <cell r="AF60" t="str">
            <v xml:space="preserve">Sistema de Información Misional SIM/ Beneficiarios </v>
          </cell>
          <cell r="AG60" t="str">
            <v>(Número de niños, niñas y adolescentes con auto de apertura que llevan entre 121 y 180 días sin situación legal definida con fallos ejecutoriados / Número de niños, niñas adolescentes con PARD abierto  sin situación legal definida o sin los respectivos fallos ejecutoriados, a la fecha de corte)  *100</v>
          </cell>
          <cell r="AH60" t="str">
            <v>Mensual</v>
          </cell>
          <cell r="AI60" t="str">
            <v>X</v>
          </cell>
          <cell r="AJ60" t="str">
            <v>X</v>
          </cell>
          <cell r="AK60" t="str">
            <v>X</v>
          </cell>
          <cell r="AL60" t="str">
            <v>X</v>
          </cell>
          <cell r="AM60" t="str">
            <v>X</v>
          </cell>
          <cell r="AN60" t="str">
            <v>X</v>
          </cell>
          <cell r="AO60" t="str">
            <v>X</v>
          </cell>
          <cell r="AP60" t="str">
            <v>X</v>
          </cell>
          <cell r="AQ60" t="str">
            <v>X</v>
          </cell>
          <cell r="AR60" t="str">
            <v>X</v>
          </cell>
          <cell r="AS60" t="str">
            <v>X</v>
          </cell>
          <cell r="AT60" t="str">
            <v>X</v>
          </cell>
        </row>
        <row r="61">
          <cell r="B61">
            <v>57</v>
          </cell>
          <cell r="C61" t="str">
            <v>MPM5</v>
          </cell>
          <cell r="D61" t="str">
            <v>Gestión para la Protección</v>
          </cell>
          <cell r="E61" t="str">
            <v>MPM5-P1</v>
          </cell>
          <cell r="F61" t="str">
            <v>Gestión Restablecimiento de Derechos</v>
          </cell>
          <cell r="G61" t="str">
            <v>N/A</v>
          </cell>
          <cell r="H61" t="str">
            <v>N/A</v>
          </cell>
          <cell r="I61">
            <v>0</v>
          </cell>
          <cell r="J61">
            <v>0</v>
          </cell>
          <cell r="K61" t="str">
            <v xml:space="preserve">Subdirección de Restablecimiento de Derechos </v>
          </cell>
          <cell r="L61" t="str">
            <v>MPM5-P1-03</v>
          </cell>
          <cell r="M61" t="str">
            <v xml:space="preserve">Porcentaje de niños, niñas y adolescentes con auto de apertura de investigación que llevan más de 180 días sin situación legal definida o con fallos ejecutoriados pendientes. </v>
          </cell>
          <cell r="N61" t="str">
            <v>Determinar el porcentaje de niños, niñas y adolescentes  con auto de apertura de investigación superior a 180 días,  a los cuales no se les ha definido su situación legal y no se han sido remitido a juzgado de familia por pérdida de competencia. Adicionalmente se requiere identificar los procesos donde transcurrido el termino de la ejecutoria no se tiene evidencia de la misma.</v>
          </cell>
          <cell r="O61" t="str">
            <v>Decreciente</v>
          </cell>
          <cell r="P61" t="str">
            <v>Resultado</v>
          </cell>
          <cell r="Q61">
            <v>0.17</v>
          </cell>
          <cell r="R61" t="str">
            <v>Resultado</v>
          </cell>
          <cell r="S61" t="str">
            <v>Eficacia</v>
          </cell>
          <cell r="T61">
            <v>0</v>
          </cell>
          <cell r="U61" t="str">
            <v>N/A</v>
          </cell>
          <cell r="V61" t="str">
            <v>Porcentaje</v>
          </cell>
          <cell r="W61" t="str">
            <v>Si</v>
          </cell>
          <cell r="X61" t="str">
            <v>Si</v>
          </cell>
          <cell r="Y61" t="str">
            <v>Si</v>
          </cell>
          <cell r="Z61" t="str">
            <v>No</v>
          </cell>
          <cell r="AA61" t="str">
            <v>No</v>
          </cell>
          <cell r="AB61" t="str">
            <v>No</v>
          </cell>
          <cell r="AC61" t="str">
            <v xml:space="preserve">Niños, niñas y adolescentes con auto de apertura de investigación que llevan más de 180 días sin situación legal definida con fallos ejecutoriados. </v>
          </cell>
          <cell r="AD61" t="str">
            <v xml:space="preserve"> Sistema de Información Misional SIM/ Beneficiarios</v>
          </cell>
          <cell r="AE61" t="str">
            <v xml:space="preserve">Número de niños, niñas adolescentes con PARD abierto  sin situación legal definida o sin los respectivos fallos ejecutoriados, a la fecha de corte. </v>
          </cell>
          <cell r="AF61" t="str">
            <v xml:space="preserve"> Sistema de Información Misional SIM/ Beneficiarios</v>
          </cell>
          <cell r="AG61" t="str">
            <v xml:space="preserve">(Número de niños, niñas, adolescentes con auto de apertura de investigación que llevan más de 180 días  desde la fecha de apertura sin situación legal definida con fallos ejecutoriados / Número de niños, niñas adolescentes con PARD abierto  sin situación legal definida o sin los respectivos fallos ejecutoriados, a la fecha de corte  )*100   </v>
          </cell>
          <cell r="AH61" t="str">
            <v>Mensual</v>
          </cell>
          <cell r="AI61" t="str">
            <v>X</v>
          </cell>
          <cell r="AJ61" t="str">
            <v>X</v>
          </cell>
          <cell r="AK61" t="str">
            <v>X</v>
          </cell>
          <cell r="AL61" t="str">
            <v>X</v>
          </cell>
          <cell r="AM61" t="str">
            <v>X</v>
          </cell>
          <cell r="AN61" t="str">
            <v>X</v>
          </cell>
          <cell r="AO61" t="str">
            <v>X</v>
          </cell>
          <cell r="AP61" t="str">
            <v>X</v>
          </cell>
          <cell r="AQ61" t="str">
            <v>X</v>
          </cell>
          <cell r="AR61" t="str">
            <v>X</v>
          </cell>
          <cell r="AS61" t="str">
            <v>X</v>
          </cell>
          <cell r="AT61" t="str">
            <v>X</v>
          </cell>
        </row>
        <row r="62">
          <cell r="B62">
            <v>58</v>
          </cell>
          <cell r="C62" t="str">
            <v>MPM5</v>
          </cell>
          <cell r="D62" t="str">
            <v>Gestión para la Protección</v>
          </cell>
          <cell r="E62" t="str">
            <v>MPM5-P1</v>
          </cell>
          <cell r="F62" t="str">
            <v>Gestión Restablecimiento de Derechos</v>
          </cell>
          <cell r="G62" t="str">
            <v>N/A</v>
          </cell>
          <cell r="H62" t="str">
            <v>N/A</v>
          </cell>
          <cell r="I62">
            <v>0</v>
          </cell>
          <cell r="J62">
            <v>0</v>
          </cell>
          <cell r="K62" t="str">
            <v xml:space="preserve">Subdirección de Restablecimiento de Derechos </v>
          </cell>
          <cell r="L62" t="str">
            <v>MPM5-P1-04</v>
          </cell>
          <cell r="M62" t="str">
            <v>Porcentaje de procesos administrativos de restablecimiento de derechos que son remitidos a Juzgados de Familia, por pérdida de competencia.</v>
          </cell>
          <cell r="N62" t="str">
            <v>Determinar el porcentaje de procesos administrativos de restablecimiento de derechos que se remitieron a juzgado de familia por pérdida de competencia.</v>
          </cell>
          <cell r="O62" t="str">
            <v>Creciente</v>
          </cell>
          <cell r="P62" t="str">
            <v>Gestión</v>
          </cell>
          <cell r="Q62">
            <v>0</v>
          </cell>
          <cell r="R62" t="str">
            <v>Gestión</v>
          </cell>
          <cell r="S62" t="str">
            <v>Eficacia</v>
          </cell>
          <cell r="T62">
            <v>1</v>
          </cell>
          <cell r="U62" t="str">
            <v>N/A</v>
          </cell>
          <cell r="V62" t="str">
            <v>Porcentaje</v>
          </cell>
          <cell r="W62" t="str">
            <v>Si</v>
          </cell>
          <cell r="X62" t="str">
            <v>Si</v>
          </cell>
          <cell r="Y62" t="str">
            <v>Si</v>
          </cell>
          <cell r="Z62" t="str">
            <v>No</v>
          </cell>
          <cell r="AA62" t="str">
            <v>No</v>
          </cell>
          <cell r="AB62" t="str">
            <v>No</v>
          </cell>
          <cell r="AC62" t="str">
            <v>Número de procesos administrativos de restablecimiento de derechos remitidos a Juzgado de Familia por perdida de competencia a la fecha de corte</v>
          </cell>
          <cell r="AD62" t="str">
            <v xml:space="preserve">Sistema de Información Misional SIM/ Beneficiarios </v>
          </cell>
          <cell r="AE62" t="str">
            <v>Número de procesos administrativos de restablecimiento de derechos con más de 180 días sin situación legal definida a la fecha de corte</v>
          </cell>
          <cell r="AF62" t="str">
            <v xml:space="preserve">Sistema de Información Misional SIM/ Beneficiarios </v>
          </cell>
          <cell r="AG62" t="str">
            <v>(Número de procesos administrativos de restablecimiento de derechos remitidos a Juzgado de Familia por perdida de competencia a la fecha de corte
/Número de procesos administrativos de restablecimiento de derechos con más de 180 días  sin situación legal definida a la fecha de corte) * 100</v>
          </cell>
          <cell r="AH62" t="str">
            <v>Mensual</v>
          </cell>
          <cell r="AI62" t="str">
            <v>X</v>
          </cell>
          <cell r="AJ62" t="str">
            <v>X</v>
          </cell>
          <cell r="AK62" t="str">
            <v>X</v>
          </cell>
          <cell r="AL62" t="str">
            <v>X</v>
          </cell>
          <cell r="AM62" t="str">
            <v>X</v>
          </cell>
          <cell r="AN62" t="str">
            <v>X</v>
          </cell>
          <cell r="AO62" t="str">
            <v>X</v>
          </cell>
          <cell r="AP62" t="str">
            <v>X</v>
          </cell>
          <cell r="AQ62" t="str">
            <v>X</v>
          </cell>
          <cell r="AR62" t="str">
            <v>X</v>
          </cell>
          <cell r="AS62" t="str">
            <v>X</v>
          </cell>
          <cell r="AT62" t="str">
            <v>X</v>
          </cell>
        </row>
        <row r="63">
          <cell r="B63">
            <v>59</v>
          </cell>
          <cell r="C63" t="str">
            <v>MPM5</v>
          </cell>
          <cell r="D63" t="str">
            <v>Gestión para la Protección</v>
          </cell>
          <cell r="E63" t="str">
            <v>MPM5-P1</v>
          </cell>
          <cell r="F63" t="str">
            <v>Gestión Restablecimiento de Derechos</v>
          </cell>
          <cell r="G63" t="str">
            <v>N/A</v>
          </cell>
          <cell r="H63" t="str">
            <v>N/A</v>
          </cell>
          <cell r="I63">
            <v>0</v>
          </cell>
          <cell r="J63">
            <v>0</v>
          </cell>
          <cell r="K63" t="str">
            <v xml:space="preserve">Subdirección de Restablecimiento de Derechos </v>
          </cell>
          <cell r="L63" t="str">
            <v>MPM5-P1-05</v>
          </cell>
          <cell r="M63" t="str">
            <v>Porcentaje del presupuesto ejecutado (obligaciones acumuladas de la vigencia), del total del presupuesto asignado como proyecto de inversión de Protección.</v>
          </cell>
          <cell r="N63" t="str">
            <v>Determinar el nivel de ejecución presupuestal  de las obligaciones acumuladas durante  la vigencia para el proyecto de inversión de Protección.</v>
          </cell>
          <cell r="O63" t="str">
            <v>Creciente</v>
          </cell>
          <cell r="P63" t="str">
            <v>Gestión</v>
          </cell>
          <cell r="Q63">
            <v>0.7</v>
          </cell>
          <cell r="R63" t="str">
            <v>Gestión</v>
          </cell>
          <cell r="S63" t="str">
            <v>Eficiencia</v>
          </cell>
          <cell r="T63">
            <v>1</v>
          </cell>
          <cell r="U63" t="str">
            <v>N/A</v>
          </cell>
          <cell r="V63" t="str">
            <v>Porcentaje</v>
          </cell>
          <cell r="W63" t="str">
            <v>Si</v>
          </cell>
          <cell r="X63" t="str">
            <v>Si</v>
          </cell>
          <cell r="Y63" t="str">
            <v>No</v>
          </cell>
          <cell r="Z63" t="str">
            <v>No</v>
          </cell>
          <cell r="AA63" t="str">
            <v>No</v>
          </cell>
          <cell r="AB63" t="str">
            <v>No</v>
          </cell>
          <cell r="AC63" t="str">
            <v>Presupuesto ejecutado (obligaciones acumuladas de la vigencia)</v>
          </cell>
          <cell r="AD63" t="str">
            <v>SIIF - NACION Módulo de Reportes</v>
          </cell>
          <cell r="AE63" t="str">
            <v>Total del presupuesto asignado como proyecto de inversión de Protección de la vigencia evaluada.</v>
          </cell>
          <cell r="AF63" t="str">
            <v>SIIF - NACION Módulo de Reportes</v>
          </cell>
          <cell r="AG63" t="str">
            <v>(Presupuesto ejecutado (obligaciones acumuladas de la vigencia) / Total del presupuesto asignado como proyecto de inversión de Protección) * 100</v>
          </cell>
          <cell r="AH63" t="str">
            <v>Mensual</v>
          </cell>
          <cell r="AI63" t="str">
            <v>X</v>
          </cell>
          <cell r="AJ63" t="str">
            <v>X</v>
          </cell>
          <cell r="AK63" t="str">
            <v>X</v>
          </cell>
          <cell r="AL63" t="str">
            <v>X</v>
          </cell>
          <cell r="AM63" t="str">
            <v>X</v>
          </cell>
          <cell r="AN63" t="str">
            <v>X</v>
          </cell>
          <cell r="AO63" t="str">
            <v>X</v>
          </cell>
          <cell r="AP63" t="str">
            <v>X</v>
          </cell>
          <cell r="AQ63" t="str">
            <v>X</v>
          </cell>
          <cell r="AR63" t="str">
            <v>X</v>
          </cell>
          <cell r="AS63" t="str">
            <v>X</v>
          </cell>
          <cell r="AT63" t="str">
            <v>X</v>
          </cell>
        </row>
        <row r="64">
          <cell r="B64">
            <v>60</v>
          </cell>
          <cell r="C64" t="str">
            <v>MPM5</v>
          </cell>
          <cell r="D64" t="str">
            <v>Gestión para la Protección</v>
          </cell>
          <cell r="E64" t="str">
            <v>MPM5-P1</v>
          </cell>
          <cell r="F64" t="str">
            <v>Gestión Restablecimiento de Derechos</v>
          </cell>
          <cell r="G64" t="str">
            <v>Gestión misional y de Gobierno</v>
          </cell>
          <cell r="H64" t="str">
            <v>Indicadores y metas de gobierno</v>
          </cell>
          <cell r="I64">
            <v>0</v>
          </cell>
          <cell r="J64">
            <v>0</v>
          </cell>
          <cell r="K64" t="str">
            <v xml:space="preserve">Subdirección de Restablecimiento de Derechos </v>
          </cell>
          <cell r="L64" t="str">
            <v>PA-35</v>
          </cell>
          <cell r="M64" t="str">
            <v xml:space="preserve">Porcentaje de solicitudes de atención humanitaria cobradas en efectivo del programa de alimentación en la transición para hogares desplazados. </v>
          </cell>
          <cell r="N64" t="str">
            <v xml:space="preserve">Identificar el número de solicitudes de atención humanitaria cobradas en efectivo del programa de alimentación en la transición para hogares desplazados. </v>
          </cell>
          <cell r="O64" t="str">
            <v>Creciente</v>
          </cell>
          <cell r="P64" t="str">
            <v>Gestión</v>
          </cell>
          <cell r="Q64">
            <v>0.78</v>
          </cell>
          <cell r="R64" t="str">
            <v>Gestión</v>
          </cell>
          <cell r="S64" t="str">
            <v>Eficacia</v>
          </cell>
          <cell r="T64">
            <v>0.8</v>
          </cell>
          <cell r="U64" t="str">
            <v>N/A</v>
          </cell>
          <cell r="V64" t="str">
            <v>Porcentaje</v>
          </cell>
          <cell r="W64" t="str">
            <v>Si</v>
          </cell>
          <cell r="X64" t="str">
            <v>No</v>
          </cell>
          <cell r="Y64" t="str">
            <v>No</v>
          </cell>
          <cell r="Z64" t="str">
            <v>No</v>
          </cell>
          <cell r="AA64" t="str">
            <v>No</v>
          </cell>
          <cell r="AB64" t="str">
            <v>Si</v>
          </cell>
          <cell r="AC64" t="str">
            <v>Número de solicitudes de atención humanitaria cobradas en  efectivo del programa de alimentación en la transición para hogares desplazados</v>
          </cell>
          <cell r="AD64" t="str">
            <v>Información del Programa de Alimentación en la transición para hogares desplazados.
Información reportada por el Banco agrario de las personas que realizaron el cobro efectivo de la ayuda humanitaria</v>
          </cell>
          <cell r="AE64" t="str">
            <v xml:space="preserve">Número  total de solicitudes colocadas de atención humanitaria  del programa de alimentación en la transición para hogares desplazados </v>
          </cell>
          <cell r="AF64" t="str">
            <v>Información del Programa de Alimentación en la transición para hogares desplazados.</v>
          </cell>
          <cell r="AG64" t="str">
            <v>(Número de solicitudes de atención humanitaria cobradas en efectivo del programa de alimentación en la transición para hogares desplazados / Número de solicitudes colocadas de atención humanitaria  del programa de alimentación en la transición para hogares desplazados)*100</v>
          </cell>
          <cell r="AH64" t="str">
            <v>Trimestral</v>
          </cell>
          <cell r="AI64">
            <v>0</v>
          </cell>
          <cell r="AJ64">
            <v>0</v>
          </cell>
          <cell r="AK64" t="str">
            <v>x</v>
          </cell>
          <cell r="AL64">
            <v>0</v>
          </cell>
          <cell r="AM64">
            <v>0</v>
          </cell>
          <cell r="AN64" t="str">
            <v>x</v>
          </cell>
          <cell r="AO64">
            <v>0</v>
          </cell>
          <cell r="AP64">
            <v>0</v>
          </cell>
          <cell r="AQ64" t="str">
            <v>x</v>
          </cell>
          <cell r="AR64">
            <v>0</v>
          </cell>
          <cell r="AS64">
            <v>0</v>
          </cell>
          <cell r="AT64" t="str">
            <v>x</v>
          </cell>
        </row>
        <row r="65">
          <cell r="B65">
            <v>61</v>
          </cell>
          <cell r="C65" t="str">
            <v>MPM5</v>
          </cell>
          <cell r="D65" t="str">
            <v>Gestión para la Protección</v>
          </cell>
          <cell r="E65" t="str">
            <v>MPM5-P1</v>
          </cell>
          <cell r="F65" t="str">
            <v>Gestión Restablecimiento de Derechos</v>
          </cell>
          <cell r="G65" t="str">
            <v>N/A</v>
          </cell>
          <cell r="H65" t="str">
            <v>N/A</v>
          </cell>
          <cell r="I65">
            <v>0</v>
          </cell>
          <cell r="J65">
            <v>0</v>
          </cell>
          <cell r="K65" t="str">
            <v xml:space="preserve">Subdirección de Restablecimiento de Derechos </v>
          </cell>
          <cell r="L65" t="str">
            <v>MPM5-P1-06</v>
          </cell>
          <cell r="M65" t="str">
            <v>Porcentaje  de familias con personas con discapacidad  en situación de vulnerabilidad (SISBEN bajo criterio de inclusión determinados por el ICBF), que ingresaron al programa UNAFA y cumplieron los objetivos del mismo.</v>
          </cell>
          <cell r="N65" t="str">
            <v>Identificar el número de familias vinculadas al programa UNAFA que egresan posterior de realizar las cuatro fases  del programa y cumplen los objetivos del mismo.</v>
          </cell>
          <cell r="O65" t="str">
            <v>Creciente</v>
          </cell>
          <cell r="P65" t="str">
            <v>Resultado</v>
          </cell>
          <cell r="Q65">
            <v>0.96</v>
          </cell>
          <cell r="R65" t="str">
            <v>Resultado</v>
          </cell>
          <cell r="S65" t="str">
            <v>Eficacia</v>
          </cell>
          <cell r="T65">
            <v>0.94</v>
          </cell>
          <cell r="U65" t="str">
            <v>N/A</v>
          </cell>
          <cell r="V65" t="str">
            <v>Porcentaje</v>
          </cell>
          <cell r="W65" t="str">
            <v>Si</v>
          </cell>
          <cell r="X65" t="str">
            <v>Si</v>
          </cell>
          <cell r="Y65" t="str">
            <v>No</v>
          </cell>
          <cell r="Z65" t="str">
            <v>No</v>
          </cell>
          <cell r="AA65" t="str">
            <v>No</v>
          </cell>
          <cell r="AB65" t="str">
            <v>No</v>
          </cell>
          <cell r="AC65" t="str">
            <v>Número de familias con personas con discapacidad  en situación de vulnerabilidad (SISBEN bajo criterio de inclusión determinados por el ICBF) que egresaron del programa UNAFA por cumplimiento de objetivos).</v>
          </cell>
          <cell r="AD65" t="str">
            <v>Base de datos del programa - Unidades de Apoyo y Fortalecimiento Familiar -UNAFA</v>
          </cell>
          <cell r="AE65" t="str">
            <v>Número de familias con personas con discapacidad  en situación de vulnerabilidad (SISBEN bajo criterio de inclusión determinados por el ICBF) que se vincularon al programa UNAFA durante los dos últimos años.</v>
          </cell>
          <cell r="AF65" t="str">
            <v>Base de datos del programa - Unidades de Apoyo y Fortalecimiento Familiar -UNAFA</v>
          </cell>
          <cell r="AG65" t="str">
            <v>(Número de familias con personas con discapacidad  en situación de vulnerabilidad (SISBEN bajo criterio de inclusión determinados por el ICBF) que egresaron del programa UNAFA por cumplimiento de objetivos /  Número de familias con personas con discapacidad  en situación de vulnerabilidad (SISBEN bajo criterio de inclusión determinados por el ICBF) que se vincularon al programa UNAFA durante los dos últimos años) * 100</v>
          </cell>
          <cell r="AH65" t="str">
            <v xml:space="preserve">Anual </v>
          </cell>
          <cell r="AI65">
            <v>0</v>
          </cell>
          <cell r="AJ65">
            <v>0</v>
          </cell>
          <cell r="AK65">
            <v>0</v>
          </cell>
          <cell r="AL65">
            <v>0</v>
          </cell>
          <cell r="AM65">
            <v>0</v>
          </cell>
          <cell r="AN65">
            <v>0</v>
          </cell>
          <cell r="AO65">
            <v>0</v>
          </cell>
          <cell r="AP65">
            <v>0</v>
          </cell>
          <cell r="AQ65">
            <v>0</v>
          </cell>
          <cell r="AR65">
            <v>0</v>
          </cell>
          <cell r="AS65">
            <v>0</v>
          </cell>
          <cell r="AT65" t="str">
            <v>x</v>
          </cell>
        </row>
        <row r="66">
          <cell r="B66">
            <v>62</v>
          </cell>
          <cell r="C66" t="str">
            <v>MPM5</v>
          </cell>
          <cell r="D66" t="str">
            <v>Gestión para la Protección</v>
          </cell>
          <cell r="E66" t="str">
            <v>MPM5-P1</v>
          </cell>
          <cell r="F66" t="str">
            <v>Gestión Restablecimiento de Derechos</v>
          </cell>
          <cell r="G66" t="str">
            <v>N/A</v>
          </cell>
          <cell r="H66" t="str">
            <v>N/A</v>
          </cell>
          <cell r="I66">
            <v>0</v>
          </cell>
          <cell r="J66">
            <v>0</v>
          </cell>
          <cell r="K66" t="str">
            <v xml:space="preserve">Subdirección de Restablecimiento de Derechos </v>
          </cell>
          <cell r="L66" t="str">
            <v>MPM5-P1-07</v>
          </cell>
          <cell r="M66" t="str">
            <v xml:space="preserve">Porcentaje de niños, niñas, adolescentes y mayores de 18 años con discapacidad atendidos en situación de inobservancia, amenaza o vulneración de sus derechos </v>
          </cell>
          <cell r="N66" t="str">
            <v>Identificar el número  niños, niñas, adolescentes y mayores de 18 años con discapacidad, que son atendidos en protección del ICBF.</v>
          </cell>
          <cell r="O66" t="str">
            <v>Creciente</v>
          </cell>
          <cell r="P66" t="str">
            <v>Resultado</v>
          </cell>
          <cell r="Q66">
            <v>0.96</v>
          </cell>
          <cell r="R66" t="str">
            <v>Resultado</v>
          </cell>
          <cell r="S66" t="str">
            <v>Eficacia</v>
          </cell>
          <cell r="T66">
            <v>1</v>
          </cell>
          <cell r="U66" t="str">
            <v>N/A</v>
          </cell>
          <cell r="V66" t="str">
            <v>Porcentaje</v>
          </cell>
          <cell r="W66" t="str">
            <v>Si</v>
          </cell>
          <cell r="X66" t="str">
            <v>Si</v>
          </cell>
          <cell r="Y66" t="str">
            <v>No</v>
          </cell>
          <cell r="Z66" t="str">
            <v>No</v>
          </cell>
          <cell r="AA66" t="str">
            <v>No</v>
          </cell>
          <cell r="AB66" t="str">
            <v>No</v>
          </cell>
          <cell r="AC66" t="str">
            <v>Número de  niños, niñas, adolescentes y mayores de 18 años con discapacidad atendidos en situación de inobservancia, amenaza o vulneración de sus derechos (Beneficiarios atendidos)</v>
          </cell>
          <cell r="AD66" t="str">
            <v>SIM - Sistema de Información Misional / Modulo Metas Sociales y  Financieras</v>
          </cell>
          <cell r="AE66" t="str">
            <v>Total de niños, niñas, adolescentes y mayores de 18 años con discapacidad en situación de inobservancia, amenaza o vulneración de sus derechos (Beneficiarios programados)</v>
          </cell>
          <cell r="AF66" t="str">
            <v>SIM - Sistema de Información Misional / Modulo Metas Sociales y  Financieras</v>
          </cell>
          <cell r="AG66" t="str">
            <v>Número de  niños, niñas, adolescentes y mayores de 18 años con discapacidad atendidos en situación de inobservancia, amenaza o vulneración de sus derechos (Beneficiarios atendidos) / Total de niños, niñas, adolescentes y mayores de 18 años con discapacidad en situación de inobservancia, amenaza o vulneración de sus derechos (Beneficiarios programados) * 100</v>
          </cell>
          <cell r="AH66" t="str">
            <v>Trimestral</v>
          </cell>
          <cell r="AI66">
            <v>0</v>
          </cell>
          <cell r="AJ66">
            <v>0</v>
          </cell>
          <cell r="AK66" t="str">
            <v>x</v>
          </cell>
          <cell r="AL66">
            <v>0</v>
          </cell>
          <cell r="AM66">
            <v>0</v>
          </cell>
          <cell r="AN66" t="str">
            <v>x</v>
          </cell>
          <cell r="AO66">
            <v>0</v>
          </cell>
          <cell r="AP66">
            <v>0</v>
          </cell>
          <cell r="AQ66" t="str">
            <v>x</v>
          </cell>
          <cell r="AR66">
            <v>0</v>
          </cell>
          <cell r="AS66">
            <v>0</v>
          </cell>
          <cell r="AT66" t="str">
            <v>x</v>
          </cell>
        </row>
        <row r="67">
          <cell r="B67">
            <v>63</v>
          </cell>
          <cell r="C67" t="str">
            <v>MPM5</v>
          </cell>
          <cell r="D67" t="str">
            <v>Gestión para la Protección</v>
          </cell>
          <cell r="E67" t="str">
            <v>MPM5-P1</v>
          </cell>
          <cell r="F67" t="str">
            <v>Gestión Restablecimiento de Derechos</v>
          </cell>
          <cell r="G67" t="str">
            <v>N/A</v>
          </cell>
          <cell r="H67" t="str">
            <v>N/A</v>
          </cell>
          <cell r="I67">
            <v>0</v>
          </cell>
          <cell r="J67">
            <v>0</v>
          </cell>
          <cell r="K67" t="str">
            <v xml:space="preserve">Subdirección de Restablecimiento de Derechos </v>
          </cell>
          <cell r="L67" t="str">
            <v>MPM5-P1-08</v>
          </cell>
          <cell r="M67" t="str">
            <v>Porcentaje de casos de niños, niñas y adolescentes que luego de ser devueltos por el comité de adopciones, se les resuelve  su situación, presentándose nuevamente a comité o reintegrándose a su medio familiar.</v>
          </cell>
          <cell r="N67" t="str">
            <v>Identificar el número  de casos de niños, niñas y adolescentes resueltos, luego de ser devueltos por el comité de adopciones.</v>
          </cell>
          <cell r="O67" t="str">
            <v>Creciente</v>
          </cell>
          <cell r="P67" t="str">
            <v>Resultado</v>
          </cell>
          <cell r="Q67">
            <v>0.23</v>
          </cell>
          <cell r="R67" t="str">
            <v>Resultado</v>
          </cell>
          <cell r="S67" t="str">
            <v>Eficacia</v>
          </cell>
          <cell r="T67">
            <v>0.8</v>
          </cell>
          <cell r="U67" t="str">
            <v>N/A</v>
          </cell>
          <cell r="V67" t="str">
            <v>Porcentaje</v>
          </cell>
          <cell r="W67" t="str">
            <v>Si</v>
          </cell>
          <cell r="X67" t="str">
            <v>Si</v>
          </cell>
          <cell r="Y67" t="str">
            <v>Si</v>
          </cell>
          <cell r="Z67" t="str">
            <v>No</v>
          </cell>
          <cell r="AA67" t="str">
            <v>No</v>
          </cell>
          <cell r="AB67" t="str">
            <v>No</v>
          </cell>
          <cell r="AC67" t="str">
            <v>Número de casos de niños, niñas y adolescentes resueltos, reintegrados al medio familiar o presentados nuevamente a comité de adopciones.</v>
          </cell>
          <cell r="AD67" t="str">
            <v xml:space="preserve"> Sistema de Información Misional SIM/ Beneficiarios</v>
          </cell>
          <cell r="AE67" t="str">
            <v>Total de casos de niños, niñas y adolescentes en situación de adoptabilidad en firme, o por consentimiento o por autorización, devueltos por el comité de adopciones.</v>
          </cell>
          <cell r="AF67" t="str">
            <v xml:space="preserve"> Sistema de Información Misional SIM/ Beneficiarios</v>
          </cell>
          <cell r="AG67" t="str">
            <v xml:space="preserve">
(Número  de casos de niños, niñas y adolescentes resueltos,  reintegrados al medio familiar o presentándose nuevamente a comité / Total de casos de niños, niñas y adolescentes en situación de adoptabilidad en firme, o por consentimiento o por autorización, devueltos por el comité de adopciones) *100</v>
          </cell>
          <cell r="AH67" t="str">
            <v>Trimestral</v>
          </cell>
          <cell r="AI67">
            <v>0</v>
          </cell>
          <cell r="AJ67">
            <v>0</v>
          </cell>
          <cell r="AK67" t="str">
            <v>x</v>
          </cell>
          <cell r="AL67">
            <v>0</v>
          </cell>
          <cell r="AM67">
            <v>0</v>
          </cell>
          <cell r="AN67" t="str">
            <v>x</v>
          </cell>
          <cell r="AO67">
            <v>0</v>
          </cell>
          <cell r="AP67">
            <v>0</v>
          </cell>
          <cell r="AQ67" t="str">
            <v>x</v>
          </cell>
          <cell r="AR67">
            <v>0</v>
          </cell>
          <cell r="AS67">
            <v>0</v>
          </cell>
          <cell r="AT67" t="str">
            <v>x</v>
          </cell>
        </row>
        <row r="68">
          <cell r="B68">
            <v>64</v>
          </cell>
          <cell r="C68" t="str">
            <v>MPM5</v>
          </cell>
          <cell r="D68" t="str">
            <v>Gestión para la Protección</v>
          </cell>
          <cell r="E68" t="str">
            <v>MPM5-P1</v>
          </cell>
          <cell r="F68" t="str">
            <v>Gestión Restablecimiento de Derechos</v>
          </cell>
          <cell r="G68" t="str">
            <v>Gestión misional y de Gobierno</v>
          </cell>
          <cell r="H68" t="str">
            <v>Indicadores y metas de gobierno</v>
          </cell>
          <cell r="I68">
            <v>0</v>
          </cell>
          <cell r="J68">
            <v>0</v>
          </cell>
          <cell r="K68" t="str">
            <v xml:space="preserve">Subdirección de Restablecimiento de Derechos </v>
          </cell>
          <cell r="L68" t="str">
            <v>PA-36</v>
          </cell>
          <cell r="M68" t="str">
            <v>Porcentaje de Autoridades Administrativas y Equipos Técnicos Interdisciplinarios, capacitados en el proceso Administrativo de Restablecimiento de Derechos y temáticas afines.</v>
          </cell>
          <cell r="N68" t="str">
            <v>Identificar el número de Autoridades Administrativas y Equipos Técnicos Interdisciplinarios, capacitados en el proceso Administrativo de Restablecimiento de Derechos y temáticas afines.</v>
          </cell>
          <cell r="O68" t="str">
            <v>Creciente</v>
          </cell>
          <cell r="P68" t="str">
            <v xml:space="preserve">Gestión </v>
          </cell>
          <cell r="Q68">
            <v>0.22</v>
          </cell>
          <cell r="R68" t="str">
            <v xml:space="preserve">Gestión </v>
          </cell>
          <cell r="S68" t="str">
            <v>Eficacia</v>
          </cell>
          <cell r="T68">
            <v>0.44</v>
          </cell>
          <cell r="U68">
            <v>1</v>
          </cell>
          <cell r="V68" t="str">
            <v>Porcentaje</v>
          </cell>
          <cell r="W68" t="str">
            <v>Si</v>
          </cell>
          <cell r="X68" t="str">
            <v>No</v>
          </cell>
          <cell r="Y68" t="str">
            <v>No</v>
          </cell>
          <cell r="Z68" t="str">
            <v>No</v>
          </cell>
          <cell r="AA68" t="str">
            <v>Si</v>
          </cell>
          <cell r="AB68" t="str">
            <v>Si</v>
          </cell>
          <cell r="AC68" t="str">
            <v>Número de Autoridades Administrativas y Equipos Técnicos Interdisciplinarios, capacitados en el proceso Administrativo de Restablecimiento de Derechos y temáticas afines</v>
          </cell>
          <cell r="AD68" t="str">
            <v>Informe de capacitación a Autoridades Administrativas y Equipos Técnicos Interdisciplinarios</v>
          </cell>
          <cell r="AE68" t="str">
            <v>Total de Autoridades Administrativas y Equipos Técnicos Interdisciplinarios</v>
          </cell>
          <cell r="AF68" t="str">
            <v>Informe de capacitación a Autoridades Administrativas y Equipos Técnicos Interdisciplinarios</v>
          </cell>
          <cell r="AG68" t="str">
            <v>(Número de Autoridades Administrativas y Equipos Técnicos Interdisciplinarios, capacitados en el proceso Administrativo de Restablecimiento de Derechos y temáticas afines / Total de Autoridades Administrativas y Equipos Técnicos Interdisciplinarios) *100</v>
          </cell>
          <cell r="AH68" t="str">
            <v xml:space="preserve">Anual </v>
          </cell>
          <cell r="AI68">
            <v>0</v>
          </cell>
          <cell r="AJ68">
            <v>0</v>
          </cell>
          <cell r="AK68">
            <v>0</v>
          </cell>
          <cell r="AL68">
            <v>0</v>
          </cell>
          <cell r="AM68">
            <v>0</v>
          </cell>
          <cell r="AN68">
            <v>0</v>
          </cell>
          <cell r="AO68">
            <v>0</v>
          </cell>
          <cell r="AP68">
            <v>0</v>
          </cell>
          <cell r="AQ68">
            <v>0</v>
          </cell>
          <cell r="AR68">
            <v>0</v>
          </cell>
          <cell r="AS68">
            <v>0</v>
          </cell>
          <cell r="AT68" t="str">
            <v>x</v>
          </cell>
        </row>
        <row r="69">
          <cell r="B69">
            <v>65</v>
          </cell>
          <cell r="C69" t="str">
            <v>MPM5</v>
          </cell>
          <cell r="D69" t="str">
            <v>Gestión para la Protección</v>
          </cell>
          <cell r="E69" t="str">
            <v>MPM5-P1</v>
          </cell>
          <cell r="F69" t="str">
            <v>Gestión Restablecimiento de Derechos</v>
          </cell>
          <cell r="G69" t="str">
            <v>Gestión misional y de Gobierno</v>
          </cell>
          <cell r="H69" t="str">
            <v>Indicadores y metas de gobierno</v>
          </cell>
          <cell r="I69">
            <v>0</v>
          </cell>
          <cell r="J69">
            <v>0</v>
          </cell>
          <cell r="K69" t="str">
            <v xml:space="preserve">Subdirección de Restablecimiento de Derechos </v>
          </cell>
          <cell r="L69" t="str">
            <v>PA-37</v>
          </cell>
          <cell r="M69" t="str">
            <v>Porcentaje de Defensorías de Familias  y equipos técnicos interdisciplinarios, capacitados en la ruta de actuaciones especiales en el proceso de restablecimiento de Derechos con enfoque diferencial y población.</v>
          </cell>
          <cell r="N69" t="str">
            <v xml:space="preserve">Identificar el número de Defensores de Familias  y equipos técnicos interdisciplinarios, capacitados en la ruta de actuaciones especiales en el proceso de restablecimiento de Derechos con enfoque diferencial y población. </v>
          </cell>
          <cell r="O69" t="str">
            <v>Creciente</v>
          </cell>
          <cell r="P69" t="str">
            <v xml:space="preserve">Gestión </v>
          </cell>
          <cell r="Q69">
            <v>0.12</v>
          </cell>
          <cell r="R69" t="str">
            <v xml:space="preserve">Gestión </v>
          </cell>
          <cell r="S69" t="str">
            <v>Eficacia</v>
          </cell>
          <cell r="T69">
            <v>0.34</v>
          </cell>
          <cell r="U69">
            <v>1</v>
          </cell>
          <cell r="V69" t="str">
            <v>Porcentaje</v>
          </cell>
          <cell r="W69" t="str">
            <v>Si</v>
          </cell>
          <cell r="X69" t="str">
            <v>No</v>
          </cell>
          <cell r="Y69" t="str">
            <v>No</v>
          </cell>
          <cell r="Z69" t="str">
            <v>No</v>
          </cell>
          <cell r="AA69" t="str">
            <v>Si</v>
          </cell>
          <cell r="AB69" t="str">
            <v>Si</v>
          </cell>
          <cell r="AC69" t="str">
            <v>Número  de Defensores de Familias  y Equipos Técnicos Interdisciplinarios, capacitados en la ruta de actuaciones especiales en el Proceso de Restablecimiento de Derechos con enfoque diferencial y población.</v>
          </cell>
          <cell r="AD69" t="str">
            <v>Informe de capacitación 
Defensores de Familias  y Equipos Técnicos Interdisciplinarios</v>
          </cell>
          <cell r="AE69" t="str">
            <v>Total de Defensores de Familias  y Equipos técnicos interdisciplinarios</v>
          </cell>
          <cell r="AF69" t="str">
            <v>Informe de capacitación 
Defensores de Familias  y Equipos Técnicos Interdisciplinarios</v>
          </cell>
          <cell r="AG69" t="str">
            <v>(Número  de Defensores de Familias  y Equipos Técnicos Interdisciplinarios, capacitados en la ruta de actuaciones especiales en el Proceso de Restablecimiento de Derechos con enfoque diferencial y población / Total de Defensores de Familias  y Equipos técnicos interdisciplinarios) *100</v>
          </cell>
          <cell r="AH69" t="str">
            <v>Trimestral</v>
          </cell>
          <cell r="AI69">
            <v>0</v>
          </cell>
          <cell r="AJ69">
            <v>0</v>
          </cell>
          <cell r="AK69" t="str">
            <v>x</v>
          </cell>
          <cell r="AL69">
            <v>0</v>
          </cell>
          <cell r="AM69">
            <v>0</v>
          </cell>
          <cell r="AN69" t="str">
            <v>x</v>
          </cell>
          <cell r="AO69">
            <v>0</v>
          </cell>
          <cell r="AP69">
            <v>0</v>
          </cell>
          <cell r="AQ69" t="str">
            <v>x</v>
          </cell>
          <cell r="AR69">
            <v>0</v>
          </cell>
          <cell r="AS69">
            <v>0</v>
          </cell>
          <cell r="AT69" t="str">
            <v>x</v>
          </cell>
        </row>
        <row r="70">
          <cell r="B70">
            <v>66</v>
          </cell>
          <cell r="C70" t="str">
            <v>MPM5</v>
          </cell>
          <cell r="D70" t="str">
            <v>Gestión para la Protección</v>
          </cell>
          <cell r="E70" t="str">
            <v>MPM5-P1</v>
          </cell>
          <cell r="F70" t="str">
            <v>Gestión Restablecimiento de Derechos</v>
          </cell>
          <cell r="G70" t="str">
            <v>N/A</v>
          </cell>
          <cell r="H70" t="str">
            <v>N/A</v>
          </cell>
          <cell r="I70">
            <v>0</v>
          </cell>
          <cell r="J70">
            <v>0</v>
          </cell>
          <cell r="K70" t="str">
            <v xml:space="preserve">Subdirección de Restablecimiento de Derechos </v>
          </cell>
          <cell r="L70" t="str">
            <v>MPM5-P1-09</v>
          </cell>
          <cell r="M70" t="str">
            <v>Porcentaje de niños, niñas y adolescentes que reingresan al proceso de restablecimiento de derechos.</v>
          </cell>
          <cell r="N70" t="str">
            <v>Identificar  el número de niños, niñas y adolescentes que luego de haber sido reintegrados a su medio familiar, ingresan nuevamente a un Proceso Administrativo de Restablecimiento de Derechos PARD.</v>
          </cell>
          <cell r="O70" t="str">
            <v>Decreciente</v>
          </cell>
          <cell r="P70" t="str">
            <v xml:space="preserve">Resultado </v>
          </cell>
          <cell r="Q70">
            <v>0</v>
          </cell>
          <cell r="R70" t="str">
            <v xml:space="preserve">Resultado </v>
          </cell>
          <cell r="S70" t="str">
            <v>Eficacia</v>
          </cell>
          <cell r="T70">
            <v>0</v>
          </cell>
          <cell r="U70" t="str">
            <v>N/A</v>
          </cell>
          <cell r="V70" t="str">
            <v>Porcentaje</v>
          </cell>
          <cell r="W70" t="str">
            <v>Si</v>
          </cell>
          <cell r="X70" t="str">
            <v>Si</v>
          </cell>
          <cell r="Y70" t="str">
            <v>Si</v>
          </cell>
          <cell r="Z70" t="str">
            <v>No</v>
          </cell>
          <cell r="AA70" t="str">
            <v>No</v>
          </cell>
          <cell r="AB70" t="str">
            <v>No</v>
          </cell>
          <cell r="AC70" t="str">
            <v>Número de niños, niñas y adolescentes que ingresan  en el mes evaluado a  Proceso Administrativo de Restablecimiento de Derechos PARD</v>
          </cell>
          <cell r="AD70" t="str">
            <v>SIM - Modulo Beneficiarios</v>
          </cell>
          <cell r="AE70" t="str">
            <v xml:space="preserve"> Número de niñas, niños y adolescentes que han sido reintegrados a su medio familiar en el marco de un Proceso Administrativo de Restablecimiento de Derechos PARD en el último año</v>
          </cell>
          <cell r="AF70" t="str">
            <v>SIM - Modulo Beneficiarios</v>
          </cell>
          <cell r="AG70" t="str">
            <v>(Número de niños, niñas y adolescentes que ingresan  en el mes evaluado a  Proceso Administrativo de Restablecimiento de Derechos PARD / Número de niñas, niños y adolescentes que han sido reintegrados a su medio familiar en el marco de un Proceso Administrativo de Restablecimiento de Derechos PARD en el último año) * 100</v>
          </cell>
          <cell r="AH70" t="str">
            <v>Mensual</v>
          </cell>
          <cell r="AI70" t="str">
            <v>x</v>
          </cell>
          <cell r="AJ70" t="str">
            <v>x</v>
          </cell>
          <cell r="AK70" t="str">
            <v>x</v>
          </cell>
          <cell r="AL70" t="str">
            <v>x</v>
          </cell>
          <cell r="AM70" t="str">
            <v>x</v>
          </cell>
          <cell r="AN70" t="str">
            <v>x</v>
          </cell>
          <cell r="AO70" t="str">
            <v>x</v>
          </cell>
          <cell r="AP70" t="str">
            <v>x</v>
          </cell>
          <cell r="AQ70" t="str">
            <v>x</v>
          </cell>
          <cell r="AR70" t="str">
            <v>x</v>
          </cell>
          <cell r="AS70" t="str">
            <v>x</v>
          </cell>
          <cell r="AT70" t="str">
            <v>x</v>
          </cell>
        </row>
        <row r="71">
          <cell r="B71">
            <v>67</v>
          </cell>
          <cell r="C71" t="str">
            <v>MPM5</v>
          </cell>
          <cell r="D71" t="str">
            <v>Gestión para la Protección</v>
          </cell>
          <cell r="E71" t="str">
            <v>MPM5-P1</v>
          </cell>
          <cell r="F71" t="str">
            <v>Gestión Restablecimiento de Derechos</v>
          </cell>
          <cell r="G71" t="str">
            <v>Gestión misional y de Gobierno</v>
          </cell>
          <cell r="H71" t="str">
            <v>Indicadores y metas de gobierno</v>
          </cell>
          <cell r="I71">
            <v>0</v>
          </cell>
          <cell r="J71">
            <v>0</v>
          </cell>
          <cell r="K71" t="str">
            <v xml:space="preserve">Subdirección de Restablecimiento de Derechos </v>
          </cell>
          <cell r="L71" t="str">
            <v>PA-38</v>
          </cell>
          <cell r="M71" t="str">
            <v>Número de municipios con asistencia técnica y acompañamiento para la implementación de las rutas de atención integral para el Restablecimiento de Derechos de la menor de 14 años embarazada.</v>
          </cell>
          <cell r="N71" t="str">
            <v xml:space="preserve">Identificar el número de municipios que han recibido asistencia técnica y acompañamiento para la implementación de las rutas de atención integral para el Restablecimiento de Derechos de la menor de 14 años embarazada. </v>
          </cell>
          <cell r="O71" t="str">
            <v>Creciente</v>
          </cell>
          <cell r="P71" t="str">
            <v xml:space="preserve">Gestión </v>
          </cell>
          <cell r="Q71">
            <v>20</v>
          </cell>
          <cell r="R71" t="str">
            <v xml:space="preserve">Gestión </v>
          </cell>
          <cell r="S71" t="str">
            <v>Eficacia</v>
          </cell>
          <cell r="T71">
            <v>200</v>
          </cell>
          <cell r="U71">
            <v>700</v>
          </cell>
          <cell r="V71" t="str">
            <v>Número</v>
          </cell>
          <cell r="W71" t="str">
            <v>Si</v>
          </cell>
          <cell r="X71" t="str">
            <v>No</v>
          </cell>
          <cell r="Y71" t="str">
            <v>No</v>
          </cell>
          <cell r="Z71" t="str">
            <v>Si</v>
          </cell>
          <cell r="AA71" t="str">
            <v>Si</v>
          </cell>
          <cell r="AB71" t="str">
            <v>Si</v>
          </cell>
          <cell r="AC71" t="str">
            <v>Número de municipios con asistencia técnica y acompañamiento para la implementación de las rutas de atención integral para el restablecimiento de derechos de la menor de 14 años embarazada.</v>
          </cell>
          <cell r="AD71" t="str">
            <v xml:space="preserve">Informe de Asistencia Técnica y acompañamiento a los municipios </v>
          </cell>
          <cell r="AE71" t="str">
            <v>N/A</v>
          </cell>
          <cell r="AF71" t="str">
            <v>N/A</v>
          </cell>
          <cell r="AG71" t="str">
            <v>Número de municipios con asistencia técnica y acompañamiento para la implementación de las rutas de atención integral para el restablecimiento de derechos de la menor de 14 años embarazada.</v>
          </cell>
          <cell r="AH71" t="str">
            <v>Trimestral</v>
          </cell>
          <cell r="AI71">
            <v>0</v>
          </cell>
          <cell r="AJ71">
            <v>0</v>
          </cell>
          <cell r="AK71" t="str">
            <v>x</v>
          </cell>
          <cell r="AL71">
            <v>0</v>
          </cell>
          <cell r="AM71">
            <v>0</v>
          </cell>
          <cell r="AN71" t="str">
            <v>x</v>
          </cell>
          <cell r="AO71">
            <v>0</v>
          </cell>
          <cell r="AP71">
            <v>0</v>
          </cell>
          <cell r="AQ71" t="str">
            <v>x</v>
          </cell>
          <cell r="AR71">
            <v>0</v>
          </cell>
          <cell r="AS71">
            <v>0</v>
          </cell>
          <cell r="AT71" t="str">
            <v>x</v>
          </cell>
        </row>
        <row r="72">
          <cell r="B72">
            <v>68</v>
          </cell>
          <cell r="C72" t="str">
            <v>MPM5</v>
          </cell>
          <cell r="D72" t="str">
            <v>Gestión para la Protección</v>
          </cell>
          <cell r="E72" t="str">
            <v>MPM5-P2</v>
          </cell>
          <cell r="F72" t="str">
            <v>Gestión de Adopciones</v>
          </cell>
          <cell r="G72" t="str">
            <v>Gestión misional y de Gobierno</v>
          </cell>
          <cell r="H72" t="str">
            <v>Indicadores y metas de gobierno</v>
          </cell>
          <cell r="I72">
            <v>0</v>
          </cell>
          <cell r="J72">
            <v>0</v>
          </cell>
          <cell r="K72" t="str">
            <v>Subdirección de Adopciones</v>
          </cell>
          <cell r="L72" t="str">
            <v>PA-39</v>
          </cell>
          <cell r="M72" t="str">
            <v>Porcentaje de Niños, niñas y adolescentes en situación de adoptabilidad en firme,  por consentimiento o por autorización,  SIN características especiales presentados a comité de adopciones, con familia asignada.</v>
          </cell>
          <cell r="N72" t="str">
            <v>Identificar el número de niños, niñas y adolescentes en situación de adoptabilidad en firme,  por consentimiento o por autorización, SIN características especiales, que se les ha restablecido el derecho de tener una familia</v>
          </cell>
          <cell r="O72" t="str">
            <v>Estático</v>
          </cell>
          <cell r="P72" t="str">
            <v>Resultado</v>
          </cell>
          <cell r="Q72">
            <v>1</v>
          </cell>
          <cell r="R72" t="str">
            <v>Resultado</v>
          </cell>
          <cell r="S72" t="str">
            <v>Eficacia</v>
          </cell>
          <cell r="T72">
            <v>1</v>
          </cell>
          <cell r="U72" t="str">
            <v>N/A</v>
          </cell>
          <cell r="V72" t="str">
            <v>Porcentaje</v>
          </cell>
          <cell r="W72" t="str">
            <v>Si</v>
          </cell>
          <cell r="X72" t="str">
            <v>Si</v>
          </cell>
          <cell r="Y72" t="str">
            <v>No</v>
          </cell>
          <cell r="Z72" t="str">
            <v>No</v>
          </cell>
          <cell r="AA72" t="str">
            <v>No</v>
          </cell>
          <cell r="AB72" t="str">
            <v>Si</v>
          </cell>
          <cell r="AC72" t="str">
            <v>Número de niños, niñas y adolescentes en situación de adoptabilidad en firme, por consentimiento o por autorización, SIN características especiales presentados a comité de adopciones con familia asignada.</v>
          </cell>
          <cell r="AD72" t="str">
            <v>SIM/ Beneficiarios  - Adopciones 
* Las Regionales ICBF registran en SIM la asignación de familia de los niños, niñas y adolescentes  mediante la  opción “Registrar Sesión de Comité de Adopción”, automáticamente se genera la actuación ADO-270  ASIGNACIÓN DE FAMILIA POR COMITÉ DE ADOPCIONES Actas de comité de adopciones</v>
          </cell>
          <cell r="AE72" t="str">
            <v>Número de niños, niñas y adolescentes  en situación de adoptabilidad en firme,  por consentimiento o por autorización, SIN características especiales presentados a comité de adopciones.</v>
          </cell>
          <cell r="AF72" t="str">
            <v xml:space="preserve">               SIM/ Beneficiarios  
* Las Defensorías de Familia ICBF registran en el Sistema de Información Misional SIM - "Modulo de beneficiarios"  los niños, niñas y adolescentes con situación de adoptabilidad en firme,  por consentimiento o por autorización  registrando alguna de las siguientes actuaciones:
1. PRD_270 " CONSENTIMIENTO EN FIRME"
2. PRD_390 " EJECUTORIA FALLO ADOPTABILIDAD"
 3. PRD_385 " RESOLUCIÓN DE AUTORIZACIÓN PARA ADOPCIÓN".
* En el detalle de la pantalla “Registrar Beneficiario” se debe definir si es un  niño, niña y adolescente SIN Características y necesidades especiales, (menor de ocho (8) años SIN discapacidad o enfermedad de cuidado especial)
* En el módulo de Adopciones, en la Sesión de Comité se debe registrar la información tanto en “Asignar adopciones” como en “NNA presentados al comité“  (para los beneficiaros sin asignación)
Actas de comité de adopciones</v>
          </cell>
          <cell r="AG72" t="str">
            <v>(Número de niños, niñas y adolescentes en situación de adoptabilidad en firme,  por consentimiento o por autorización, SIN características especiales presentados a comité de adopciones con familia asignada / Número de niños, niñas y adolescentes en situación de adoptabilidad en firme, por consentimiento o por autorización SIN características especiales presentados a comité de adopciones)*100</v>
          </cell>
          <cell r="AH72" t="str">
            <v>Mensual</v>
          </cell>
          <cell r="AI72" t="str">
            <v>x</v>
          </cell>
          <cell r="AJ72" t="str">
            <v>x</v>
          </cell>
          <cell r="AK72" t="str">
            <v>x</v>
          </cell>
          <cell r="AL72" t="str">
            <v>x</v>
          </cell>
          <cell r="AM72" t="str">
            <v>x</v>
          </cell>
          <cell r="AN72" t="str">
            <v>x</v>
          </cell>
          <cell r="AO72" t="str">
            <v>x</v>
          </cell>
          <cell r="AP72" t="str">
            <v>x</v>
          </cell>
          <cell r="AQ72" t="str">
            <v>x</v>
          </cell>
          <cell r="AR72" t="str">
            <v>x</v>
          </cell>
          <cell r="AS72" t="str">
            <v>x</v>
          </cell>
          <cell r="AT72" t="str">
            <v>x</v>
          </cell>
        </row>
        <row r="73">
          <cell r="B73">
            <v>69</v>
          </cell>
          <cell r="C73" t="str">
            <v>MPM5</v>
          </cell>
          <cell r="D73" t="str">
            <v>Gestión para la Protección</v>
          </cell>
          <cell r="E73" t="str">
            <v>MPM5-P2</v>
          </cell>
          <cell r="F73" t="str">
            <v>Gestión de Adopciones</v>
          </cell>
          <cell r="G73" t="str">
            <v>Gestión misional y de Gobierno</v>
          </cell>
          <cell r="H73" t="str">
            <v>Indicadores y metas de gobierno</v>
          </cell>
          <cell r="I73">
            <v>0</v>
          </cell>
          <cell r="J73">
            <v>0</v>
          </cell>
          <cell r="K73" t="str">
            <v>Subdirección de Adopciones</v>
          </cell>
          <cell r="L73" t="str">
            <v>PA-40</v>
          </cell>
          <cell r="M73" t="str">
            <v>Porcentaje de Niños, niñas y adolescentes en situación de adoptabilidad en firme, por consentimiento o por autorización,  CON características y necesidades especiales y posibilidad de adopción presentados a comité de adopciones, con familia asignada.</v>
          </cell>
          <cell r="N73" t="str">
            <v>Identificar el número  de Niños, niñas y adolescentes en situación de adoptabilidad en firme,  por consentimiento o por autorización,  CON características y necesidades especiales y posibilidad de adopción presentados a comité de adopciones, que se les ha restablecido el derecho de tener una familia.</v>
          </cell>
          <cell r="O73" t="str">
            <v>Creciente</v>
          </cell>
          <cell r="P73" t="str">
            <v>Resultado</v>
          </cell>
          <cell r="Q73">
            <v>0.63</v>
          </cell>
          <cell r="R73" t="str">
            <v>Resultado</v>
          </cell>
          <cell r="S73" t="str">
            <v>Eficacia</v>
          </cell>
          <cell r="T73">
            <v>0.55000000000000004</v>
          </cell>
          <cell r="U73">
            <v>0.7</v>
          </cell>
          <cell r="V73" t="str">
            <v>Porcentaje</v>
          </cell>
          <cell r="W73" t="str">
            <v>Si</v>
          </cell>
          <cell r="X73" t="str">
            <v>Si</v>
          </cell>
          <cell r="Y73" t="str">
            <v>No</v>
          </cell>
          <cell r="Z73" t="str">
            <v>No</v>
          </cell>
          <cell r="AA73" t="str">
            <v>Si</v>
          </cell>
          <cell r="AB73" t="str">
            <v>Si</v>
          </cell>
          <cell r="AC73" t="str">
            <v>Número de niños, niñas y adolescentes en situación de adoptabilidad  en firme,  por consentimiento o por autorización CON características y necesidades especiales y posibilidad de adopción presentados a comité de adopciones con familia asignada</v>
          </cell>
          <cell r="AD73" t="str">
            <v xml:space="preserve">SIM/ Beneficiarios  - Adopciones 
* Las Regionales ICBF registran en SIM la asignación de familia de los niños y niñas y adolescentes, mediante la  opción “Registrar Sesión de Comité de Adopción”, automáticamente se genera la actuación ADO-270  ASIGNACIÓN DE FAMILIA POR COMITÉ DE ADOPCIONES
Actas de comité de adopciones </v>
          </cell>
          <cell r="AE73" t="str">
            <v>Número  de niños, niñas y adolescentes en situación de adoptabilidad  en firme,  por consentimiento o por autorización, CON características y necesidades especiales y posibilidad de adopción presentados a comité de adopciones</v>
          </cell>
          <cell r="AF73" t="str">
            <v xml:space="preserve">   SIM/ Beneficiarios  
* Las Defensorías de Familia ICBF registran en el Sistema de Información Misional SIM - Modulo de beneficiarios  los niños, niñas  y adolescentes con situación de adoptabilidad en firme, por consentimiento o por autorización,  registrando alguna de las siguientes actuaciones:
1. PRD_270 " CONSENTIMIENTO EN FIRME"
 2. PRD_390  " EJECUTORIA FALLO ADOPTABILIDAD"
 3. PRD_385 " RESOLUCIÓN DE AUTORIZACIÓN PARA ADOPCIÓN".
*En el detalle de la pantalla “Registrar Beneficiario” se debe definir si es un niño, niña  o adolescente CON Características y necesidades especiales, (Mayores de (8) años CON discapacidad o enfermedad de cuidado especial
* En el módulo de Adopciones, en la Sesión de Comité se debe registrar la información tanto en “Asignar adopciones” como en “Niños, niñas y adolescentes presentados al comité“ (para los beneficiaros sin asignación)
* Actas de comité de adopciones</v>
          </cell>
          <cell r="AG73" t="str">
            <v>(Número de niños, niñas y adolescentes en situación de adoptabilidad en firme,  por consentimiento o por autorización,  CON características y necesidades especiales y posibilidad de adopción presentados al comité de adopciones y con familia asignada durante los dos últimos años y la vigencia actual/ Número de niños, niñas y adolescentes en situación de adoptabilidad en firme,  por consentimiento o por autorización,  CON características y necesidades especiales y posibilidad de adopción presentados a comité de adopciones durante los dos últimos años y la vigencia actual)*100</v>
          </cell>
          <cell r="AH73" t="str">
            <v>Mensual</v>
          </cell>
          <cell r="AI73" t="str">
            <v>x</v>
          </cell>
          <cell r="AJ73" t="str">
            <v>x</v>
          </cell>
          <cell r="AK73" t="str">
            <v>x</v>
          </cell>
          <cell r="AL73" t="str">
            <v>x</v>
          </cell>
          <cell r="AM73" t="str">
            <v>x</v>
          </cell>
          <cell r="AN73" t="str">
            <v>x</v>
          </cell>
          <cell r="AO73" t="str">
            <v>x</v>
          </cell>
          <cell r="AP73" t="str">
            <v>x</v>
          </cell>
          <cell r="AQ73" t="str">
            <v>x</v>
          </cell>
          <cell r="AR73" t="str">
            <v>x</v>
          </cell>
          <cell r="AS73" t="str">
            <v>x</v>
          </cell>
          <cell r="AT73" t="str">
            <v>x</v>
          </cell>
        </row>
        <row r="74">
          <cell r="B74">
            <v>70</v>
          </cell>
          <cell r="C74" t="str">
            <v>MPM5</v>
          </cell>
          <cell r="D74" t="str">
            <v>Gestión para la Protección</v>
          </cell>
          <cell r="E74" t="str">
            <v>MPM5-P2</v>
          </cell>
          <cell r="F74" t="str">
            <v>Gestión de Adopciones</v>
          </cell>
          <cell r="G74" t="str">
            <v>Gestión misional y de Gobierno</v>
          </cell>
          <cell r="H74" t="str">
            <v>Indicadores y metas de gobierno</v>
          </cell>
          <cell r="I74">
            <v>0</v>
          </cell>
          <cell r="J74">
            <v>0</v>
          </cell>
          <cell r="K74" t="str">
            <v>Subdirección de Adopciones</v>
          </cell>
          <cell r="L74" t="str">
            <v>PA-41</v>
          </cell>
          <cell r="M74" t="str">
            <v>Porcentaje  de niños, niñas y adolescentes que a partir de la fecha de sentencia de adopción en firme, cumplen con el número de informes de seguimientos post adopción en el periodo establecido.</v>
          </cell>
          <cell r="N74" t="str">
            <v>Identificar el número de niños, niñas y adolescentes adoptados con informes de seguimiento post  adopción en el periodo establecido.</v>
          </cell>
          <cell r="O74" t="str">
            <v>Creciente</v>
          </cell>
          <cell r="P74" t="str">
            <v>Gestión</v>
          </cell>
          <cell r="Q74">
            <v>0.95</v>
          </cell>
          <cell r="R74" t="str">
            <v>Gestión</v>
          </cell>
          <cell r="S74" t="str">
            <v>Eficacia</v>
          </cell>
          <cell r="T74">
            <v>1</v>
          </cell>
          <cell r="U74">
            <v>1</v>
          </cell>
          <cell r="V74" t="str">
            <v>Porcentaje</v>
          </cell>
          <cell r="W74" t="str">
            <v>Si</v>
          </cell>
          <cell r="X74" t="str">
            <v>Si</v>
          </cell>
          <cell r="Y74" t="str">
            <v>No</v>
          </cell>
          <cell r="Z74" t="str">
            <v>No</v>
          </cell>
          <cell r="AA74" t="str">
            <v>Si</v>
          </cell>
          <cell r="AB74" t="str">
            <v>Si</v>
          </cell>
          <cell r="AC74" t="str">
            <v>Número de niños, niñas y adolescentes que a partir de la fecha de sentencia de adopción  en firme, cumplen con el número de informes de seguimiento post adopción en el periodo establecido.</v>
          </cell>
          <cell r="AD74" t="str">
            <v>SIM/ Modulo de Adopciones
* Las regionales, Centros Zonales ICBF y/o IAPAS  registran en el Sistema de Información Misional SIM la SENTENCIA DE ADOPCIÓN con la actuación ADO-440  y su correspondiente plantilla de Datos Adicionales
* En el módulo de Adopciones, en la solicitud de Adopción de la petición de la familia se diligencia la pantalla SEGUIMIENTO POST ADOPCIÓN 
(De acuerdo a lo estipulado en el LINEAMIENTO TÉCNICO PARA ADOPCIONES)</v>
          </cell>
          <cell r="AE74" t="str">
            <v>Número de Niños, niñas y adolescentes con sentencia de adopción en firme en el periodo establecido</v>
          </cell>
          <cell r="AF74" t="str">
            <v>SIM/ Modulo de Adopciones
* Las regionales, Centros Zonales ICBF y/o IAPAS  registran en el Sistema de Información Misional SIM la SENTENCIA DE ADOPCIÓN con la actuación ADO-440 y su correspondiente plantilla de Datos Adicionales</v>
          </cell>
          <cell r="AG74" t="str">
            <v>(Número de Niños, niñas y adolescentes que a partir de la fecha sentencia de adopción en firme, cumplen con el número de informes de seguimiento post adopción en el periodo establecido/ Número de Niños, niñas y adolescentes con sentencia de adopción en firme en el periodo establecido)*100</v>
          </cell>
          <cell r="AH74" t="str">
            <v>Mensual</v>
          </cell>
          <cell r="AI74" t="str">
            <v>x</v>
          </cell>
          <cell r="AJ74" t="str">
            <v>x</v>
          </cell>
          <cell r="AK74" t="str">
            <v>x</v>
          </cell>
          <cell r="AL74" t="str">
            <v>x</v>
          </cell>
          <cell r="AM74" t="str">
            <v>x</v>
          </cell>
          <cell r="AN74" t="str">
            <v>x</v>
          </cell>
          <cell r="AO74" t="str">
            <v>x</v>
          </cell>
          <cell r="AP74" t="str">
            <v>x</v>
          </cell>
          <cell r="AQ74" t="str">
            <v>x</v>
          </cell>
          <cell r="AR74" t="str">
            <v>x</v>
          </cell>
          <cell r="AS74" t="str">
            <v>x</v>
          </cell>
          <cell r="AT74" t="str">
            <v>x</v>
          </cell>
        </row>
        <row r="75">
          <cell r="B75">
            <v>71</v>
          </cell>
          <cell r="C75" t="str">
            <v>MPM5</v>
          </cell>
          <cell r="D75" t="str">
            <v>Gestión para la Protección</v>
          </cell>
          <cell r="E75" t="str">
            <v>MPM5-P2</v>
          </cell>
          <cell r="F75" t="str">
            <v>Gestión de Adopciones</v>
          </cell>
          <cell r="G75" t="str">
            <v>N/A</v>
          </cell>
          <cell r="H75" t="str">
            <v>N/A</v>
          </cell>
          <cell r="I75">
            <v>0</v>
          </cell>
          <cell r="J75">
            <v>0</v>
          </cell>
          <cell r="K75" t="str">
            <v>Subdirección de Adopciones</v>
          </cell>
          <cell r="L75" t="str">
            <v>MPM5-P2-01</v>
          </cell>
          <cell r="M75" t="str">
            <v>Porcentaje de niños, niñas y adolescentes que  luego de tener la  sentencia de adopción en firme, presentan apertura de un Proceso Administrativo de Restablecimiento de Derechos PARD.</v>
          </cell>
          <cell r="N75" t="str">
            <v>Identificar el número de niños, niñas y adolescentes que luego de ser adoptados presentan un proceso Administrativo de Restablecimiento de Derechos activo o cerrado.</v>
          </cell>
          <cell r="O75" t="str">
            <v>Decreciente</v>
          </cell>
          <cell r="P75" t="str">
            <v>Resultado</v>
          </cell>
          <cell r="Q75" t="str">
            <v>N/A</v>
          </cell>
          <cell r="R75" t="str">
            <v>Resultado</v>
          </cell>
          <cell r="S75" t="str">
            <v>Eficacia</v>
          </cell>
          <cell r="T75">
            <v>0.1</v>
          </cell>
          <cell r="U75" t="str">
            <v>N/A</v>
          </cell>
          <cell r="V75" t="str">
            <v>Porcentaje</v>
          </cell>
          <cell r="W75" t="str">
            <v>Si</v>
          </cell>
          <cell r="X75" t="str">
            <v>Si</v>
          </cell>
          <cell r="Y75" t="str">
            <v>No</v>
          </cell>
          <cell r="Z75" t="str">
            <v>No</v>
          </cell>
          <cell r="AA75" t="str">
            <v>No</v>
          </cell>
          <cell r="AB75" t="str">
            <v>No</v>
          </cell>
          <cell r="AC75" t="str">
            <v xml:space="preserve">Número de niños, niñas y adolescentes que  presentan Apertura de un Proceso Administrativo de Restablecimiento de Derechos PARD </v>
          </cell>
          <cell r="AD75" t="str">
            <v>SIM/ Beneficiarios   
Los centros zonales registran en el Sistema de Información Misional SIM una nueva petición y continua el procedimiento con el registro de la actuación PRD_160.</v>
          </cell>
          <cell r="AE75" t="str">
            <v>Total de niños, niñas y adolescentes con  sentencia de adopción en firme</v>
          </cell>
          <cell r="AF75" t="str">
            <v>SIM/ Beneficiarios  - Adopciones
Las regionales o IAPAS registran en el Sistema de Información Misional SIM la asignación en Sesión de Comité y posteriormente siguiendo el proceso en la petición de la familia la actuación ADO_440 con su respectiva plantilla de datos adicionales</v>
          </cell>
          <cell r="AG75" t="str">
            <v>(Número de niños, niñas y adolescentes que  presentan Apertura de un Proceso Administrativo de Restablecimiento de Derechos PARD / Total de niños, niñas y adolescentes con  sentencia de adopción en firme)*100</v>
          </cell>
          <cell r="AH75" t="str">
            <v>Semestral</v>
          </cell>
          <cell r="AI75">
            <v>0</v>
          </cell>
          <cell r="AJ75">
            <v>0</v>
          </cell>
          <cell r="AK75">
            <v>0</v>
          </cell>
          <cell r="AL75">
            <v>0</v>
          </cell>
          <cell r="AM75">
            <v>0</v>
          </cell>
          <cell r="AN75" t="str">
            <v>x</v>
          </cell>
          <cell r="AO75">
            <v>0</v>
          </cell>
          <cell r="AP75">
            <v>0</v>
          </cell>
          <cell r="AQ75">
            <v>0</v>
          </cell>
          <cell r="AR75">
            <v>0</v>
          </cell>
          <cell r="AS75">
            <v>0</v>
          </cell>
          <cell r="AT75" t="str">
            <v>x</v>
          </cell>
        </row>
        <row r="76">
          <cell r="B76">
            <v>72</v>
          </cell>
          <cell r="C76" t="str">
            <v>MPM5</v>
          </cell>
          <cell r="D76" t="str">
            <v>Gestión para la Protección</v>
          </cell>
          <cell r="E76" t="str">
            <v>MPM5-P3</v>
          </cell>
          <cell r="F76" t="str">
            <v>Gestión Responsabilidad Penal</v>
          </cell>
          <cell r="G76" t="str">
            <v>Gestión misional y de Gobierno</v>
          </cell>
          <cell r="H76" t="str">
            <v>Indicadores y metas de gobierno</v>
          </cell>
          <cell r="I76">
            <v>0</v>
          </cell>
          <cell r="J76">
            <v>0</v>
          </cell>
          <cell r="K76" t="str">
            <v>Subdirección de Responsabilidad penal</v>
          </cell>
          <cell r="L76" t="str">
            <v>PA-42</v>
          </cell>
          <cell r="M76" t="str">
            <v>Porcentaje de adolescentes con más de seis meses de permanencia en el  Programa de Atención  con la garantía de ejercicio de  sus derechos (Identidad, Salud y Educación)</v>
          </cell>
          <cell r="N76" t="str">
            <v>Identificar  el número  de adolescentes, que llevan más de seis meses en el  Sistema de Responsabilidad Penal  y  a los cuales se les ha garantizado los derechos de Identidad, Salud y Educación.</v>
          </cell>
          <cell r="O76" t="str">
            <v>Creciente</v>
          </cell>
          <cell r="P76" t="str">
            <v>Resultado</v>
          </cell>
          <cell r="Q76" t="str">
            <v>N/A</v>
          </cell>
          <cell r="R76" t="str">
            <v>Resultado</v>
          </cell>
          <cell r="S76" t="str">
            <v>Eficacia</v>
          </cell>
          <cell r="T76">
            <v>0.25</v>
          </cell>
          <cell r="U76">
            <v>1</v>
          </cell>
          <cell r="V76" t="str">
            <v>Porcentaje</v>
          </cell>
          <cell r="W76" t="str">
            <v>Si</v>
          </cell>
          <cell r="X76" t="str">
            <v>Si</v>
          </cell>
          <cell r="Y76" t="str">
            <v>No</v>
          </cell>
          <cell r="Z76" t="str">
            <v>Si</v>
          </cell>
          <cell r="AA76" t="str">
            <v>Si</v>
          </cell>
          <cell r="AB76" t="str">
            <v>Si</v>
          </cell>
          <cell r="AC76" t="str">
            <v>Número  de  adolescentes con más de seis meses de permanencia  en el programa de atención del Sistema de  Responsabilidad Penal  que se le ha garantizado  la atención  en el ejercicio de  sus derechos como Identidad, Salud y Educación</v>
          </cell>
          <cell r="AD76" t="str">
            <v>Reporte de Novedades SRPA</v>
          </cell>
          <cell r="AE76" t="str">
            <v xml:space="preserve">Total de  adolescentes con más de seis meses de permanencia en el programa de atención del Sistema de  Responsabilidad Penal </v>
          </cell>
          <cell r="AF76" t="str">
            <v>Reporte de Novedades SRPA</v>
          </cell>
          <cell r="AG76" t="str">
            <v>(Número  de  adolescentes con más de seis meses de permanencia  en el programa de atención del Sistema de  Responsabilidad Penal  que se le ha garantizado  la atención  en el ejercicio de  sus derechos como Identidad, Salud y Educación / Total de  adolescentes con más de seis meses de permanencia en el programa de atención del Sistema de  Responsabilidad Penal ) * 100</v>
          </cell>
          <cell r="AH76" t="str">
            <v>Semestral</v>
          </cell>
          <cell r="AI76">
            <v>0</v>
          </cell>
          <cell r="AJ76">
            <v>0</v>
          </cell>
          <cell r="AK76">
            <v>0</v>
          </cell>
          <cell r="AL76">
            <v>0</v>
          </cell>
          <cell r="AM76">
            <v>0</v>
          </cell>
          <cell r="AN76" t="str">
            <v>x</v>
          </cell>
          <cell r="AO76">
            <v>0</v>
          </cell>
          <cell r="AP76">
            <v>0</v>
          </cell>
          <cell r="AQ76">
            <v>0</v>
          </cell>
          <cell r="AR76">
            <v>0</v>
          </cell>
          <cell r="AS76">
            <v>0</v>
          </cell>
          <cell r="AT76" t="str">
            <v>x</v>
          </cell>
        </row>
        <row r="77">
          <cell r="B77">
            <v>73</v>
          </cell>
          <cell r="C77" t="str">
            <v>MPM5</v>
          </cell>
          <cell r="D77" t="str">
            <v>Gestión para la Protección</v>
          </cell>
          <cell r="E77" t="str">
            <v>MPM5-P3</v>
          </cell>
          <cell r="F77" t="str">
            <v>Gestión Responsabilidad Penal</v>
          </cell>
          <cell r="G77" t="str">
            <v>Gestión misional y de Gobierno</v>
          </cell>
          <cell r="H77" t="str">
            <v>Indicadores y metas de gobierno</v>
          </cell>
          <cell r="I77">
            <v>0</v>
          </cell>
          <cell r="J77">
            <v>0</v>
          </cell>
          <cell r="K77" t="str">
            <v>Subdirección de Responsabilidad penal</v>
          </cell>
          <cell r="L77" t="str">
            <v>PA-43</v>
          </cell>
          <cell r="M77" t="str">
            <v>Porcentaje de adolescentes y jóvenes que egresan el último año del SRPA atendidos con estrategias post egreso o inclusión social.</v>
          </cell>
          <cell r="N77" t="str">
            <v>Identificar el número  de adolescentes y jóvenes que egresaron el último año del SRPA  y  que están siendo  atendidos con las estrategias de post egreso o inclusión social.</v>
          </cell>
          <cell r="O77" t="str">
            <v>Creciente</v>
          </cell>
          <cell r="P77" t="str">
            <v>Gestión</v>
          </cell>
          <cell r="Q77">
            <v>0.1</v>
          </cell>
          <cell r="R77" t="str">
            <v>Gestión</v>
          </cell>
          <cell r="S77" t="str">
            <v>Eficacia</v>
          </cell>
          <cell r="T77">
            <v>0.12</v>
          </cell>
          <cell r="U77">
            <v>0.5</v>
          </cell>
          <cell r="V77" t="str">
            <v>Porcentaje</v>
          </cell>
          <cell r="W77" t="str">
            <v>Si</v>
          </cell>
          <cell r="X77" t="str">
            <v>No</v>
          </cell>
          <cell r="Y77" t="str">
            <v>No</v>
          </cell>
          <cell r="Z77" t="str">
            <v>Si</v>
          </cell>
          <cell r="AA77" t="str">
            <v>Si</v>
          </cell>
          <cell r="AB77" t="str">
            <v>Si</v>
          </cell>
          <cell r="AC77" t="str">
            <v xml:space="preserve">Número de adolescentes y jóvenes que egresaron el último año del SRPA y son  atendidos con las estrategias de post egreso o inclusión social </v>
          </cell>
          <cell r="AD77" t="str">
            <v>Reporte de Novedades SRPA</v>
          </cell>
          <cell r="AE77" t="str">
            <v>Total de  adolescentes y jóvenes que egresaron el último año del SRPA</v>
          </cell>
          <cell r="AF77" t="str">
            <v>Reporte de Novedades SRPA</v>
          </cell>
          <cell r="AG77" t="str">
            <v>(Número de adolescentes y jóvenes que egresaron el último año del SRPA y son  atendidos con las estrategias de post egreso o inclusión social / Total de  adolescentes y jóvenes que egresaron el último año del SRPA) * 100</v>
          </cell>
          <cell r="AH77" t="str">
            <v>Semestral</v>
          </cell>
          <cell r="AI77">
            <v>0</v>
          </cell>
          <cell r="AJ77">
            <v>0</v>
          </cell>
          <cell r="AK77">
            <v>0</v>
          </cell>
          <cell r="AL77">
            <v>0</v>
          </cell>
          <cell r="AM77">
            <v>0</v>
          </cell>
          <cell r="AN77" t="str">
            <v>x</v>
          </cell>
          <cell r="AO77">
            <v>0</v>
          </cell>
          <cell r="AP77">
            <v>0</v>
          </cell>
          <cell r="AQ77">
            <v>0</v>
          </cell>
          <cell r="AR77">
            <v>0</v>
          </cell>
          <cell r="AS77">
            <v>0</v>
          </cell>
          <cell r="AT77" t="str">
            <v>x</v>
          </cell>
        </row>
        <row r="78">
          <cell r="B78">
            <v>74</v>
          </cell>
          <cell r="C78" t="str">
            <v>MPM5</v>
          </cell>
          <cell r="D78" t="str">
            <v>Gestión para la Protección</v>
          </cell>
          <cell r="E78" t="str">
            <v>MPM5-P3</v>
          </cell>
          <cell r="F78" t="str">
            <v>Gestión Responsabilidad Penal</v>
          </cell>
          <cell r="G78" t="str">
            <v>Gestión misional y de Gobierno</v>
          </cell>
          <cell r="H78" t="str">
            <v>Indicadores y metas de gobierno</v>
          </cell>
          <cell r="I78">
            <v>0</v>
          </cell>
          <cell r="J78">
            <v>0</v>
          </cell>
          <cell r="K78" t="str">
            <v>Subdirección de Responsabilidad penal</v>
          </cell>
          <cell r="L78" t="str">
            <v>PA-44</v>
          </cell>
          <cell r="M78" t="str">
            <v>Porcentaje de Regionales con la implementación de servicios para el cumplimiento de sanciones no privativas de libertad.</v>
          </cell>
          <cell r="N78" t="str">
            <v>Identificar el número de Regionales que tienen implementados los servicios para el cumplimiento de sanciones no privativas de libertad y promover su fortalecimiento y ampliación de cobertura.</v>
          </cell>
          <cell r="O78" t="str">
            <v>Creciente</v>
          </cell>
          <cell r="P78" t="str">
            <v>Gestión</v>
          </cell>
          <cell r="Q78">
            <v>0</v>
          </cell>
          <cell r="R78" t="str">
            <v>Gestión</v>
          </cell>
          <cell r="S78" t="str">
            <v>Eficacia</v>
          </cell>
          <cell r="T78">
            <v>0.25</v>
          </cell>
          <cell r="U78">
            <v>1</v>
          </cell>
          <cell r="V78" t="str">
            <v>Porcentaje</v>
          </cell>
          <cell r="W78" t="str">
            <v>Si</v>
          </cell>
          <cell r="X78" t="str">
            <v>Si</v>
          </cell>
          <cell r="Y78" t="str">
            <v>No</v>
          </cell>
          <cell r="Z78" t="str">
            <v>No</v>
          </cell>
          <cell r="AA78" t="str">
            <v>Si</v>
          </cell>
          <cell r="AB78" t="str">
            <v>Si</v>
          </cell>
          <cell r="AC78" t="str">
            <v xml:space="preserve">Número de Regionales con la implementación de servicios para el cumplimiento de sanciones no privativas de libertad </v>
          </cell>
          <cell r="AD78" t="str">
            <v>Informe de implementación de servicios de sanciones no privativas de libertad.</v>
          </cell>
          <cell r="AE78" t="str">
            <v>Total de Regionales que brindan servicio de atención del Sistema de Responsabilidad Penal del ICBF</v>
          </cell>
          <cell r="AF78" t="str">
            <v xml:space="preserve">Informe de implementación de servicios de sanciones no privativas de libertad. </v>
          </cell>
          <cell r="AG78" t="str">
            <v>(Número de Regionales con la implementación de servicios para el cumplimiento de sanciones no privativas de libertad / Total de Regionales que brindan servicio de atención del Sistema de Responsabilidad Penal del ICBF ) * 100</v>
          </cell>
          <cell r="AH78" t="str">
            <v>Trimestral</v>
          </cell>
          <cell r="AI78">
            <v>0</v>
          </cell>
          <cell r="AJ78">
            <v>0</v>
          </cell>
          <cell r="AK78" t="str">
            <v>x</v>
          </cell>
          <cell r="AL78">
            <v>0</v>
          </cell>
          <cell r="AM78">
            <v>0</v>
          </cell>
          <cell r="AN78" t="str">
            <v>x</v>
          </cell>
          <cell r="AO78">
            <v>0</v>
          </cell>
          <cell r="AP78">
            <v>0</v>
          </cell>
          <cell r="AQ78" t="str">
            <v>x</v>
          </cell>
          <cell r="AR78">
            <v>0</v>
          </cell>
          <cell r="AS78">
            <v>0</v>
          </cell>
          <cell r="AT78" t="str">
            <v>x</v>
          </cell>
        </row>
        <row r="79">
          <cell r="B79">
            <v>75</v>
          </cell>
          <cell r="C79" t="str">
            <v>MPM5</v>
          </cell>
          <cell r="D79" t="str">
            <v>Gestión para la Protección</v>
          </cell>
          <cell r="E79" t="str">
            <v>MPM5-P3</v>
          </cell>
          <cell r="F79" t="str">
            <v>Gestión Responsabilidad Penal</v>
          </cell>
          <cell r="G79" t="str">
            <v>N/A</v>
          </cell>
          <cell r="H79" t="str">
            <v>N/A</v>
          </cell>
          <cell r="I79">
            <v>0</v>
          </cell>
          <cell r="J79">
            <v>0</v>
          </cell>
          <cell r="K79" t="str">
            <v>Subdirección de Responsabilidad penal</v>
          </cell>
          <cell r="L79" t="str">
            <v>MPM5-P3-01</v>
          </cell>
          <cell r="M79" t="str">
            <v>Porcentaje de adolescentes con reiteración en el Sistema de Responsabilidad Penal para adolescentes por el mismo delito  u otro diferente .</v>
          </cell>
          <cell r="N79" t="str">
            <v>Identificar el porcentaje de adolescentes que incurren en la reiteración del delito, es decir, que vuelven a ingresar al Sistema de Responsabilidad Penal por cometer el mismo delito u otro diferente en cualquiera de los momentos del proceso incluyendo si han egresado.</v>
          </cell>
          <cell r="O79" t="str">
            <v>Decreciente</v>
          </cell>
          <cell r="P79" t="str">
            <v>Resultado</v>
          </cell>
          <cell r="Q79">
            <v>0.21</v>
          </cell>
          <cell r="R79" t="str">
            <v>Resultado</v>
          </cell>
          <cell r="S79" t="str">
            <v>Eficacia</v>
          </cell>
          <cell r="T79">
            <v>0.2</v>
          </cell>
          <cell r="U79" t="str">
            <v>N/A</v>
          </cell>
          <cell r="V79" t="str">
            <v>Porcentaje</v>
          </cell>
          <cell r="W79" t="str">
            <v>Si</v>
          </cell>
          <cell r="X79" t="str">
            <v>Si</v>
          </cell>
          <cell r="Y79" t="str">
            <v>No</v>
          </cell>
          <cell r="Z79" t="str">
            <v>No</v>
          </cell>
          <cell r="AA79" t="str">
            <v>No</v>
          </cell>
          <cell r="AB79" t="str">
            <v>No</v>
          </cell>
          <cell r="AC79" t="str">
            <v>Número de Adolescentes que ingresan al Sistema de Responsabilidad Penal por reiteración del mismo delito u otro diferente.</v>
          </cell>
          <cell r="AD79" t="str">
            <v xml:space="preserve">Valija </v>
          </cell>
          <cell r="AE79" t="str">
            <v>Total de Adolescentes que ingresan al Sistema de Responsabilidad Penal, durante la vigencia actual.</v>
          </cell>
          <cell r="AF79" t="str">
            <v xml:space="preserve">Valija </v>
          </cell>
          <cell r="AG79" t="str">
            <v>(Número de Adolescentes que ingresan al Sistema de Responsabilidad Penal por reiteración del mismo delito u otro diferente / total de Adolescentes que ingresan al Sistema de Responsabilidad Penal durante la vigencia actual) * 100</v>
          </cell>
          <cell r="AH79" t="str">
            <v>Trimestral</v>
          </cell>
          <cell r="AI79">
            <v>0</v>
          </cell>
          <cell r="AJ79">
            <v>0</v>
          </cell>
          <cell r="AK79" t="str">
            <v>x</v>
          </cell>
          <cell r="AL79">
            <v>0</v>
          </cell>
          <cell r="AM79">
            <v>0</v>
          </cell>
          <cell r="AN79" t="str">
            <v>x</v>
          </cell>
          <cell r="AO79">
            <v>0</v>
          </cell>
          <cell r="AP79">
            <v>0</v>
          </cell>
          <cell r="AQ79" t="str">
            <v>x</v>
          </cell>
          <cell r="AR79">
            <v>0</v>
          </cell>
          <cell r="AS79">
            <v>0</v>
          </cell>
          <cell r="AT79" t="str">
            <v>x</v>
          </cell>
        </row>
        <row r="80">
          <cell r="B80">
            <v>76</v>
          </cell>
          <cell r="C80" t="str">
            <v>MPM5</v>
          </cell>
          <cell r="D80" t="str">
            <v>Gestión para la Protección</v>
          </cell>
          <cell r="E80" t="str">
            <v>MPM5-P3</v>
          </cell>
          <cell r="F80" t="str">
            <v>Gestión Responsabilidad Penal</v>
          </cell>
          <cell r="G80" t="str">
            <v>Gestión misional y de Gobierno</v>
          </cell>
          <cell r="H80" t="str">
            <v>Indicadores y metas de gobierno</v>
          </cell>
          <cell r="I80">
            <v>0</v>
          </cell>
          <cell r="J80">
            <v>0</v>
          </cell>
          <cell r="K80" t="str">
            <v>Subdirección de Responsabilidad penal</v>
          </cell>
          <cell r="L80" t="str">
            <v>PA-45</v>
          </cell>
          <cell r="M80" t="str">
            <v>Porcentaje de Unidades de Servicio de Atención a adolescentes y jóvenes  del SRPA con Prácticas  Restaurativas implementadas.</v>
          </cell>
          <cell r="N80" t="str">
            <v>Identificar  el número  de Unidades de Servicio de Atención a adolescentes y jóvenes  del SRPA que tiene implementadas  Prácticas Restaurativas</v>
          </cell>
          <cell r="O80" t="str">
            <v>Creciente</v>
          </cell>
          <cell r="P80" t="str">
            <v>Gestión</v>
          </cell>
          <cell r="Q80">
            <v>0.3</v>
          </cell>
          <cell r="R80" t="str">
            <v>Gestión</v>
          </cell>
          <cell r="S80" t="str">
            <v>Eficacia</v>
          </cell>
          <cell r="T80">
            <v>0.5</v>
          </cell>
          <cell r="U80">
            <v>1</v>
          </cell>
          <cell r="V80" t="str">
            <v>Porcentaje</v>
          </cell>
          <cell r="W80" t="str">
            <v>Si</v>
          </cell>
          <cell r="X80" t="str">
            <v>No</v>
          </cell>
          <cell r="Y80" t="str">
            <v>No</v>
          </cell>
          <cell r="Z80" t="str">
            <v>Si</v>
          </cell>
          <cell r="AA80" t="str">
            <v>Si</v>
          </cell>
          <cell r="AB80" t="str">
            <v>Si</v>
          </cell>
          <cell r="AC80" t="str">
            <v>Número de  Unidades de Servicio de Atención a adolescentes y jóvenes  del SRPA que cuentan con Prácticas Restaurativas implementadas.</v>
          </cell>
          <cell r="AD80" t="str">
            <v>Informe de implementación de  Prácticas Restaurativas en las Unidades de Servicio de Atención a adolescentes y jovenes del SRPA.</v>
          </cell>
          <cell r="AE80" t="str">
            <v>Total de Unidades de Servicio de Atención a adolescentes y jóvenes  del SRPA a Nivel Nacional</v>
          </cell>
          <cell r="AF80" t="str">
            <v>Listado de unidades de servcicio de atención de adolescentes y jovenes del SRPA</v>
          </cell>
          <cell r="AG80" t="str">
            <v>(Número de  Unidades de Servicio de Atención a adolescentes y jóvenes  del SRPA que cuentan con Prácticas Restaurativas implementadas / Total de Unidades de Servicio de Atención a adolescentes y jóvenes  del SRPA a Nivel Nacional) * 100</v>
          </cell>
          <cell r="AH80" t="str">
            <v>Trimestral</v>
          </cell>
          <cell r="AI80">
            <v>0</v>
          </cell>
          <cell r="AJ80">
            <v>0</v>
          </cell>
          <cell r="AK80" t="str">
            <v>x</v>
          </cell>
          <cell r="AL80">
            <v>0</v>
          </cell>
          <cell r="AM80">
            <v>0</v>
          </cell>
          <cell r="AN80" t="str">
            <v>x</v>
          </cell>
          <cell r="AO80">
            <v>0</v>
          </cell>
          <cell r="AP80">
            <v>0</v>
          </cell>
          <cell r="AQ80" t="str">
            <v>x</v>
          </cell>
          <cell r="AR80">
            <v>0</v>
          </cell>
          <cell r="AS80">
            <v>0</v>
          </cell>
          <cell r="AT80" t="str">
            <v>x</v>
          </cell>
        </row>
        <row r="81">
          <cell r="B81">
            <v>77</v>
          </cell>
          <cell r="C81" t="str">
            <v>MPA1</v>
          </cell>
          <cell r="D81" t="str">
            <v>Gestión Soporte</v>
          </cell>
          <cell r="E81" t="str">
            <v>MPA1-P1</v>
          </cell>
          <cell r="F81" t="str">
            <v>Gestión Humana</v>
          </cell>
          <cell r="G81" t="str">
            <v>N/A</v>
          </cell>
          <cell r="H81" t="str">
            <v>N/A</v>
          </cell>
          <cell r="I81">
            <v>0</v>
          </cell>
          <cell r="J81">
            <v>0</v>
          </cell>
          <cell r="K81" t="str">
            <v>Dirección de Gestión Humana</v>
          </cell>
          <cell r="L81" t="str">
            <v>MPA1-P1-01</v>
          </cell>
          <cell r="M81" t="str">
            <v>Porcentaje de Investigaciones de Accidentes de Trabajo</v>
          </cell>
          <cell r="N81" t="str">
            <v>Medir el número de casos investigados por las Regionales y Sede de la Dirección General que hayan sido calificados por la ARL como accidentes de trabajo.</v>
          </cell>
          <cell r="O81" t="str">
            <v>Estático</v>
          </cell>
          <cell r="P81" t="str">
            <v xml:space="preserve">Gestión  </v>
          </cell>
          <cell r="Q81">
            <v>1</v>
          </cell>
          <cell r="R81" t="str">
            <v xml:space="preserve">Gestión  </v>
          </cell>
          <cell r="S81" t="str">
            <v>Eficacia</v>
          </cell>
          <cell r="T81">
            <v>1</v>
          </cell>
          <cell r="U81" t="str">
            <v>N.A.</v>
          </cell>
          <cell r="V81" t="str">
            <v>Porcentaje</v>
          </cell>
          <cell r="W81" t="str">
            <v>Si</v>
          </cell>
          <cell r="X81" t="str">
            <v>Si</v>
          </cell>
          <cell r="Y81" t="str">
            <v>No</v>
          </cell>
          <cell r="Z81" t="str">
            <v>No</v>
          </cell>
          <cell r="AA81" t="str">
            <v>No</v>
          </cell>
          <cell r="AB81" t="str">
            <v>No</v>
          </cell>
          <cell r="AC81" t="str">
            <v>Número de Casos Investigados por la Regional y/o Sede Dirección General a la fecha de corte</v>
          </cell>
          <cell r="AD81" t="str">
            <v>Reportes y/o registros que reciba y consolide el Area de Gestión Humana;para estos reportes se tiene un formato establecido desde la Dirección de Gestión Humana.</v>
          </cell>
          <cell r="AE81" t="str">
            <v>Número total de componentes del plan estratégico de Gestión Humana en el período</v>
          </cell>
          <cell r="AF81" t="str">
            <v>Reportes y/o registros que reciba y consolide el Area de Gestión Humana;para estos reportes se tiene un formato establecido desde la Dirección de Gestión Humana.</v>
          </cell>
          <cell r="AG81" t="str">
            <v>(Número de Casos Investigados por la Regional y/o Sede Dirección General a la fecha de corte/ Número de casos AT presentados para la Regional y/o
Sede Dirección General) * 100</v>
          </cell>
          <cell r="AH81" t="str">
            <v>Bimestral</v>
          </cell>
          <cell r="AI81">
            <v>0</v>
          </cell>
          <cell r="AJ81" t="str">
            <v>x</v>
          </cell>
          <cell r="AK81">
            <v>0</v>
          </cell>
          <cell r="AL81" t="str">
            <v>x</v>
          </cell>
          <cell r="AM81">
            <v>0</v>
          </cell>
          <cell r="AN81" t="str">
            <v>x</v>
          </cell>
          <cell r="AO81">
            <v>0</v>
          </cell>
          <cell r="AP81" t="str">
            <v>x</v>
          </cell>
          <cell r="AQ81">
            <v>0</v>
          </cell>
          <cell r="AR81" t="str">
            <v>x</v>
          </cell>
          <cell r="AS81">
            <v>0</v>
          </cell>
          <cell r="AT81" t="str">
            <v>x</v>
          </cell>
        </row>
        <row r="82">
          <cell r="B82">
            <v>78</v>
          </cell>
          <cell r="C82" t="str">
            <v>MPA1</v>
          </cell>
          <cell r="D82" t="str">
            <v>Gestión Soporte</v>
          </cell>
          <cell r="E82" t="str">
            <v>MPA1-P1</v>
          </cell>
          <cell r="F82" t="str">
            <v>Gestión Humana</v>
          </cell>
          <cell r="G82" t="str">
            <v>N/A</v>
          </cell>
          <cell r="H82" t="str">
            <v>N/A</v>
          </cell>
          <cell r="I82">
            <v>0</v>
          </cell>
          <cell r="J82">
            <v>0</v>
          </cell>
          <cell r="K82" t="str">
            <v>Dirección de Gestión Humana</v>
          </cell>
          <cell r="L82" t="str">
            <v>MPA1-P1-02</v>
          </cell>
          <cell r="M82" t="str">
            <v>Porcentaje de cumplimiento en actividades de seguridad y salud en el trabajo SG-SST</v>
          </cell>
          <cell r="N82" t="str">
            <v>Medir el porcentaje de cumplimiento de las actividades del Sistema de Gestión de la Seguridad y Salud en el Trabajo  SG-SST</v>
          </cell>
          <cell r="O82" t="str">
            <v>Estático</v>
          </cell>
          <cell r="P82" t="str">
            <v xml:space="preserve">Gestión  </v>
          </cell>
          <cell r="Q82" t="str">
            <v>"Sin Línea Base"</v>
          </cell>
          <cell r="R82" t="str">
            <v xml:space="preserve">Gestión  </v>
          </cell>
          <cell r="S82" t="str">
            <v>Eficacia</v>
          </cell>
          <cell r="T82">
            <v>1</v>
          </cell>
          <cell r="U82" t="str">
            <v>N.A.</v>
          </cell>
          <cell r="V82" t="str">
            <v>Porcentaje</v>
          </cell>
          <cell r="W82" t="str">
            <v>Si</v>
          </cell>
          <cell r="X82" t="str">
            <v>Si</v>
          </cell>
          <cell r="Y82" t="str">
            <v>No</v>
          </cell>
          <cell r="Z82" t="str">
            <v>No</v>
          </cell>
          <cell r="AA82" t="str">
            <v>No</v>
          </cell>
          <cell r="AB82" t="str">
            <v>No</v>
          </cell>
          <cell r="AC82" t="str">
            <v>Número actividades ejecutadas en el periodo</v>
          </cell>
          <cell r="AD82" t="str">
            <v>F2 PR15 MPA1 P1 Reporte Indicador Cobertura Eje SYSO v1.xls</v>
          </cell>
          <cell r="AE82" t="str">
            <v>No. actividades programadas en el  periodo</v>
          </cell>
          <cell r="AF82" t="str">
            <v>Plan anual del SG-SST + Plan Anual ARL Positiva</v>
          </cell>
          <cell r="AG82" t="str">
            <v>(Número actividades ejecutadas en el periodo/ No. actividades programadas en el  periodo)*100</v>
          </cell>
          <cell r="AH82" t="str">
            <v>Bimestral</v>
          </cell>
          <cell r="AI82">
            <v>0</v>
          </cell>
          <cell r="AJ82">
            <v>0</v>
          </cell>
          <cell r="AK82">
            <v>0</v>
          </cell>
          <cell r="AL82" t="str">
            <v>x</v>
          </cell>
          <cell r="AM82">
            <v>0</v>
          </cell>
          <cell r="AN82" t="str">
            <v>x</v>
          </cell>
          <cell r="AO82">
            <v>0</v>
          </cell>
          <cell r="AP82" t="str">
            <v>x</v>
          </cell>
          <cell r="AQ82">
            <v>0</v>
          </cell>
          <cell r="AR82" t="str">
            <v>x</v>
          </cell>
          <cell r="AS82">
            <v>0</v>
          </cell>
          <cell r="AT82" t="str">
            <v>x</v>
          </cell>
        </row>
        <row r="83">
          <cell r="B83">
            <v>79</v>
          </cell>
          <cell r="C83" t="str">
            <v>MPA1</v>
          </cell>
          <cell r="D83" t="str">
            <v>Gestión Soporte</v>
          </cell>
          <cell r="E83" t="str">
            <v>MPA1-P1</v>
          </cell>
          <cell r="F83" t="str">
            <v>Gestión Humana</v>
          </cell>
          <cell r="G83" t="str">
            <v>N/A</v>
          </cell>
          <cell r="H83" t="str">
            <v>N/A</v>
          </cell>
          <cell r="I83">
            <v>0</v>
          </cell>
          <cell r="J83">
            <v>0</v>
          </cell>
          <cell r="K83" t="str">
            <v>Dirección de Gestión Humana</v>
          </cell>
          <cell r="L83" t="str">
            <v>MPA1-P1-03</v>
          </cell>
          <cell r="M83" t="str">
            <v>Porcentaje de satisfacción de actividades ejecutadas dentro del Plan de Bienestar</v>
          </cell>
          <cell r="N83" t="str">
            <v>Medir la satisfacción de los servidores en las actividades de Bienestar desarrolladas dentro del Plan de bienestar</v>
          </cell>
          <cell r="O83" t="str">
            <v>Estático</v>
          </cell>
          <cell r="P83" t="str">
            <v xml:space="preserve">Gestión  </v>
          </cell>
          <cell r="Q83" t="str">
            <v>"Sin Línea Base"</v>
          </cell>
          <cell r="R83" t="str">
            <v xml:space="preserve">Gestión  </v>
          </cell>
          <cell r="S83" t="str">
            <v>Eficacia</v>
          </cell>
          <cell r="T83">
            <v>0.8</v>
          </cell>
          <cell r="U83" t="str">
            <v>N.A.</v>
          </cell>
          <cell r="V83" t="str">
            <v>Porcentaje</v>
          </cell>
          <cell r="W83" t="str">
            <v>Si</v>
          </cell>
          <cell r="X83" t="str">
            <v>No</v>
          </cell>
          <cell r="Y83" t="str">
            <v>Si</v>
          </cell>
          <cell r="Z83" t="str">
            <v>No</v>
          </cell>
          <cell r="AA83" t="str">
            <v>No</v>
          </cell>
          <cell r="AB83" t="str">
            <v>No</v>
          </cell>
          <cell r="AC83" t="str">
            <v>Sumatoria de las calificaciones de las encuestas de satisfacción en el período</v>
          </cell>
          <cell r="AD83" t="str">
            <v>F2 PR1 MPA1 P1 Formato Matriz de Seguimiento v7</v>
          </cell>
          <cell r="AE83" t="str">
            <v>Número total de encuestas realizadas en el período</v>
          </cell>
          <cell r="AF83" t="str">
            <v>F2 PR1 MPA1 P1 Formato Matriz de Seguimiento v7</v>
          </cell>
          <cell r="AG83" t="str">
            <v>((Sumatoria de las calificaciones de las encuestas de satisfacción en el período /( Número total de encuestas realizadas en el período  * 100%)*20)</v>
          </cell>
          <cell r="AH83" t="str">
            <v>Bimestral</v>
          </cell>
          <cell r="AI83">
            <v>0</v>
          </cell>
          <cell r="AJ83">
            <v>0</v>
          </cell>
          <cell r="AK83">
            <v>0</v>
          </cell>
          <cell r="AL83" t="str">
            <v>x</v>
          </cell>
          <cell r="AM83">
            <v>0</v>
          </cell>
          <cell r="AN83" t="str">
            <v>x</v>
          </cell>
          <cell r="AO83">
            <v>0</v>
          </cell>
          <cell r="AP83" t="str">
            <v>x</v>
          </cell>
          <cell r="AQ83">
            <v>0</v>
          </cell>
          <cell r="AR83" t="str">
            <v>x</v>
          </cell>
          <cell r="AS83">
            <v>0</v>
          </cell>
          <cell r="AT83" t="str">
            <v>x</v>
          </cell>
        </row>
        <row r="84">
          <cell r="B84">
            <v>80</v>
          </cell>
          <cell r="C84" t="str">
            <v>MPA1</v>
          </cell>
          <cell r="D84" t="str">
            <v>Gestión Soporte</v>
          </cell>
          <cell r="E84" t="str">
            <v>MPA1-P1</v>
          </cell>
          <cell r="F84" t="str">
            <v>Gestión Humana</v>
          </cell>
          <cell r="G84" t="str">
            <v>Gestión del talento humano</v>
          </cell>
          <cell r="H84" t="str">
            <v>Bienestar e Incentivos</v>
          </cell>
          <cell r="I84">
            <v>0</v>
          </cell>
          <cell r="J84">
            <v>0</v>
          </cell>
          <cell r="K84" t="str">
            <v>Dirección de Gestión Humana</v>
          </cell>
          <cell r="L84" t="str">
            <v>PA-46</v>
          </cell>
          <cell r="M84" t="str">
            <v>Porcentaje de cobertura del plan de Bienestar</v>
          </cell>
          <cell r="N84" t="str">
            <v>Medir la proporción de servidores que se han participado en las actividades de bienestar durante el periodo</v>
          </cell>
          <cell r="O84" t="str">
            <v>Creciente</v>
          </cell>
          <cell r="P84" t="str">
            <v xml:space="preserve">Gestión  </v>
          </cell>
          <cell r="Q84" t="str">
            <v>"Sin Línea Base"</v>
          </cell>
          <cell r="R84" t="str">
            <v xml:space="preserve">Gestión  </v>
          </cell>
          <cell r="S84" t="str">
            <v>Eficacia</v>
          </cell>
          <cell r="T84">
            <v>1</v>
          </cell>
          <cell r="U84" t="str">
            <v>N.A.</v>
          </cell>
          <cell r="V84" t="str">
            <v>Porcentaje</v>
          </cell>
          <cell r="W84" t="str">
            <v>Si</v>
          </cell>
          <cell r="X84" t="str">
            <v>Si</v>
          </cell>
          <cell r="Y84" t="str">
            <v>No</v>
          </cell>
          <cell r="Z84" t="str">
            <v>No</v>
          </cell>
          <cell r="AA84" t="str">
            <v>No</v>
          </cell>
          <cell r="AB84" t="str">
            <v>Si</v>
          </cell>
          <cell r="AC84" t="str">
            <v>Número Servidores que participaron en las actividades de bienestar por periodo (sin repetidos)</v>
          </cell>
          <cell r="AD84" t="str">
            <v>F2 PR1 MPA1 P1 Formato Matriz de Seguimiento v8</v>
          </cell>
          <cell r="AE84" t="str">
            <v>número total de servidores</v>
          </cell>
          <cell r="AF84" t="str">
            <v>Planta Global ICBF</v>
          </cell>
          <cell r="AG84" t="str">
            <v>(Número Servidores que participaron en las actividades de bienestar por periodo (sin repetidos)/ número total de servidores)  * 100%</v>
          </cell>
          <cell r="AH84" t="str">
            <v>Bimestral</v>
          </cell>
          <cell r="AI84">
            <v>0</v>
          </cell>
          <cell r="AJ84">
            <v>0</v>
          </cell>
          <cell r="AK84">
            <v>0</v>
          </cell>
          <cell r="AL84" t="str">
            <v>x</v>
          </cell>
          <cell r="AM84">
            <v>0</v>
          </cell>
          <cell r="AN84" t="str">
            <v>x</v>
          </cell>
          <cell r="AO84">
            <v>0</v>
          </cell>
          <cell r="AP84" t="str">
            <v>x</v>
          </cell>
          <cell r="AQ84">
            <v>0</v>
          </cell>
          <cell r="AR84" t="str">
            <v>x</v>
          </cell>
          <cell r="AS84">
            <v>0</v>
          </cell>
          <cell r="AT84" t="str">
            <v>x</v>
          </cell>
        </row>
        <row r="85">
          <cell r="B85">
            <v>81</v>
          </cell>
          <cell r="C85" t="str">
            <v>MPA1</v>
          </cell>
          <cell r="D85" t="str">
            <v>Gestión Soporte</v>
          </cell>
          <cell r="E85" t="str">
            <v>MPA1-P1</v>
          </cell>
          <cell r="F85" t="str">
            <v>Gestión Humana</v>
          </cell>
          <cell r="G85" t="str">
            <v>Gestión del talento humano</v>
          </cell>
          <cell r="H85" t="str">
            <v>Plan Anual de Vacantes</v>
          </cell>
          <cell r="I85">
            <v>0</v>
          </cell>
          <cell r="J85">
            <v>0</v>
          </cell>
          <cell r="K85" t="str">
            <v>Dirección de Gestión Humana</v>
          </cell>
          <cell r="L85" t="str">
            <v>PA-47</v>
          </cell>
          <cell r="M85" t="str">
            <v xml:space="preserve"> Porcentaje de vacantes en la planta global</v>
          </cell>
          <cell r="N85" t="str">
            <v>Medir el porcentaje de vacantes en la planta global del ICBF.</v>
          </cell>
          <cell r="O85" t="str">
            <v>Creciente</v>
          </cell>
          <cell r="P85" t="str">
            <v xml:space="preserve">Gestión  </v>
          </cell>
          <cell r="Q85" t="str">
            <v>"Sin Línea Base"</v>
          </cell>
          <cell r="R85" t="str">
            <v xml:space="preserve">Gestión  </v>
          </cell>
          <cell r="S85" t="str">
            <v>Eficacia</v>
          </cell>
          <cell r="T85">
            <v>1</v>
          </cell>
          <cell r="U85" t="str">
            <v>N.A.</v>
          </cell>
          <cell r="V85" t="str">
            <v>Porcentaje</v>
          </cell>
          <cell r="W85" t="str">
            <v>Si</v>
          </cell>
          <cell r="X85" t="str">
            <v>No</v>
          </cell>
          <cell r="Y85" t="str">
            <v>No</v>
          </cell>
          <cell r="Z85" t="str">
            <v>No</v>
          </cell>
          <cell r="AA85" t="str">
            <v>No</v>
          </cell>
          <cell r="AB85" t="str">
            <v>Si</v>
          </cell>
          <cell r="AC85" t="str">
            <v>Número de vacantes (30/12/2014) en la planta global provistas</v>
          </cell>
          <cell r="AD85" t="str">
            <v>Informe Registro y Control</v>
          </cell>
          <cell r="AE85" t="str">
            <v>Número total de cargos vacantes en la planta global (13/30/2014)</v>
          </cell>
          <cell r="AF85" t="str">
            <v>Planta Global con corte 2/12/2015</v>
          </cell>
          <cell r="AG85" t="str">
            <v>(Número de vacantes (30/12/2014) provistas en la planta permanente por periodo)  / Número total de vacantes  en la planta permanente al 30/12/2014)  * 100%</v>
          </cell>
          <cell r="AH85" t="str">
            <v>Trimestral</v>
          </cell>
          <cell r="AI85">
            <v>0</v>
          </cell>
          <cell r="AJ85">
            <v>0</v>
          </cell>
          <cell r="AK85" t="str">
            <v>x</v>
          </cell>
          <cell r="AL85">
            <v>0</v>
          </cell>
          <cell r="AM85">
            <v>0</v>
          </cell>
          <cell r="AN85" t="str">
            <v>x</v>
          </cell>
          <cell r="AO85">
            <v>0</v>
          </cell>
          <cell r="AP85">
            <v>0</v>
          </cell>
          <cell r="AQ85" t="str">
            <v>x</v>
          </cell>
          <cell r="AR85">
            <v>0</v>
          </cell>
          <cell r="AS85">
            <v>0</v>
          </cell>
          <cell r="AT85" t="str">
            <v>x</v>
          </cell>
        </row>
        <row r="86">
          <cell r="B86">
            <v>82</v>
          </cell>
          <cell r="C86" t="str">
            <v>MPA1</v>
          </cell>
          <cell r="D86" t="str">
            <v>Gestión Soporte</v>
          </cell>
          <cell r="E86" t="str">
            <v>MPA1-P1</v>
          </cell>
          <cell r="F86" t="str">
            <v>Gestión Humana</v>
          </cell>
          <cell r="G86" t="str">
            <v>Gestión del talento humano</v>
          </cell>
          <cell r="H86" t="str">
            <v>Capacitación</v>
          </cell>
          <cell r="I86">
            <v>0</v>
          </cell>
          <cell r="J86">
            <v>0</v>
          </cell>
          <cell r="K86" t="str">
            <v>Dirección de Gestión Humana</v>
          </cell>
          <cell r="L86" t="str">
            <v>PA-48</v>
          </cell>
          <cell r="M86" t="str">
            <v>Porcentaje de servidores capacitados</v>
          </cell>
          <cell r="N86" t="str">
            <v>Medir la proporción de servidores que se han capacitado durante el periodo</v>
          </cell>
          <cell r="O86" t="str">
            <v>Creciente</v>
          </cell>
          <cell r="P86" t="str">
            <v xml:space="preserve">Gestión  </v>
          </cell>
          <cell r="Q86">
            <v>0.86</v>
          </cell>
          <cell r="R86" t="str">
            <v xml:space="preserve">Gestión  </v>
          </cell>
          <cell r="S86" t="str">
            <v>Eficacia</v>
          </cell>
          <cell r="T86">
            <v>0.87</v>
          </cell>
          <cell r="U86" t="str">
            <v>N.A.</v>
          </cell>
          <cell r="V86" t="str">
            <v>Porcentaje</v>
          </cell>
          <cell r="W86" t="str">
            <v>Si</v>
          </cell>
          <cell r="X86" t="str">
            <v>Si</v>
          </cell>
          <cell r="Y86" t="str">
            <v>No</v>
          </cell>
          <cell r="Z86" t="str">
            <v>No</v>
          </cell>
          <cell r="AA86" t="str">
            <v>No</v>
          </cell>
          <cell r="AB86" t="str">
            <v>Si</v>
          </cell>
          <cell r="AC86" t="str">
            <v>Número de servidores capacitados (sin repetidos)</v>
          </cell>
          <cell r="AD86" t="str">
            <v>F1.PR2.MPA1.P1 Formato de seguimiento PIC + datos de la escuela virtual.</v>
          </cell>
          <cell r="AE86" t="str">
            <v xml:space="preserve"> Número servidores</v>
          </cell>
          <cell r="AF86" t="str">
            <v>Planta</v>
          </cell>
          <cell r="AG86" t="str">
            <v>(Número Servidores Capacitados/ número de servidores)  * 100%</v>
          </cell>
          <cell r="AH86" t="str">
            <v>Bimestral</v>
          </cell>
          <cell r="AI86">
            <v>0</v>
          </cell>
          <cell r="AJ86">
            <v>0</v>
          </cell>
          <cell r="AK86">
            <v>0</v>
          </cell>
          <cell r="AL86" t="str">
            <v>x</v>
          </cell>
          <cell r="AM86">
            <v>0</v>
          </cell>
          <cell r="AN86" t="str">
            <v>x</v>
          </cell>
          <cell r="AO86">
            <v>0</v>
          </cell>
          <cell r="AP86" t="str">
            <v>x</v>
          </cell>
          <cell r="AQ86">
            <v>0</v>
          </cell>
          <cell r="AR86" t="str">
            <v>x</v>
          </cell>
          <cell r="AS86">
            <v>0</v>
          </cell>
          <cell r="AT86" t="str">
            <v>x</v>
          </cell>
        </row>
        <row r="87">
          <cell r="B87">
            <v>83</v>
          </cell>
          <cell r="C87" t="str">
            <v>MPA1</v>
          </cell>
          <cell r="D87" t="str">
            <v>Gestión Soporte</v>
          </cell>
          <cell r="E87" t="str">
            <v>MPA1-P1</v>
          </cell>
          <cell r="F87" t="str">
            <v>Gestión Humana</v>
          </cell>
          <cell r="G87" t="str">
            <v>N/A</v>
          </cell>
          <cell r="H87" t="str">
            <v>N/A</v>
          </cell>
          <cell r="I87">
            <v>0</v>
          </cell>
          <cell r="J87">
            <v>0</v>
          </cell>
          <cell r="K87" t="str">
            <v>Dirección de Gestión Humana</v>
          </cell>
          <cell r="L87" t="str">
            <v>MPA1-P1-04</v>
          </cell>
          <cell r="M87" t="str">
            <v>Porcentaje de eficacia de la capacitación realizadas a servidores públicos</v>
          </cell>
          <cell r="N87" t="str">
            <v>Medir la eficacia de las capacitaciones realizadas</v>
          </cell>
          <cell r="O87" t="str">
            <v>Estático</v>
          </cell>
          <cell r="P87" t="str">
            <v xml:space="preserve">Gestión  </v>
          </cell>
          <cell r="Q87">
            <v>0.81</v>
          </cell>
          <cell r="R87" t="str">
            <v xml:space="preserve">Gestión  </v>
          </cell>
          <cell r="S87" t="str">
            <v>Eficacia</v>
          </cell>
          <cell r="T87">
            <v>0.85</v>
          </cell>
          <cell r="U87" t="str">
            <v>N.A.</v>
          </cell>
          <cell r="V87" t="str">
            <v>Porcentaje</v>
          </cell>
          <cell r="W87" t="str">
            <v>Si</v>
          </cell>
          <cell r="X87" t="str">
            <v>No</v>
          </cell>
          <cell r="Y87" t="str">
            <v>No</v>
          </cell>
          <cell r="Z87" t="str">
            <v>No</v>
          </cell>
          <cell r="AA87" t="str">
            <v>No</v>
          </cell>
          <cell r="AB87" t="str">
            <v>No</v>
          </cell>
          <cell r="AC87" t="str">
            <v>Sumatoria de los promedios de las  evaluaciones  de eficacia de las capacitaciones realizadas por cada Regional</v>
          </cell>
          <cell r="AD87" t="str">
            <v>PENDIENTE</v>
          </cell>
          <cell r="AE87" t="str">
            <v>Número de capacitaciones con evaluación de eficacia</v>
          </cell>
          <cell r="AF87" t="str">
            <v>PENDIENTE</v>
          </cell>
          <cell r="AG87" t="str">
            <v>(Sumatoria de los promedios de las  evaluaciones  de eficacia de las capacitaciones realizadas por cada Regional/ numero de capacitaciones con evaluación de eficacia * 100%</v>
          </cell>
          <cell r="AH87" t="str">
            <v>Bimestral</v>
          </cell>
          <cell r="AI87">
            <v>0</v>
          </cell>
          <cell r="AJ87">
            <v>0</v>
          </cell>
          <cell r="AK87">
            <v>0</v>
          </cell>
          <cell r="AL87" t="str">
            <v>x</v>
          </cell>
          <cell r="AM87">
            <v>0</v>
          </cell>
          <cell r="AN87" t="str">
            <v>x</v>
          </cell>
          <cell r="AO87">
            <v>0</v>
          </cell>
          <cell r="AP87" t="str">
            <v>x</v>
          </cell>
          <cell r="AQ87">
            <v>0</v>
          </cell>
          <cell r="AR87" t="str">
            <v>x</v>
          </cell>
          <cell r="AS87">
            <v>0</v>
          </cell>
          <cell r="AT87" t="str">
            <v>x</v>
          </cell>
        </row>
        <row r="88">
          <cell r="B88">
            <v>84</v>
          </cell>
          <cell r="C88" t="str">
            <v>MPA1</v>
          </cell>
          <cell r="D88" t="str">
            <v>Gestión Soporte</v>
          </cell>
          <cell r="E88" t="str">
            <v>MPA1-P1</v>
          </cell>
          <cell r="F88" t="str">
            <v>Gestión Humana</v>
          </cell>
          <cell r="G88" t="str">
            <v>Gestión del talento humano</v>
          </cell>
          <cell r="H88" t="str">
            <v>Plan Estratégico de Recursos Humanos</v>
          </cell>
          <cell r="I88">
            <v>0</v>
          </cell>
          <cell r="J88">
            <v>0</v>
          </cell>
          <cell r="K88" t="str">
            <v>Dirección de Gestión Humana</v>
          </cell>
          <cell r="L88" t="str">
            <v>PA-49</v>
          </cell>
          <cell r="M88" t="str">
            <v xml:space="preserve">Porcentaje de avance en  la implementación del  Plan Estratégico de Gestión Humana. </v>
          </cell>
          <cell r="N88" t="str">
            <v>Medir el Avance en el diseño y la implementación del Plan Estratégico de Gestión Humana</v>
          </cell>
          <cell r="O88" t="str">
            <v>Creciente</v>
          </cell>
          <cell r="P88" t="str">
            <v xml:space="preserve">Gestión  </v>
          </cell>
          <cell r="Q88" t="str">
            <v>Sin línea Base</v>
          </cell>
          <cell r="R88" t="str">
            <v xml:space="preserve">Gestión  </v>
          </cell>
          <cell r="S88" t="str">
            <v>Eficacia</v>
          </cell>
          <cell r="T88">
            <v>0.35</v>
          </cell>
          <cell r="U88">
            <v>1</v>
          </cell>
          <cell r="V88" t="str">
            <v>Porcentaje</v>
          </cell>
          <cell r="W88" t="str">
            <v>Si</v>
          </cell>
          <cell r="X88" t="str">
            <v>No</v>
          </cell>
          <cell r="Y88" t="str">
            <v>No</v>
          </cell>
          <cell r="Z88" t="str">
            <v>No</v>
          </cell>
          <cell r="AA88" t="str">
            <v>Si</v>
          </cell>
          <cell r="AB88" t="str">
            <v>Si</v>
          </cell>
          <cell r="AC88" t="str">
            <v>Número de componentes diseñados e implementados dentro  del plan estratégico de Gestión Humana en el período</v>
          </cell>
          <cell r="AD88" t="str">
            <v>Informes de Gestión Humana</v>
          </cell>
          <cell r="AE88" t="str">
            <v>Número total de componentes del plan estratégico de Gestión Humana en el período</v>
          </cell>
          <cell r="AF88" t="str">
            <v>Plan Estratégico de Gestión Humana</v>
          </cell>
          <cell r="AG88" t="str">
            <v>(Número de componentes diseñados e implementados dentro  del plan estratégico de Gestión Humana en el período)  / Número total de componentes del plan estratégico de Gestión Humana en el período)  * 100%</v>
          </cell>
          <cell r="AH88" t="str">
            <v>Trimestral</v>
          </cell>
          <cell r="AI88">
            <v>0</v>
          </cell>
          <cell r="AJ88">
            <v>0</v>
          </cell>
          <cell r="AK88" t="str">
            <v>x</v>
          </cell>
          <cell r="AL88">
            <v>0</v>
          </cell>
          <cell r="AM88">
            <v>0</v>
          </cell>
          <cell r="AN88" t="str">
            <v>x</v>
          </cell>
          <cell r="AO88">
            <v>0</v>
          </cell>
          <cell r="AP88">
            <v>0</v>
          </cell>
          <cell r="AQ88" t="str">
            <v>x</v>
          </cell>
          <cell r="AR88">
            <v>0</v>
          </cell>
          <cell r="AS88">
            <v>0</v>
          </cell>
          <cell r="AT88" t="str">
            <v>x</v>
          </cell>
        </row>
        <row r="89">
          <cell r="B89">
            <v>85</v>
          </cell>
          <cell r="C89" t="str">
            <v>MPA1</v>
          </cell>
          <cell r="D89" t="str">
            <v>Gestión Soporte</v>
          </cell>
          <cell r="E89" t="str">
            <v>MPA1-P1</v>
          </cell>
          <cell r="F89" t="str">
            <v>Gestión Humana</v>
          </cell>
          <cell r="G89" t="str">
            <v>N/A</v>
          </cell>
          <cell r="H89" t="str">
            <v>N/A</v>
          </cell>
          <cell r="I89">
            <v>0</v>
          </cell>
          <cell r="J89">
            <v>0</v>
          </cell>
          <cell r="K89" t="str">
            <v>Dirección de Gestión Humana</v>
          </cell>
          <cell r="L89" t="str">
            <v>MPA1-P1-05</v>
          </cell>
          <cell r="M89" t="str">
            <v>Porcentaje de condiciones inseguras corregidas derivadas de las inspecciones realizadas</v>
          </cell>
          <cell r="N89" t="str">
            <v>Medir la proporción de condiciones no seguras corregidas derivadas de las inspecciones realizadas</v>
          </cell>
          <cell r="O89" t="str">
            <v>Estático</v>
          </cell>
          <cell r="P89" t="str">
            <v xml:space="preserve">Gestión  </v>
          </cell>
          <cell r="Q89" t="str">
            <v>Sin línea Base</v>
          </cell>
          <cell r="R89" t="str">
            <v xml:space="preserve">Gestión  </v>
          </cell>
          <cell r="S89" t="str">
            <v>Eficacia</v>
          </cell>
          <cell r="T89">
            <v>1</v>
          </cell>
          <cell r="U89" t="str">
            <v>N.A.</v>
          </cell>
          <cell r="V89" t="str">
            <v>Porcentaje</v>
          </cell>
          <cell r="W89" t="str">
            <v>Si</v>
          </cell>
          <cell r="X89" t="str">
            <v>Si</v>
          </cell>
          <cell r="Y89" t="str">
            <v>No</v>
          </cell>
          <cell r="Z89" t="str">
            <v>No</v>
          </cell>
          <cell r="AA89" t="str">
            <v>No</v>
          </cell>
          <cell r="AB89" t="str">
            <v>No</v>
          </cell>
          <cell r="AC89" t="str">
            <v>No. total de condiciones inseguras corregidas derivadas de las inspecciones realizadas</v>
          </cell>
          <cell r="AD89" t="str">
            <v>*Evidencia de la gestión realizada y las respuestas recibidas mediante correos, memorandos.
*Inspecciones de seguimiento.</v>
          </cell>
          <cell r="AE89" t="str">
            <v>No. Total de condiciones identificadas en las inspecciones realizadas</v>
          </cell>
          <cell r="AF89" t="str">
            <v>*Formatos de Inspecciones diligenciados en los temas de condiciones de seguridad, vehiculos,biomecanicos,botiquienes, extintores, gabinetes, estaciones de emergencia.
*Informe de reporte al Coordinador Administrativo.</v>
          </cell>
          <cell r="AG89" t="str">
            <v>(No. total de condiciones inseguras corregidas derivadas de las inspecciones realizadas/No total de condiciones inseguras  identificadas en las inspecciones) * 100</v>
          </cell>
          <cell r="AH89" t="str">
            <v>Trimestral</v>
          </cell>
          <cell r="AI89">
            <v>0</v>
          </cell>
          <cell r="AJ89">
            <v>0</v>
          </cell>
          <cell r="AK89" t="str">
            <v>x</v>
          </cell>
          <cell r="AL89">
            <v>0</v>
          </cell>
          <cell r="AM89">
            <v>0</v>
          </cell>
          <cell r="AN89" t="str">
            <v>x</v>
          </cell>
          <cell r="AO89">
            <v>0</v>
          </cell>
          <cell r="AP89">
            <v>0</v>
          </cell>
          <cell r="AQ89" t="str">
            <v>x</v>
          </cell>
          <cell r="AR89">
            <v>0</v>
          </cell>
          <cell r="AS89">
            <v>0</v>
          </cell>
          <cell r="AT89" t="str">
            <v>x</v>
          </cell>
        </row>
        <row r="90">
          <cell r="B90">
            <v>86</v>
          </cell>
          <cell r="C90" t="str">
            <v>MPA1</v>
          </cell>
          <cell r="D90" t="str">
            <v>Gestión Soporte</v>
          </cell>
          <cell r="E90" t="str">
            <v>MPA1-P1</v>
          </cell>
          <cell r="F90" t="str">
            <v>Gestión Humana</v>
          </cell>
          <cell r="G90" t="str">
            <v>N/A</v>
          </cell>
          <cell r="H90" t="str">
            <v>N/A</v>
          </cell>
          <cell r="I90">
            <v>0</v>
          </cell>
          <cell r="J90">
            <v>0</v>
          </cell>
          <cell r="K90" t="str">
            <v>Dirección de Gestión Humana</v>
          </cell>
          <cell r="L90" t="str">
            <v>MPA1-P1-06</v>
          </cell>
          <cell r="M90" t="str">
            <v>Porcentaje de apropiación de habitos de Autocuidado en Colaboradores</v>
          </cell>
          <cell r="N90" t="str">
            <v>Medir el porcentaje de  colaboradores que han apropiado habitos de autocuidado en las actividades rutinarias de su trabajo, de acuerdo a los resultados de las encuestas de autocuidado diligenciadas</v>
          </cell>
          <cell r="O90" t="str">
            <v>Estático</v>
          </cell>
          <cell r="P90" t="str">
            <v xml:space="preserve">Gestión  </v>
          </cell>
          <cell r="Q90" t="str">
            <v>Sin línea Base</v>
          </cell>
          <cell r="R90" t="str">
            <v xml:space="preserve">Gestión  </v>
          </cell>
          <cell r="S90" t="str">
            <v>Eficacia</v>
          </cell>
          <cell r="T90">
            <v>1</v>
          </cell>
          <cell r="U90" t="str">
            <v>N.A.</v>
          </cell>
          <cell r="V90" t="str">
            <v>Porcentaje</v>
          </cell>
          <cell r="W90" t="str">
            <v>Si</v>
          </cell>
          <cell r="X90" t="str">
            <v>Si</v>
          </cell>
          <cell r="Y90" t="str">
            <v>No</v>
          </cell>
          <cell r="Z90" t="str">
            <v>No</v>
          </cell>
          <cell r="AA90" t="str">
            <v>No</v>
          </cell>
          <cell r="AB90" t="str">
            <v>No</v>
          </cell>
          <cell r="AC90" t="str">
            <v>Número de encuestas de autocuidado en colaboradores con resultados bueno y excelente</v>
          </cell>
          <cell r="AD90" t="str">
            <v>Consolidado de Encuestas de autocuidado</v>
          </cell>
          <cell r="AE90" t="str">
            <v>Número de encuestas de autocuidado diligenciadas</v>
          </cell>
          <cell r="AF90" t="str">
            <v>Consolidado de Encuestas de autocuidado</v>
          </cell>
          <cell r="AG90" t="str">
            <v>(Número de encuestas de autocuidado con resultados bueno y excelente/ Número de encuestas de autocuidado diligenciadas)*100</v>
          </cell>
          <cell r="AH90" t="str">
            <v>Semestral</v>
          </cell>
          <cell r="AI90">
            <v>0</v>
          </cell>
          <cell r="AJ90">
            <v>0</v>
          </cell>
          <cell r="AK90">
            <v>0</v>
          </cell>
          <cell r="AL90">
            <v>0</v>
          </cell>
          <cell r="AM90">
            <v>0</v>
          </cell>
          <cell r="AN90" t="str">
            <v>x</v>
          </cell>
          <cell r="AO90">
            <v>0</v>
          </cell>
          <cell r="AP90">
            <v>0</v>
          </cell>
          <cell r="AQ90">
            <v>0</v>
          </cell>
          <cell r="AR90">
            <v>0</v>
          </cell>
          <cell r="AS90">
            <v>0</v>
          </cell>
          <cell r="AT90" t="str">
            <v>x</v>
          </cell>
        </row>
        <row r="91">
          <cell r="B91">
            <v>87</v>
          </cell>
          <cell r="C91" t="str">
            <v>MPA1</v>
          </cell>
          <cell r="D91" t="str">
            <v>Gestión Soporte</v>
          </cell>
          <cell r="E91" t="str">
            <v>MPA1-P1</v>
          </cell>
          <cell r="F91" t="str">
            <v>Gestión Humana</v>
          </cell>
          <cell r="G91" t="str">
            <v>N/A</v>
          </cell>
          <cell r="H91" t="str">
            <v>N/A</v>
          </cell>
          <cell r="I91">
            <v>0</v>
          </cell>
          <cell r="J91">
            <v>0</v>
          </cell>
          <cell r="K91" t="str">
            <v>Dirección de Gestión Humana</v>
          </cell>
          <cell r="L91" t="str">
            <v>MPA1-P1-07</v>
          </cell>
          <cell r="M91" t="str">
            <v>Porcentaje de colaboradores incapacitados enfermedad común, laboral y/o accidente de trabajo</v>
          </cell>
          <cell r="N91" t="str">
            <v>Medir el porcentaje de colaboradores de planta y contrato incapacitados por  enfermedad común, laboral y/o accidente de trabajo</v>
          </cell>
          <cell r="O91" t="str">
            <v>Estático</v>
          </cell>
          <cell r="P91" t="str">
            <v xml:space="preserve">Gestión  </v>
          </cell>
          <cell r="Q91" t="str">
            <v>Sin línea Base</v>
          </cell>
          <cell r="R91" t="str">
            <v xml:space="preserve">Gestión  </v>
          </cell>
          <cell r="S91" t="str">
            <v>Eficacia</v>
          </cell>
          <cell r="T91">
            <v>0.05</v>
          </cell>
          <cell r="U91" t="str">
            <v>N.A.</v>
          </cell>
          <cell r="V91" t="str">
            <v>Porcentaje</v>
          </cell>
          <cell r="W91" t="str">
            <v>Si</v>
          </cell>
          <cell r="X91" t="str">
            <v>Si</v>
          </cell>
          <cell r="Y91" t="str">
            <v>No</v>
          </cell>
          <cell r="Z91" t="str">
            <v>No</v>
          </cell>
          <cell r="AA91" t="str">
            <v>No</v>
          </cell>
          <cell r="AB91" t="str">
            <v>No</v>
          </cell>
          <cell r="AC91" t="str">
            <v xml:space="preserve">Número de colaboradores incapacitados (enfermedad común, enfermedad laboral y/o accidente de trabajo) en el periodo </v>
          </cell>
          <cell r="AD91" t="str">
            <v xml:space="preserve">Reporte de ausentismo </v>
          </cell>
          <cell r="AE91" t="str">
            <v>No. Total de colaboradores de la Regional (personal de planta de y contrato directo)</v>
          </cell>
          <cell r="AF91" t="str">
            <v>Base de datos de la planta global, temporal y de contratistas.</v>
          </cell>
          <cell r="AG91" t="str">
            <v>(Número de colaboradores incapacitados  por causa de salud (enfermedad común, enfermedad laboral y/o accidente de trabajo) en el periodo)/ (No. Total de colaboradores de planta y contrato de la Regional)*100</v>
          </cell>
          <cell r="AH91" t="str">
            <v>Bimestral</v>
          </cell>
          <cell r="AI91">
            <v>0</v>
          </cell>
          <cell r="AJ91">
            <v>0</v>
          </cell>
          <cell r="AK91">
            <v>0</v>
          </cell>
          <cell r="AL91" t="str">
            <v>x</v>
          </cell>
          <cell r="AM91">
            <v>0</v>
          </cell>
          <cell r="AN91" t="str">
            <v>x</v>
          </cell>
          <cell r="AO91">
            <v>0</v>
          </cell>
          <cell r="AP91" t="str">
            <v>x</v>
          </cell>
          <cell r="AQ91">
            <v>0</v>
          </cell>
          <cell r="AR91" t="str">
            <v>x</v>
          </cell>
          <cell r="AS91">
            <v>0</v>
          </cell>
          <cell r="AT91" t="str">
            <v>x</v>
          </cell>
        </row>
        <row r="92">
          <cell r="B92">
            <v>88</v>
          </cell>
          <cell r="C92" t="str">
            <v>MPA1</v>
          </cell>
          <cell r="D92" t="str">
            <v>Gestión Soporte</v>
          </cell>
          <cell r="E92" t="str">
            <v>MPA1-P1</v>
          </cell>
          <cell r="F92" t="str">
            <v>Gestión Humana</v>
          </cell>
          <cell r="G92" t="str">
            <v>N/A</v>
          </cell>
          <cell r="H92" t="str">
            <v>N/A</v>
          </cell>
          <cell r="I92">
            <v>0</v>
          </cell>
          <cell r="J92">
            <v>0</v>
          </cell>
          <cell r="K92" t="str">
            <v>Dirección de Gestión Humana</v>
          </cell>
          <cell r="L92" t="str">
            <v>MPA1-P1-08</v>
          </cell>
          <cell r="M92" t="str">
            <v>Porcentaje de cargos en la planta global provistos</v>
          </cell>
          <cell r="N92" t="str">
            <v>Medir el porcentaje de cargos  en la planta global del ICBF provistos.</v>
          </cell>
          <cell r="O92" t="str">
            <v>Estático</v>
          </cell>
          <cell r="P92" t="str">
            <v xml:space="preserve">Gestión  </v>
          </cell>
          <cell r="Q92" t="str">
            <v>Sin línea Base</v>
          </cell>
          <cell r="R92" t="str">
            <v xml:space="preserve">Gestión  </v>
          </cell>
          <cell r="S92" t="str">
            <v>Eficacia</v>
          </cell>
          <cell r="T92">
            <v>0.98</v>
          </cell>
          <cell r="U92" t="str">
            <v>N.A.</v>
          </cell>
          <cell r="V92" t="str">
            <v>Porcentaje</v>
          </cell>
          <cell r="W92" t="str">
            <v>Si</v>
          </cell>
          <cell r="X92" t="str">
            <v>No</v>
          </cell>
          <cell r="Y92" t="str">
            <v>No</v>
          </cell>
          <cell r="Z92" t="str">
            <v>No</v>
          </cell>
          <cell r="AA92" t="str">
            <v>No</v>
          </cell>
          <cell r="AB92" t="str">
            <v>No</v>
          </cell>
          <cell r="AC92" t="str">
            <v>Número de cargos provistos en la planta global por periodo</v>
          </cell>
          <cell r="AD92" t="str">
            <v>Informe Registro y Control</v>
          </cell>
          <cell r="AE92" t="str">
            <v>Número total de cargos en planta global</v>
          </cell>
          <cell r="AF92" t="str">
            <v>Planta permanente  2/1/2015</v>
          </cell>
          <cell r="AG92" t="str">
            <v>(Número de cargos provistos en la planta global por periodo)/ (Número total de cargos en planta global ) * 100%</v>
          </cell>
          <cell r="AH92" t="str">
            <v>Trimestral</v>
          </cell>
          <cell r="AI92">
            <v>0</v>
          </cell>
          <cell r="AJ92">
            <v>0</v>
          </cell>
          <cell r="AK92" t="str">
            <v>x</v>
          </cell>
          <cell r="AL92">
            <v>0</v>
          </cell>
          <cell r="AM92">
            <v>0</v>
          </cell>
          <cell r="AN92" t="str">
            <v>x</v>
          </cell>
          <cell r="AO92">
            <v>0</v>
          </cell>
          <cell r="AP92">
            <v>0</v>
          </cell>
          <cell r="AQ92" t="str">
            <v>x</v>
          </cell>
          <cell r="AR92">
            <v>0</v>
          </cell>
          <cell r="AS92">
            <v>0</v>
          </cell>
          <cell r="AT92" t="str">
            <v>x</v>
          </cell>
        </row>
        <row r="93">
          <cell r="B93">
            <v>89</v>
          </cell>
          <cell r="C93" t="str">
            <v>MPA1</v>
          </cell>
          <cell r="D93" t="str">
            <v>Gestión Soporte</v>
          </cell>
          <cell r="E93" t="str">
            <v>MPA1-P1</v>
          </cell>
          <cell r="F93" t="str">
            <v>Gestión Humana</v>
          </cell>
          <cell r="G93" t="str">
            <v>N/A</v>
          </cell>
          <cell r="H93" t="str">
            <v>N/A</v>
          </cell>
          <cell r="I93">
            <v>0</v>
          </cell>
          <cell r="J93">
            <v>0</v>
          </cell>
          <cell r="K93" t="str">
            <v>Dirección de Gestión Humana</v>
          </cell>
          <cell r="L93" t="str">
            <v>MPA1-P1-09</v>
          </cell>
          <cell r="M93" t="str">
            <v>Porcentaje de etapas implementadas para la ejecución de los proyectos de aprendizaje en equipo</v>
          </cell>
          <cell r="N93" t="str">
            <v xml:space="preserve">Medir el porcentaje de ejecución de los  proyectos de aprendizaje en equipo </v>
          </cell>
          <cell r="O93" t="str">
            <v>Creciente</v>
          </cell>
          <cell r="P93" t="str">
            <v xml:space="preserve">Gestión  </v>
          </cell>
          <cell r="Q93" t="str">
            <v>"Sin Línea Base"</v>
          </cell>
          <cell r="R93" t="str">
            <v xml:space="preserve">Gestión  </v>
          </cell>
          <cell r="S93" t="str">
            <v>Eficacia</v>
          </cell>
          <cell r="T93">
            <v>1</v>
          </cell>
          <cell r="U93" t="str">
            <v>N.A.</v>
          </cell>
          <cell r="V93" t="str">
            <v>Porcentaje</v>
          </cell>
          <cell r="W93" t="str">
            <v>Si</v>
          </cell>
          <cell r="X93" t="str">
            <v>No</v>
          </cell>
          <cell r="Y93" t="str">
            <v>No</v>
          </cell>
          <cell r="Z93" t="str">
            <v>No</v>
          </cell>
          <cell r="AA93" t="str">
            <v>No</v>
          </cell>
          <cell r="AB93" t="str">
            <v>No</v>
          </cell>
          <cell r="AC93" t="str">
            <v>Número de etapas ejecutadas para la implementación de los Proyectos de Aprendizaje en Equipo en el período</v>
          </cell>
          <cell r="AD93" t="str">
            <v>Informes de Gestión Humana</v>
          </cell>
          <cell r="AE93" t="str">
            <v>10 Proyectos de Aprendizaje en equipo implementados y evaluados</v>
          </cell>
          <cell r="AF93" t="str">
            <v>Lineamientios DGH 2015</v>
          </cell>
          <cell r="AG93" t="str">
            <v>(Número de etapas ejecutadas para la implementación de los Proyectos de Aprendizaje en Equipo en el período)  / 10)  * 100%</v>
          </cell>
          <cell r="AH93" t="str">
            <v>Trimestral</v>
          </cell>
          <cell r="AI93">
            <v>0</v>
          </cell>
          <cell r="AJ93">
            <v>0</v>
          </cell>
          <cell r="AK93" t="str">
            <v>x</v>
          </cell>
          <cell r="AL93">
            <v>0</v>
          </cell>
          <cell r="AM93">
            <v>0</v>
          </cell>
          <cell r="AN93" t="str">
            <v>x</v>
          </cell>
          <cell r="AO93">
            <v>0</v>
          </cell>
          <cell r="AP93">
            <v>0</v>
          </cell>
          <cell r="AQ93" t="str">
            <v>x</v>
          </cell>
          <cell r="AR93">
            <v>0</v>
          </cell>
          <cell r="AS93">
            <v>0</v>
          </cell>
          <cell r="AT93" t="str">
            <v>x</v>
          </cell>
        </row>
        <row r="94">
          <cell r="B94">
            <v>90</v>
          </cell>
          <cell r="C94" t="str">
            <v>MPA1</v>
          </cell>
          <cell r="D94" t="str">
            <v>Gestión Soporte</v>
          </cell>
          <cell r="E94" t="str">
            <v>MPA1-P2</v>
          </cell>
          <cell r="F94" t="str">
            <v>Gestión Financiera</v>
          </cell>
          <cell r="G94" t="str">
            <v>N/A</v>
          </cell>
          <cell r="H94" t="str">
            <v>N/A</v>
          </cell>
          <cell r="I94">
            <v>0</v>
          </cell>
          <cell r="J94">
            <v>0</v>
          </cell>
          <cell r="K94" t="str">
            <v xml:space="preserve">Dirección Financiera </v>
          </cell>
          <cell r="L94" t="str">
            <v>MPA1-P2-01</v>
          </cell>
          <cell r="M94" t="str">
            <v>Porcentaje de ejecución de las cuentas por pagar constituidas en la vigencia anterior</v>
          </cell>
          <cell r="N94" t="str">
            <v>Medir la ejecución de las cuentas por pagar constituidas en la vigencia anterior.</v>
          </cell>
          <cell r="O94" t="str">
            <v>Creciente</v>
          </cell>
          <cell r="P94" t="str">
            <v>Economía</v>
          </cell>
          <cell r="Q94" t="str">
            <v>Sin línea Base</v>
          </cell>
          <cell r="R94" t="str">
            <v>Gestión</v>
          </cell>
          <cell r="S94" t="str">
            <v>Eficiencia</v>
          </cell>
          <cell r="T94">
            <v>0.95</v>
          </cell>
          <cell r="U94" t="str">
            <v>N/A</v>
          </cell>
          <cell r="V94" t="str">
            <v>Porcentaje</v>
          </cell>
          <cell r="W94" t="str">
            <v>Si</v>
          </cell>
          <cell r="X94" t="str">
            <v>No</v>
          </cell>
          <cell r="Y94" t="str">
            <v>No</v>
          </cell>
          <cell r="Z94" t="str">
            <v>No</v>
          </cell>
          <cell r="AA94" t="str">
            <v>No</v>
          </cell>
          <cell r="AB94" t="str">
            <v>No</v>
          </cell>
          <cell r="AC94" t="str">
            <v>Valor cuentas por pagar ejecutadas a la fecha de corte</v>
          </cell>
          <cell r="AD94" t="str">
            <v>Aplicativo SIIF NACION-Ministerio de Hacienda y Crédito Publico 
Reporte Dirección Financiera</v>
          </cell>
          <cell r="AE94" t="str">
            <v>Valor cuentas por pagar constituidas año anterior</v>
          </cell>
          <cell r="AF94" t="str">
            <v>Aplicativo SIIF NACION-Ministerio de Hacienda y Crédito Publico 
Reporte Dirección Financiera</v>
          </cell>
          <cell r="AG94" t="str">
            <v>(Valor cuentas por pagar ejecutadas a la fecha de corte / Valor total cuentas por pagar constituidas año anterior)*100</v>
          </cell>
          <cell r="AH94" t="str">
            <v>Mensual</v>
          </cell>
          <cell r="AI94">
            <v>0</v>
          </cell>
          <cell r="AJ94" t="str">
            <v>x</v>
          </cell>
          <cell r="AK94" t="str">
            <v>x</v>
          </cell>
          <cell r="AL94" t="str">
            <v>x</v>
          </cell>
          <cell r="AM94" t="str">
            <v>x</v>
          </cell>
          <cell r="AN94" t="str">
            <v>x</v>
          </cell>
          <cell r="AO94" t="str">
            <v>x</v>
          </cell>
          <cell r="AP94" t="str">
            <v>x</v>
          </cell>
          <cell r="AQ94" t="str">
            <v>x</v>
          </cell>
          <cell r="AR94" t="str">
            <v>x</v>
          </cell>
          <cell r="AS94" t="str">
            <v>x</v>
          </cell>
          <cell r="AT94" t="str">
            <v>x</v>
          </cell>
        </row>
        <row r="95">
          <cell r="B95">
            <v>91</v>
          </cell>
          <cell r="C95" t="str">
            <v>MPA1</v>
          </cell>
          <cell r="D95" t="str">
            <v>Gestión Soporte</v>
          </cell>
          <cell r="E95" t="str">
            <v>MPA1-P2</v>
          </cell>
          <cell r="F95" t="str">
            <v>Gestión Financiera</v>
          </cell>
          <cell r="G95" t="str">
            <v>Gestión Financiera</v>
          </cell>
          <cell r="H95" t="str">
            <v>Programa Anual Mensualizado de Caja - PAC</v>
          </cell>
          <cell r="I95">
            <v>0</v>
          </cell>
          <cell r="J95">
            <v>0</v>
          </cell>
          <cell r="K95" t="str">
            <v xml:space="preserve">Dirección Financiera </v>
          </cell>
          <cell r="L95" t="str">
            <v>PA-50</v>
          </cell>
          <cell r="M95" t="str">
            <v>Porcentaje de ejecución de pac recursos nación</v>
          </cell>
          <cell r="N95" t="str">
            <v>Medir la efectividad de la programación, distribución y ejecución del PAC - RECURSOS NACION asignado para el pago de compromiso.</v>
          </cell>
          <cell r="O95" t="str">
            <v>Creciente</v>
          </cell>
          <cell r="P95" t="str">
            <v>Economía</v>
          </cell>
          <cell r="Q95" t="str">
            <v>Sin línea Base</v>
          </cell>
          <cell r="R95" t="str">
            <v>Gestión</v>
          </cell>
          <cell r="S95" t="str">
            <v>Eficiencia</v>
          </cell>
          <cell r="T95">
            <v>1</v>
          </cell>
          <cell r="U95">
            <v>1</v>
          </cell>
          <cell r="V95" t="str">
            <v>Porcentaje</v>
          </cell>
          <cell r="W95" t="str">
            <v>Si</v>
          </cell>
          <cell r="X95" t="str">
            <v>Si</v>
          </cell>
          <cell r="Y95" t="str">
            <v>No</v>
          </cell>
          <cell r="Z95" t="str">
            <v>No</v>
          </cell>
          <cell r="AA95" t="str">
            <v>Si</v>
          </cell>
          <cell r="AB95" t="str">
            <v>Si</v>
          </cell>
          <cell r="AC95" t="str">
            <v>Pagos efectivos-NACION acumulados</v>
          </cell>
          <cell r="AD95" t="str">
            <v>Aplicativo SIIF  NACION</v>
          </cell>
          <cell r="AE95" t="str">
            <v>PAC NACION acumulado aprobado a la misma fecha</v>
          </cell>
          <cell r="AF95" t="str">
            <v>Aplicativo SIIF  NACION</v>
          </cell>
          <cell r="AG95" t="str">
            <v>((Pagos efectivos acumulados / PAC acumulado aprobado a la misma fecha))*100</v>
          </cell>
          <cell r="AH95" t="str">
            <v>Mensual</v>
          </cell>
          <cell r="AI95" t="str">
            <v>x</v>
          </cell>
          <cell r="AJ95" t="str">
            <v>x</v>
          </cell>
          <cell r="AK95" t="str">
            <v>x</v>
          </cell>
          <cell r="AL95" t="str">
            <v>x</v>
          </cell>
          <cell r="AM95" t="str">
            <v>x</v>
          </cell>
          <cell r="AN95" t="str">
            <v>x</v>
          </cell>
          <cell r="AO95" t="str">
            <v>x</v>
          </cell>
          <cell r="AP95" t="str">
            <v>x</v>
          </cell>
          <cell r="AQ95" t="str">
            <v>x</v>
          </cell>
          <cell r="AR95" t="str">
            <v>x</v>
          </cell>
          <cell r="AS95" t="str">
            <v>x</v>
          </cell>
          <cell r="AT95" t="str">
            <v>x</v>
          </cell>
        </row>
        <row r="96">
          <cell r="B96">
            <v>92</v>
          </cell>
          <cell r="C96" t="str">
            <v>MPA1</v>
          </cell>
          <cell r="D96" t="str">
            <v>Gestión Soporte</v>
          </cell>
          <cell r="E96" t="str">
            <v>MPA1-P2</v>
          </cell>
          <cell r="F96" t="str">
            <v>Gestión Financiera</v>
          </cell>
          <cell r="G96" t="str">
            <v>Gestión Financiera</v>
          </cell>
          <cell r="H96" t="str">
            <v>Programa Anual Mensualizado de Caja - PAC</v>
          </cell>
          <cell r="I96">
            <v>0</v>
          </cell>
          <cell r="J96">
            <v>0</v>
          </cell>
          <cell r="K96" t="str">
            <v xml:space="preserve">Dirección Financiera </v>
          </cell>
          <cell r="L96" t="str">
            <v>PA-51</v>
          </cell>
          <cell r="M96" t="str">
            <v>Porcentaje de ejecución de pac recursos propios</v>
          </cell>
          <cell r="N96" t="str">
            <v>Medir la efectividad de la programación, distribución y ejecución del PAC - RECURSOS PROPIOS asignado para el pago de compromiso.</v>
          </cell>
          <cell r="O96" t="str">
            <v>Creciente</v>
          </cell>
          <cell r="P96" t="str">
            <v>Economía</v>
          </cell>
          <cell r="Q96" t="str">
            <v>Sin línea Base</v>
          </cell>
          <cell r="R96" t="str">
            <v>Gestión</v>
          </cell>
          <cell r="S96" t="str">
            <v>Eficiencia</v>
          </cell>
          <cell r="T96">
            <v>1</v>
          </cell>
          <cell r="U96">
            <v>1</v>
          </cell>
          <cell r="V96" t="str">
            <v>Porcentaje</v>
          </cell>
          <cell r="W96" t="str">
            <v>Si</v>
          </cell>
          <cell r="X96" t="str">
            <v>Si</v>
          </cell>
          <cell r="Y96" t="str">
            <v>No</v>
          </cell>
          <cell r="Z96" t="str">
            <v>No</v>
          </cell>
          <cell r="AA96" t="str">
            <v>Si</v>
          </cell>
          <cell r="AB96" t="str">
            <v>Si</v>
          </cell>
          <cell r="AC96" t="str">
            <v xml:space="preserve">Pagos efectivos-PROPIOS acumulados </v>
          </cell>
          <cell r="AD96" t="str">
            <v>Aplicativo SIIF  NACION</v>
          </cell>
          <cell r="AE96" t="str">
            <v>PAC RECURSOS PROPIOS acumulado aprobado a la misma fecha</v>
          </cell>
          <cell r="AF96" t="str">
            <v>Aplicativo SIIF  NACION</v>
          </cell>
          <cell r="AG96" t="str">
            <v>((Pagos efectivos acumulados / PAC -RECURSOS PROPIOS acumulado aprobado a la misma fecha))*100</v>
          </cell>
          <cell r="AH96" t="str">
            <v>Mensual</v>
          </cell>
          <cell r="AI96" t="str">
            <v>x</v>
          </cell>
          <cell r="AJ96" t="str">
            <v>x</v>
          </cell>
          <cell r="AK96" t="str">
            <v>x</v>
          </cell>
          <cell r="AL96" t="str">
            <v>x</v>
          </cell>
          <cell r="AM96" t="str">
            <v>x</v>
          </cell>
          <cell r="AN96" t="str">
            <v>x</v>
          </cell>
          <cell r="AO96" t="str">
            <v>x</v>
          </cell>
          <cell r="AP96" t="str">
            <v>x</v>
          </cell>
          <cell r="AQ96" t="str">
            <v>x</v>
          </cell>
          <cell r="AR96" t="str">
            <v>x</v>
          </cell>
          <cell r="AS96" t="str">
            <v>x</v>
          </cell>
          <cell r="AT96" t="str">
            <v>x</v>
          </cell>
        </row>
        <row r="97">
          <cell r="B97">
            <v>93</v>
          </cell>
          <cell r="C97" t="str">
            <v>MPA1</v>
          </cell>
          <cell r="D97" t="str">
            <v>Gestión Soporte</v>
          </cell>
          <cell r="E97" t="str">
            <v>MPA1-P2</v>
          </cell>
          <cell r="F97" t="str">
            <v>Gestión Financiera</v>
          </cell>
          <cell r="G97" t="str">
            <v>N/A</v>
          </cell>
          <cell r="H97" t="str">
            <v>N/A</v>
          </cell>
          <cell r="I97">
            <v>0</v>
          </cell>
          <cell r="J97">
            <v>0</v>
          </cell>
          <cell r="K97" t="str">
            <v xml:space="preserve">Dirección Financiera </v>
          </cell>
          <cell r="L97" t="str">
            <v>MPA1-P2-02</v>
          </cell>
          <cell r="M97" t="str">
            <v>Porcentaje de ejecución de los compromisos presupuestales establecidos en la vigencia</v>
          </cell>
          <cell r="N97" t="str">
            <v>Medir el porcentaje de ejecución presupuestal que la Regional logra en el periodo evaluado</v>
          </cell>
          <cell r="O97" t="str">
            <v>Creciente</v>
          </cell>
          <cell r="P97" t="str">
            <v>Economía</v>
          </cell>
          <cell r="Q97" t="str">
            <v>Sin línea Base</v>
          </cell>
          <cell r="R97" t="str">
            <v>Gestión</v>
          </cell>
          <cell r="S97" t="str">
            <v>Eficiencia</v>
          </cell>
          <cell r="T97">
            <v>0.98</v>
          </cell>
          <cell r="U97" t="str">
            <v>N/A</v>
          </cell>
          <cell r="V97" t="str">
            <v>Porcentaje</v>
          </cell>
          <cell r="W97" t="str">
            <v>Si</v>
          </cell>
          <cell r="X97" t="str">
            <v>Si</v>
          </cell>
          <cell r="Y97" t="str">
            <v>No</v>
          </cell>
          <cell r="Z97" t="str">
            <v>No</v>
          </cell>
          <cell r="AA97" t="str">
            <v>No</v>
          </cell>
          <cell r="AB97" t="str">
            <v>No</v>
          </cell>
          <cell r="AC97" t="str">
            <v>Valor compromisos</v>
          </cell>
          <cell r="AD97" t="str">
            <v>Aplicativo SIIF NACION- EPG - REPORTE EJECUCION PRESUPUESTAL AGREGADA</v>
          </cell>
          <cell r="AE97" t="str">
            <v>Apropiación vigente</v>
          </cell>
          <cell r="AF97" t="str">
            <v>Aplicativo SIIF NACION- EPG - REPORTE EJECUCION PRESUPUESTAL AGREGADA</v>
          </cell>
          <cell r="AG97" t="str">
            <v>((Compromisos  /apropiación vigente de la Vigencia ))*100</v>
          </cell>
          <cell r="AH97" t="str">
            <v>Mensual</v>
          </cell>
          <cell r="AI97" t="str">
            <v>x</v>
          </cell>
          <cell r="AJ97" t="str">
            <v>x</v>
          </cell>
          <cell r="AK97" t="str">
            <v>x</v>
          </cell>
          <cell r="AL97" t="str">
            <v>x</v>
          </cell>
          <cell r="AM97" t="str">
            <v>x</v>
          </cell>
          <cell r="AN97" t="str">
            <v>x</v>
          </cell>
          <cell r="AO97" t="str">
            <v>x</v>
          </cell>
          <cell r="AP97" t="str">
            <v>x</v>
          </cell>
          <cell r="AQ97" t="str">
            <v>x</v>
          </cell>
          <cell r="AR97" t="str">
            <v>x</v>
          </cell>
          <cell r="AS97" t="str">
            <v>x</v>
          </cell>
          <cell r="AT97" t="str">
            <v>x</v>
          </cell>
        </row>
        <row r="98">
          <cell r="B98">
            <v>94</v>
          </cell>
          <cell r="C98" t="str">
            <v>MPA1</v>
          </cell>
          <cell r="D98" t="str">
            <v>Gestión Soporte</v>
          </cell>
          <cell r="E98" t="str">
            <v>MPA1-P2</v>
          </cell>
          <cell r="F98" t="str">
            <v>Gestión Financiera</v>
          </cell>
          <cell r="G98" t="str">
            <v>N/A</v>
          </cell>
          <cell r="H98" t="str">
            <v>N/A</v>
          </cell>
          <cell r="I98">
            <v>0</v>
          </cell>
          <cell r="J98">
            <v>0</v>
          </cell>
          <cell r="K98" t="str">
            <v xml:space="preserve">Dirección Financiera </v>
          </cell>
          <cell r="L98" t="str">
            <v>MPA1-P2-03</v>
          </cell>
          <cell r="M98" t="str">
            <v>Porcentaje de ejecución de las reservas presupuestales constituidas en la vigencia anterior</v>
          </cell>
          <cell r="N98" t="str">
            <v>Medir la ejecución de la reserva presupuestal constituido en la vigencia anterior.</v>
          </cell>
          <cell r="O98" t="str">
            <v>Creciente</v>
          </cell>
          <cell r="P98" t="str">
            <v>Economía</v>
          </cell>
          <cell r="Q98" t="str">
            <v>Sin línea Base</v>
          </cell>
          <cell r="R98" t="str">
            <v>Gestión</v>
          </cell>
          <cell r="S98" t="str">
            <v>Eficiencia</v>
          </cell>
          <cell r="T98">
            <v>0.95</v>
          </cell>
          <cell r="U98" t="str">
            <v>N/A</v>
          </cell>
          <cell r="V98" t="str">
            <v>Porcentaje</v>
          </cell>
          <cell r="W98" t="str">
            <v>Si</v>
          </cell>
          <cell r="X98" t="str">
            <v>Si</v>
          </cell>
          <cell r="Y98" t="str">
            <v>No</v>
          </cell>
          <cell r="Z98" t="str">
            <v>No</v>
          </cell>
          <cell r="AA98" t="str">
            <v>No</v>
          </cell>
          <cell r="AB98" t="str">
            <v>No</v>
          </cell>
          <cell r="AC98" t="str">
            <v>Valor reserva presupuestal ejecutada a la fecha de corte</v>
          </cell>
          <cell r="AD98" t="str">
            <v>Aplicativo SIIF NACION-Ministerio de Hacienda y Crédito Publico 
Reporte Dirección Financiera</v>
          </cell>
          <cell r="AE98" t="str">
            <v>Valor reserva presupuestal constituida año anterior</v>
          </cell>
          <cell r="AF98" t="str">
            <v>Aplicativo SIIF NACION-Ministerio de Hacienda y Crédito Publico 
Reporte Dirección Financiera</v>
          </cell>
          <cell r="AG98" t="str">
            <v>(Valor reserva presupuestal ejecutada a la fecha de corte / Valor total reserva presupuestal constituida año anterior)*100</v>
          </cell>
          <cell r="AH98" t="str">
            <v>Mensual</v>
          </cell>
          <cell r="AI98">
            <v>0</v>
          </cell>
          <cell r="AJ98" t="str">
            <v>x</v>
          </cell>
          <cell r="AK98" t="str">
            <v>x</v>
          </cell>
          <cell r="AL98" t="str">
            <v>x</v>
          </cell>
          <cell r="AM98" t="str">
            <v>x</v>
          </cell>
          <cell r="AN98" t="str">
            <v>x</v>
          </cell>
          <cell r="AO98" t="str">
            <v>x</v>
          </cell>
          <cell r="AP98" t="str">
            <v>x</v>
          </cell>
          <cell r="AQ98" t="str">
            <v>x</v>
          </cell>
          <cell r="AR98" t="str">
            <v>x</v>
          </cell>
          <cell r="AS98" t="str">
            <v>x</v>
          </cell>
          <cell r="AT98" t="str">
            <v>x</v>
          </cell>
        </row>
        <row r="99">
          <cell r="B99">
            <v>95</v>
          </cell>
          <cell r="C99" t="str">
            <v>MPA1</v>
          </cell>
          <cell r="D99" t="str">
            <v>Gestión Soporte</v>
          </cell>
          <cell r="E99" t="str">
            <v>MPA1-P3</v>
          </cell>
          <cell r="F99" t="str">
            <v>Gestión Control interno Disciplinario</v>
          </cell>
          <cell r="G99" t="str">
            <v>N/A</v>
          </cell>
          <cell r="H99" t="str">
            <v>N/A</v>
          </cell>
          <cell r="I99">
            <v>0</v>
          </cell>
          <cell r="J99">
            <v>0</v>
          </cell>
          <cell r="K99" t="str">
            <v>Oficina de Control Interno Disciplinario</v>
          </cell>
          <cell r="L99" t="str">
            <v>MPA1-P3-01</v>
          </cell>
          <cell r="M99" t="str">
            <v>Porcentaje de Decisiones confirmadas y recurridas</v>
          </cell>
          <cell r="N99" t="str">
            <v>Registrar el total de las decisiones confirmadas y el total de las decisiones recurridas durante la vigencia 2015</v>
          </cell>
          <cell r="O99" t="str">
            <v>Creciente</v>
          </cell>
          <cell r="P99" t="str">
            <v>Gestión</v>
          </cell>
          <cell r="Q99" t="str">
            <v>Sin línea Base</v>
          </cell>
          <cell r="R99" t="str">
            <v>Gestión</v>
          </cell>
          <cell r="S99" t="str">
            <v>Eficacia</v>
          </cell>
          <cell r="T99">
            <v>1</v>
          </cell>
          <cell r="U99" t="str">
            <v>N/A</v>
          </cell>
          <cell r="V99" t="str">
            <v>Porcentaje</v>
          </cell>
          <cell r="W99" t="str">
            <v>Si</v>
          </cell>
          <cell r="X99" t="str">
            <v>No</v>
          </cell>
          <cell r="Y99" t="str">
            <v>No</v>
          </cell>
          <cell r="Z99" t="str">
            <v>No</v>
          </cell>
          <cell r="AA99" t="str">
            <v>No</v>
          </cell>
          <cell r="AB99" t="str">
            <v>No</v>
          </cell>
          <cell r="AC99" t="str">
            <v xml:space="preserve">Total de decisiones confirmadas </v>
          </cell>
          <cell r="AD99" t="str">
            <v xml:space="preserve">Aplicativo SCAD y expedientes </v>
          </cell>
          <cell r="AE99" t="str">
            <v>Total de decisiones recurridas</v>
          </cell>
          <cell r="AF99" t="str">
            <v xml:space="preserve">Aplicativo SCAD y expedientes </v>
          </cell>
          <cell r="AG99" t="str">
            <v>Total de decisiones confirmadas/ total de decisiones recurridas</v>
          </cell>
          <cell r="AH99" t="str">
            <v>Semestral</v>
          </cell>
          <cell r="AI99">
            <v>0</v>
          </cell>
          <cell r="AJ99">
            <v>0</v>
          </cell>
          <cell r="AK99">
            <v>0</v>
          </cell>
          <cell r="AL99">
            <v>0</v>
          </cell>
          <cell r="AM99">
            <v>0</v>
          </cell>
          <cell r="AN99" t="str">
            <v>x</v>
          </cell>
          <cell r="AO99">
            <v>0</v>
          </cell>
          <cell r="AP99">
            <v>0</v>
          </cell>
          <cell r="AQ99">
            <v>0</v>
          </cell>
          <cell r="AR99">
            <v>0</v>
          </cell>
          <cell r="AS99">
            <v>0</v>
          </cell>
          <cell r="AT99" t="str">
            <v>x</v>
          </cell>
        </row>
        <row r="100">
          <cell r="B100">
            <v>96</v>
          </cell>
          <cell r="C100" t="str">
            <v>MPA1</v>
          </cell>
          <cell r="D100" t="str">
            <v>Gestión Soporte</v>
          </cell>
          <cell r="E100" t="str">
            <v>MPA1-P3</v>
          </cell>
          <cell r="F100" t="str">
            <v>Gestión Control interno Disciplinario</v>
          </cell>
          <cell r="G100" t="str">
            <v>N/A</v>
          </cell>
          <cell r="H100" t="str">
            <v>N/A</v>
          </cell>
          <cell r="I100">
            <v>0</v>
          </cell>
          <cell r="J100">
            <v>0</v>
          </cell>
          <cell r="K100" t="str">
            <v>Oficina de Control Interno Disciplinario</v>
          </cell>
          <cell r="L100" t="str">
            <v>MPA1-P3-02</v>
          </cell>
          <cell r="M100" t="str">
            <v>Porcentaje de quejas disciplinarias de la vigencia actual tramitadas .</v>
          </cell>
          <cell r="N100" t="str">
            <v xml:space="preserve">Dar tramite al 20% de las quejas recibidas durante la vigencia 2015, teniendo en cuenta que existe un rezago de quejas de las vigencias 2013 y 2014 y de acuerdo a la Ley estas quejas deben ser tramitadas en orden de llegada </v>
          </cell>
          <cell r="O100" t="str">
            <v>Creciente</v>
          </cell>
          <cell r="P100" t="str">
            <v>Gestión</v>
          </cell>
          <cell r="Q100" t="str">
            <v>Sin línea Base</v>
          </cell>
          <cell r="R100" t="str">
            <v>Gestión</v>
          </cell>
          <cell r="S100" t="str">
            <v>Eficacia</v>
          </cell>
          <cell r="T100">
            <v>0.2</v>
          </cell>
          <cell r="U100" t="str">
            <v>N/A</v>
          </cell>
          <cell r="V100" t="str">
            <v>Porcentaje</v>
          </cell>
          <cell r="W100" t="str">
            <v>Si</v>
          </cell>
          <cell r="X100" t="str">
            <v>No</v>
          </cell>
          <cell r="Y100" t="str">
            <v>No</v>
          </cell>
          <cell r="Z100" t="str">
            <v>No</v>
          </cell>
          <cell r="AA100" t="str">
            <v>No</v>
          </cell>
          <cell r="AB100" t="str">
            <v>No</v>
          </cell>
          <cell r="AC100" t="str">
            <v xml:space="preserve">Procesos IP+Procesos ID+Inhibitorios+remisión por competencia tramitados a la fecha de corte </v>
          </cell>
          <cell r="AD100" t="str">
            <v xml:space="preserve">Aplicativo SCAD y expedientes </v>
          </cell>
          <cell r="AE100" t="str">
            <v>20% del total de quejas recibidas en la vigencia 2015</v>
          </cell>
          <cell r="AF100" t="str">
            <v xml:space="preserve">Aplicativo SCAD y expedientes </v>
          </cell>
          <cell r="AG100" t="str">
            <v>Procesos IP+Procesos ID+Inhibitorios+remisión por competencia tramitados a la fecha de corte / 20% del total de quejas recibidas en la vigencia 2015</v>
          </cell>
          <cell r="AH100" t="str">
            <v>Trimestral</v>
          </cell>
          <cell r="AI100">
            <v>0</v>
          </cell>
          <cell r="AJ100">
            <v>0</v>
          </cell>
          <cell r="AK100" t="str">
            <v>x</v>
          </cell>
          <cell r="AL100">
            <v>0</v>
          </cell>
          <cell r="AM100">
            <v>0</v>
          </cell>
          <cell r="AN100" t="str">
            <v>x</v>
          </cell>
          <cell r="AO100">
            <v>0</v>
          </cell>
          <cell r="AP100">
            <v>0</v>
          </cell>
          <cell r="AQ100" t="str">
            <v>x</v>
          </cell>
          <cell r="AR100">
            <v>0</v>
          </cell>
          <cell r="AS100">
            <v>0</v>
          </cell>
          <cell r="AT100" t="str">
            <v>x</v>
          </cell>
        </row>
        <row r="101">
          <cell r="B101">
            <v>97</v>
          </cell>
          <cell r="C101" t="str">
            <v>MPA1</v>
          </cell>
          <cell r="D101" t="str">
            <v>Gestión Soporte</v>
          </cell>
          <cell r="E101" t="str">
            <v>MPA1-P3</v>
          </cell>
          <cell r="F101" t="str">
            <v>Gestión Control interno Disciplinario</v>
          </cell>
          <cell r="G101" t="str">
            <v>Gestión misional y de Gobierno</v>
          </cell>
          <cell r="H101" t="str">
            <v>Indicadores y metas de gobierno</v>
          </cell>
          <cell r="I101">
            <v>0</v>
          </cell>
          <cell r="J101">
            <v>0</v>
          </cell>
          <cell r="K101" t="str">
            <v>Oficina de Control Interno Disciplinario</v>
          </cell>
          <cell r="L101" t="str">
            <v>PA-52</v>
          </cell>
          <cell r="M101" t="str">
            <v xml:space="preserve">Porcentaje de quejas disciplinarias de vigencias anteriores tramitadas </v>
          </cell>
          <cell r="N101" t="str">
            <v>dar tramite a quejas recibidas de las vigencias iguales a anteriores al 31/12/2014</v>
          </cell>
          <cell r="O101" t="str">
            <v>Creciente</v>
          </cell>
          <cell r="P101" t="str">
            <v>Gestión</v>
          </cell>
          <cell r="Q101">
            <v>0.7</v>
          </cell>
          <cell r="R101" t="str">
            <v>Gestión</v>
          </cell>
          <cell r="S101" t="str">
            <v>Eficacia</v>
          </cell>
          <cell r="T101">
            <v>0.8</v>
          </cell>
          <cell r="U101">
            <v>0.8</v>
          </cell>
          <cell r="V101" t="str">
            <v>Porcentaje</v>
          </cell>
          <cell r="W101" t="str">
            <v>Si</v>
          </cell>
          <cell r="X101" t="str">
            <v>No</v>
          </cell>
          <cell r="Y101" t="str">
            <v>No</v>
          </cell>
          <cell r="Z101" t="str">
            <v>No</v>
          </cell>
          <cell r="AA101" t="str">
            <v>Si</v>
          </cell>
          <cell r="AB101" t="str">
            <v>Si</v>
          </cell>
          <cell r="AC101" t="str">
            <v>Procesos IP +Procesos ID + Inhibitorios + Remisiones por competencia tramitadas a la fecha de corte recibidas hasta el 31/12/2014</v>
          </cell>
          <cell r="AD101" t="str">
            <v xml:space="preserve">Aplicativo SCAD  y expedientes físicos </v>
          </cell>
          <cell r="AE101" t="str">
            <v>Total de quejas rezagadas de los años 2013 y 2014</v>
          </cell>
          <cell r="AF101" t="str">
            <v>Aplicativo SCAD  y expedientes físicos</v>
          </cell>
          <cell r="AG101" t="str">
            <v>Procesos IP +Procesos ID + Inhibitorios + Remisiones por competencia tramitadas a la fecha de corte  / Procesos IP +Procesos ID + Inhibitorios + Remisiones por competencia tramitadas a la fecha de corte recibidas hasta el 31/12/2014</v>
          </cell>
          <cell r="AH101" t="str">
            <v>Trimestral</v>
          </cell>
          <cell r="AI101">
            <v>0</v>
          </cell>
          <cell r="AJ101">
            <v>0</v>
          </cell>
          <cell r="AK101" t="str">
            <v>x</v>
          </cell>
          <cell r="AL101">
            <v>0</v>
          </cell>
          <cell r="AM101">
            <v>0</v>
          </cell>
          <cell r="AN101" t="str">
            <v>x</v>
          </cell>
          <cell r="AO101">
            <v>0</v>
          </cell>
          <cell r="AP101">
            <v>0</v>
          </cell>
          <cell r="AQ101" t="str">
            <v>x</v>
          </cell>
          <cell r="AR101">
            <v>0</v>
          </cell>
          <cell r="AS101">
            <v>0</v>
          </cell>
          <cell r="AT101" t="str">
            <v>x</v>
          </cell>
        </row>
        <row r="102">
          <cell r="B102">
            <v>98</v>
          </cell>
          <cell r="C102" t="str">
            <v>MPA1</v>
          </cell>
          <cell r="D102" t="str">
            <v>Gestión Soporte</v>
          </cell>
          <cell r="E102" t="str">
            <v>MPA1-P3</v>
          </cell>
          <cell r="F102" t="str">
            <v>Gestión Control interno Disciplinario</v>
          </cell>
          <cell r="G102" t="str">
            <v>N/A</v>
          </cell>
          <cell r="H102" t="str">
            <v>N/A</v>
          </cell>
          <cell r="I102">
            <v>0</v>
          </cell>
          <cell r="J102">
            <v>0</v>
          </cell>
          <cell r="K102" t="str">
            <v>Oficina de Control Interno Disciplinario</v>
          </cell>
          <cell r="L102" t="str">
            <v>MPA1-P3-03</v>
          </cell>
          <cell r="M102" t="str">
            <v>Porcentaje de decisiones de Fondo en los procesos disciplinarios ordinarios..</v>
          </cell>
          <cell r="N102" t="str">
            <v>Adelantar, gestionar e impulsar las actuaciones que cursan para proferir decisiones de fondo</v>
          </cell>
          <cell r="O102" t="str">
            <v>Creciente</v>
          </cell>
          <cell r="P102" t="str">
            <v>Gestión</v>
          </cell>
          <cell r="Q102">
            <v>0.65</v>
          </cell>
          <cell r="R102" t="str">
            <v>Gestión</v>
          </cell>
          <cell r="S102" t="str">
            <v>Eficacia</v>
          </cell>
          <cell r="T102">
            <v>1</v>
          </cell>
          <cell r="U102" t="str">
            <v>N/A</v>
          </cell>
          <cell r="V102" t="str">
            <v>Porcentaje</v>
          </cell>
          <cell r="W102" t="str">
            <v>Si</v>
          </cell>
          <cell r="X102" t="str">
            <v>No</v>
          </cell>
          <cell r="Y102" t="str">
            <v>No</v>
          </cell>
          <cell r="Z102" t="str">
            <v>No</v>
          </cell>
          <cell r="AA102" t="str">
            <v>No</v>
          </cell>
          <cell r="AB102" t="str">
            <v>No</v>
          </cell>
          <cell r="AC102" t="str">
            <v>Sumatoria de las decisiones de fondo (Archivos + ID + Cargos + Fallos)</v>
          </cell>
          <cell r="AD102" t="str">
            <v>Aplicativo (SCAD) y Expedientes</v>
          </cell>
          <cell r="AE102" t="str">
            <v>1000 decisiones de fondo. (este será fijo)</v>
          </cell>
          <cell r="AF102" t="str">
            <v>Aplicativo (SCAD) y Expedientes</v>
          </cell>
          <cell r="AG102" t="str">
            <v>((Sumatoria de las decisiones de fondo ( Archivos + ID + Cargos + Fallos) / 1000 decisiones de fondo. (este será fijo)</v>
          </cell>
          <cell r="AH102" t="str">
            <v>Trimestral</v>
          </cell>
          <cell r="AI102">
            <v>0</v>
          </cell>
          <cell r="AJ102">
            <v>0</v>
          </cell>
          <cell r="AK102" t="str">
            <v>x</v>
          </cell>
          <cell r="AL102">
            <v>0</v>
          </cell>
          <cell r="AM102">
            <v>0</v>
          </cell>
          <cell r="AN102" t="str">
            <v>x</v>
          </cell>
          <cell r="AO102">
            <v>0</v>
          </cell>
          <cell r="AP102">
            <v>0</v>
          </cell>
          <cell r="AQ102" t="str">
            <v>x</v>
          </cell>
          <cell r="AR102">
            <v>0</v>
          </cell>
          <cell r="AS102">
            <v>0</v>
          </cell>
          <cell r="AT102" t="str">
            <v>x</v>
          </cell>
        </row>
        <row r="103">
          <cell r="B103">
            <v>99</v>
          </cell>
          <cell r="C103" t="str">
            <v>MPA1</v>
          </cell>
          <cell r="D103" t="str">
            <v>Gestión Soporte</v>
          </cell>
          <cell r="E103" t="str">
            <v>MPA1-P3</v>
          </cell>
          <cell r="F103" t="str">
            <v>Gestión Control interno Disciplinario</v>
          </cell>
          <cell r="G103" t="str">
            <v>N/A</v>
          </cell>
          <cell r="H103" t="str">
            <v>N/A</v>
          </cell>
          <cell r="I103">
            <v>0</v>
          </cell>
          <cell r="J103">
            <v>0</v>
          </cell>
          <cell r="K103" t="str">
            <v>Oficina de Control Interno Disciplinario</v>
          </cell>
          <cell r="L103" t="str">
            <v>MPA1-P3-04</v>
          </cell>
          <cell r="M103" t="str">
            <v>Porcentaje de decisiones de Fondo en los procesos disciplinarios verbales adelantados</v>
          </cell>
          <cell r="N103" t="str">
            <v>Evacuar la totalidad de los procesos verbales iniciados con auto de citación a audiencia</v>
          </cell>
          <cell r="O103" t="str">
            <v>Creciente</v>
          </cell>
          <cell r="P103" t="str">
            <v>Gestión</v>
          </cell>
          <cell r="Q103">
            <v>1</v>
          </cell>
          <cell r="R103" t="str">
            <v>Gestión</v>
          </cell>
          <cell r="S103" t="str">
            <v>Eficacia</v>
          </cell>
          <cell r="T103">
            <v>1</v>
          </cell>
          <cell r="U103" t="str">
            <v>N/A</v>
          </cell>
          <cell r="V103" t="str">
            <v>Porcentaje</v>
          </cell>
          <cell r="W103" t="str">
            <v>Si</v>
          </cell>
          <cell r="X103" t="str">
            <v>No</v>
          </cell>
          <cell r="Y103" t="str">
            <v>No</v>
          </cell>
          <cell r="Z103" t="str">
            <v>No</v>
          </cell>
          <cell r="AA103" t="str">
            <v>No</v>
          </cell>
          <cell r="AB103" t="str">
            <v>No</v>
          </cell>
          <cell r="AC103" t="str">
            <v>Citaciones a Audiencias falladas</v>
          </cell>
          <cell r="AD103" t="str">
            <v>Aplicativo (SCAD) y Expedientes</v>
          </cell>
          <cell r="AE103" t="str">
            <v>Total de procesos verbales iniciados (8 citaciones a audiencia)</v>
          </cell>
          <cell r="AF103" t="str">
            <v>Aplicativo (SCAD) y Expedientes</v>
          </cell>
          <cell r="AG103" t="str">
            <v>Numero de procesos disciplinarios verbales con fallo /meta proyectada (8 citaciones a audiencia)</v>
          </cell>
          <cell r="AH103" t="str">
            <v>Semestral</v>
          </cell>
          <cell r="AI103">
            <v>0</v>
          </cell>
          <cell r="AJ103">
            <v>0</v>
          </cell>
          <cell r="AK103">
            <v>0</v>
          </cell>
          <cell r="AL103">
            <v>0</v>
          </cell>
          <cell r="AM103">
            <v>0</v>
          </cell>
          <cell r="AN103" t="str">
            <v>x</v>
          </cell>
          <cell r="AO103">
            <v>0</v>
          </cell>
          <cell r="AP103">
            <v>0</v>
          </cell>
          <cell r="AQ103">
            <v>0</v>
          </cell>
          <cell r="AR103">
            <v>0</v>
          </cell>
          <cell r="AS103">
            <v>0</v>
          </cell>
          <cell r="AT103" t="str">
            <v>x</v>
          </cell>
        </row>
        <row r="104">
          <cell r="B104">
            <v>100</v>
          </cell>
          <cell r="C104" t="str">
            <v>MPA1</v>
          </cell>
          <cell r="D104" t="str">
            <v>Gestión Soporte</v>
          </cell>
          <cell r="E104" t="str">
            <v>MPA1-P4</v>
          </cell>
          <cell r="F104" t="str">
            <v>Gestión Abastecimiento</v>
          </cell>
          <cell r="G104" t="str">
            <v>Gestión misional y de Gobierno</v>
          </cell>
          <cell r="H104" t="str">
            <v>Indicadores y metas de gobierno</v>
          </cell>
          <cell r="I104">
            <v>0</v>
          </cell>
          <cell r="J104">
            <v>0</v>
          </cell>
          <cell r="K104" t="str">
            <v>Dirección de Abastecimiento</v>
          </cell>
          <cell r="L104" t="str">
            <v>PA-53</v>
          </cell>
          <cell r="M104" t="str">
            <v>Número de Regionales que implementan la Estrategia de Compras Locales y Compras Eficientes</v>
          </cell>
          <cell r="N104" t="str">
            <v xml:space="preserve"> Identificar las Regionales donde se implementa la Estrategia de Compras Locales y Compras Eficientes </v>
          </cell>
          <cell r="O104" t="str">
            <v>Creciente</v>
          </cell>
          <cell r="P104" t="str">
            <v>Gestión</v>
          </cell>
          <cell r="Q104" t="str">
            <v>3 regionales</v>
          </cell>
          <cell r="R104" t="str">
            <v>Resultado</v>
          </cell>
          <cell r="S104" t="str">
            <v>Eficacia</v>
          </cell>
          <cell r="T104" t="str">
            <v>8 Regionales</v>
          </cell>
          <cell r="U104" t="str">
            <v>26 Regionales</v>
          </cell>
          <cell r="V104" t="str">
            <v>Número</v>
          </cell>
          <cell r="W104" t="str">
            <v>Si</v>
          </cell>
          <cell r="X104" t="str">
            <v>No</v>
          </cell>
          <cell r="Y104" t="str">
            <v>No</v>
          </cell>
          <cell r="Z104" t="str">
            <v>No</v>
          </cell>
          <cell r="AA104" t="str">
            <v>Si</v>
          </cell>
          <cell r="AB104" t="str">
            <v>Si</v>
          </cell>
          <cell r="AC104" t="str">
            <v>Número de Regionales que implementan la Estrategia de Compras Locales y Compras Eficientes</v>
          </cell>
          <cell r="AD104" t="str">
            <v>Cantidad de Regionales con información y soportes de la implementación de la Estrategia de Compras Locales y Compras Eficientes</v>
          </cell>
          <cell r="AE104" t="str">
            <v>N/A</v>
          </cell>
          <cell r="AF104" t="str">
            <v>N/A</v>
          </cell>
          <cell r="AG104" t="str">
            <v>Número de Regionales  ICBF que implementan la Estrategia de Compras Locales y Compras Eficientes / Total de Regionales ICBF</v>
          </cell>
          <cell r="AH104" t="str">
            <v>Bimensual</v>
          </cell>
          <cell r="AI104">
            <v>0</v>
          </cell>
          <cell r="AJ104" t="str">
            <v>x</v>
          </cell>
          <cell r="AK104">
            <v>0</v>
          </cell>
          <cell r="AL104" t="str">
            <v>x</v>
          </cell>
          <cell r="AM104">
            <v>0</v>
          </cell>
          <cell r="AN104" t="str">
            <v>x</v>
          </cell>
          <cell r="AO104">
            <v>0</v>
          </cell>
          <cell r="AP104" t="str">
            <v>x</v>
          </cell>
          <cell r="AQ104">
            <v>0</v>
          </cell>
          <cell r="AR104" t="str">
            <v>x</v>
          </cell>
          <cell r="AS104">
            <v>0</v>
          </cell>
          <cell r="AT104" t="str">
            <v>x</v>
          </cell>
        </row>
        <row r="105">
          <cell r="B105">
            <v>101</v>
          </cell>
          <cell r="C105" t="str">
            <v>MPA1</v>
          </cell>
          <cell r="D105" t="str">
            <v>Gestión Soporte</v>
          </cell>
          <cell r="E105" t="str">
            <v>MPA1-P4</v>
          </cell>
          <cell r="F105" t="str">
            <v>Gestión Abastecimiento</v>
          </cell>
          <cell r="G105" t="str">
            <v>Gestión misional y de Gobierno</v>
          </cell>
          <cell r="H105" t="str">
            <v>Indicadores y metas de gobierno</v>
          </cell>
          <cell r="I105">
            <v>0</v>
          </cell>
          <cell r="J105">
            <v>0</v>
          </cell>
          <cell r="K105" t="str">
            <v>Dirección de Abastecimiento</v>
          </cell>
          <cell r="L105" t="str">
            <v>PA-54</v>
          </cell>
          <cell r="M105" t="str">
            <v>Número de modalidades de atención del ICBF que cuentan con modelos de costos.</v>
          </cell>
          <cell r="N105" t="str">
            <v>Determinar la cantidad de modalidades de atención del ICBF que cuentan con modelos de costos.</v>
          </cell>
          <cell r="O105" t="str">
            <v>Creciente</v>
          </cell>
          <cell r="P105" t="str">
            <v>Gestión</v>
          </cell>
          <cell r="Q105">
            <v>65</v>
          </cell>
          <cell r="R105" t="str">
            <v>Gestión</v>
          </cell>
          <cell r="S105" t="str">
            <v>Eficiencia</v>
          </cell>
          <cell r="T105">
            <v>70</v>
          </cell>
          <cell r="U105">
            <v>109</v>
          </cell>
          <cell r="V105" t="str">
            <v>Número</v>
          </cell>
          <cell r="W105" t="str">
            <v>Si</v>
          </cell>
          <cell r="X105" t="str">
            <v>No</v>
          </cell>
          <cell r="Y105" t="str">
            <v>No</v>
          </cell>
          <cell r="Z105" t="str">
            <v>No</v>
          </cell>
          <cell r="AA105" t="str">
            <v>Si</v>
          </cell>
          <cell r="AB105" t="str">
            <v>Si</v>
          </cell>
          <cell r="AC105" t="str">
            <v>Número de modalidades de atención del ICBF cuya información para la elaboración del modelo de costos ha sido entregada por parte de la respectiva dirección misional a la Dirección de Abastecimiento y que cuentan con modelos de costos elaborado.</v>
          </cell>
          <cell r="AD105" t="str">
            <v>Matriz de seguimiento de Estudios de Sector y Costos</v>
          </cell>
          <cell r="AE105" t="str">
            <v>N/A</v>
          </cell>
          <cell r="AF105" t="str">
            <v>N/A</v>
          </cell>
          <cell r="AG105" t="str">
            <v>Número de modelos de costos de modalidades atención elaborados, de acuerdo con las solicitudes realizadas por las direcciones misionales.</v>
          </cell>
          <cell r="AH105" t="str">
            <v>Trimestral</v>
          </cell>
          <cell r="AI105">
            <v>0</v>
          </cell>
          <cell r="AJ105">
            <v>0</v>
          </cell>
          <cell r="AK105" t="str">
            <v>x</v>
          </cell>
          <cell r="AL105">
            <v>0</v>
          </cell>
          <cell r="AM105">
            <v>0</v>
          </cell>
          <cell r="AN105" t="str">
            <v>x</v>
          </cell>
          <cell r="AO105">
            <v>0</v>
          </cell>
          <cell r="AP105">
            <v>0</v>
          </cell>
          <cell r="AQ105" t="str">
            <v>x</v>
          </cell>
          <cell r="AR105">
            <v>0</v>
          </cell>
          <cell r="AS105">
            <v>0</v>
          </cell>
          <cell r="AT105" t="str">
            <v>x</v>
          </cell>
        </row>
        <row r="106">
          <cell r="B106">
            <v>102</v>
          </cell>
          <cell r="C106" t="str">
            <v>MPA1</v>
          </cell>
          <cell r="D106" t="str">
            <v>Gestión Soporte</v>
          </cell>
          <cell r="E106" t="str">
            <v>MPA1-P4</v>
          </cell>
          <cell r="F106" t="str">
            <v>Gestión Abastecimiento</v>
          </cell>
          <cell r="G106" t="str">
            <v>N/A</v>
          </cell>
          <cell r="H106" t="str">
            <v>N/A</v>
          </cell>
          <cell r="I106">
            <v>0</v>
          </cell>
          <cell r="J106">
            <v>0</v>
          </cell>
          <cell r="K106" t="str">
            <v>Dirección de Abastecimiento</v>
          </cell>
          <cell r="L106" t="str">
            <v>MPA1-P4-01</v>
          </cell>
          <cell r="M106" t="str">
            <v>Nivel de satisfacción frente al desarrollo del evento</v>
          </cell>
          <cell r="N106" t="str">
            <v>Medir el nivel de satisfacción del área solicitante del evento, por medio de un encuesta</v>
          </cell>
          <cell r="O106" t="str">
            <v>Estático</v>
          </cell>
          <cell r="P106" t="str">
            <v>Resultado</v>
          </cell>
          <cell r="Q106" t="str">
            <v>N/A</v>
          </cell>
          <cell r="R106" t="str">
            <v xml:space="preserve">Gestión </v>
          </cell>
          <cell r="S106" t="str">
            <v>Eficiencia</v>
          </cell>
          <cell r="T106">
            <v>0.95</v>
          </cell>
          <cell r="U106" t="str">
            <v>N/A</v>
          </cell>
          <cell r="V106" t="str">
            <v>Porcentaje</v>
          </cell>
          <cell r="W106" t="str">
            <v>Si</v>
          </cell>
          <cell r="X106" t="str">
            <v>No</v>
          </cell>
          <cell r="Y106" t="str">
            <v>No</v>
          </cell>
          <cell r="Z106" t="str">
            <v>No</v>
          </cell>
          <cell r="AA106" t="str">
            <v>No</v>
          </cell>
          <cell r="AB106" t="str">
            <v>No</v>
          </cell>
          <cell r="AC106" t="str">
            <v>Sumatoria de la ponderación de los resultados de las encuestas realizadas en el mes</v>
          </cell>
          <cell r="AD106" t="str">
            <v>Formato F4.PR3.MPA1.P4  Seguimiento de eventos v1</v>
          </cell>
          <cell r="AE106" t="str">
            <v>N/A</v>
          </cell>
          <cell r="AF106" t="str">
            <v>N/A</v>
          </cell>
          <cell r="AG106" t="str">
            <v xml:space="preserve">Se evalúan 5 criterios para medir el nivel de satisfacción del evento: 
1. Apoyo grupo de eventos
2. Espacios físicos
3. Equipos y material de apoyo 
4. Alimentación 
5. Apoyo del operador logístico 
Estos criterios se ponderan con el 20% de peso para cada uno; la sumatoria de estos resultados en el mes, corresponde al nivel de satisfacción. </v>
          </cell>
          <cell r="AH106" t="str">
            <v>Mensual</v>
          </cell>
          <cell r="AI106">
            <v>0</v>
          </cell>
          <cell r="AJ106">
            <v>0</v>
          </cell>
          <cell r="AK106">
            <v>0</v>
          </cell>
          <cell r="AL106" t="str">
            <v>x</v>
          </cell>
          <cell r="AM106" t="str">
            <v>x</v>
          </cell>
          <cell r="AN106" t="str">
            <v>x</v>
          </cell>
          <cell r="AO106" t="str">
            <v>x</v>
          </cell>
          <cell r="AP106" t="str">
            <v>x</v>
          </cell>
          <cell r="AQ106" t="str">
            <v>x</v>
          </cell>
          <cell r="AR106" t="str">
            <v>x</v>
          </cell>
          <cell r="AS106" t="str">
            <v>x</v>
          </cell>
          <cell r="AT106" t="str">
            <v>x</v>
          </cell>
        </row>
        <row r="107">
          <cell r="B107">
            <v>103</v>
          </cell>
          <cell r="C107" t="str">
            <v>MPA1</v>
          </cell>
          <cell r="D107" t="str">
            <v>Gestión Soporte</v>
          </cell>
          <cell r="E107" t="str">
            <v>MPA1-P4</v>
          </cell>
          <cell r="F107" t="str">
            <v>Gestión Abastecimiento</v>
          </cell>
          <cell r="G107" t="str">
            <v>N/A</v>
          </cell>
          <cell r="H107" t="str">
            <v>N/A</v>
          </cell>
          <cell r="I107">
            <v>0</v>
          </cell>
          <cell r="J107">
            <v>0</v>
          </cell>
          <cell r="K107" t="str">
            <v>Dirección de Abastecimiento</v>
          </cell>
          <cell r="L107" t="str">
            <v>MPA1-P4-02</v>
          </cell>
          <cell r="M107" t="str">
            <v>Porcentaje de estudios de sector y costos entregados oportunamente a las áreas solicitantes.</v>
          </cell>
          <cell r="N107" t="str">
            <v>Determinar si los estudios de sector y costos solicitados por las diferentes áreas de la Sede de la Dirección General,  son entregados oportunamente, de acuerdo con su complejidad.</v>
          </cell>
          <cell r="O107" t="str">
            <v>Estático</v>
          </cell>
          <cell r="P107" t="str">
            <v>Gestión</v>
          </cell>
          <cell r="Q107">
            <v>0</v>
          </cell>
          <cell r="R107" t="str">
            <v>Resultado</v>
          </cell>
          <cell r="S107" t="str">
            <v>Eficacia</v>
          </cell>
          <cell r="T107">
            <v>1</v>
          </cell>
          <cell r="U107" t="str">
            <v>N/A</v>
          </cell>
          <cell r="V107" t="str">
            <v>Porcentaje</v>
          </cell>
          <cell r="W107" t="str">
            <v>Si</v>
          </cell>
          <cell r="X107" t="str">
            <v>No</v>
          </cell>
          <cell r="Y107" t="str">
            <v>No</v>
          </cell>
          <cell r="Z107" t="str">
            <v>No</v>
          </cell>
          <cell r="AA107" t="str">
            <v>No</v>
          </cell>
          <cell r="AB107" t="str">
            <v>No</v>
          </cell>
          <cell r="AC107" t="str">
            <v>Número de estudios de sector y costos entregados a tiempo, de acuerdo con su complejidad, durante el mes</v>
          </cell>
          <cell r="AD107" t="str">
            <v>Matriz de seguimiento de Estudios de Sector y Costos</v>
          </cell>
          <cell r="AE107" t="str">
            <v>Número de estudios de sector y costos entregados en el mes</v>
          </cell>
          <cell r="AF107" t="str">
            <v>Matriz de seguimiento de Estudios de Sector y Costos</v>
          </cell>
          <cell r="AG107" t="str">
            <v>Número de estudios de sector y costos entregados a tiempo, de acuerdo con su complejidad, durante el mes X 100
Número de estudios de sector y costos entregados en el mes</v>
          </cell>
          <cell r="AH107" t="str">
            <v>Mensual</v>
          </cell>
          <cell r="AI107" t="str">
            <v>x</v>
          </cell>
          <cell r="AJ107" t="str">
            <v>x</v>
          </cell>
          <cell r="AK107" t="str">
            <v>x</v>
          </cell>
          <cell r="AL107" t="str">
            <v>x</v>
          </cell>
          <cell r="AM107" t="str">
            <v>x</v>
          </cell>
          <cell r="AN107" t="str">
            <v>x</v>
          </cell>
          <cell r="AO107" t="str">
            <v>x</v>
          </cell>
          <cell r="AP107" t="str">
            <v>x</v>
          </cell>
          <cell r="AQ107" t="str">
            <v>x</v>
          </cell>
          <cell r="AR107" t="str">
            <v>x</v>
          </cell>
          <cell r="AS107" t="str">
            <v>x</v>
          </cell>
          <cell r="AT107" t="str">
            <v>x</v>
          </cell>
        </row>
        <row r="108">
          <cell r="B108">
            <v>104</v>
          </cell>
          <cell r="C108" t="str">
            <v>MPA1</v>
          </cell>
          <cell r="D108" t="str">
            <v>Gestión Soporte</v>
          </cell>
          <cell r="E108" t="str">
            <v>MPA1-P4</v>
          </cell>
          <cell r="F108" t="str">
            <v>Gestión Abastecimiento</v>
          </cell>
          <cell r="G108" t="str">
            <v>N/A</v>
          </cell>
          <cell r="H108" t="str">
            <v>N/A</v>
          </cell>
          <cell r="I108">
            <v>0</v>
          </cell>
          <cell r="J108">
            <v>0</v>
          </cell>
          <cell r="K108" t="str">
            <v>Dirección de Abastecimiento</v>
          </cell>
          <cell r="L108" t="str">
            <v>MPA1-P4-03</v>
          </cell>
          <cell r="M108" t="str">
            <v>Porcentaje del valor de los bienes y servicios programados a adquirir.</v>
          </cell>
          <cell r="N108" t="str">
            <v>Realizar el seguimiento a los recursos programados en el Plan Anual de Adquisidores,  frente a la asignación presupuestal de las Regionales y áreas de la Sede de la Dirección General.</v>
          </cell>
          <cell r="O108" t="str">
            <v>Creciente</v>
          </cell>
          <cell r="P108" t="str">
            <v>Gestión</v>
          </cell>
          <cell r="Q108">
            <v>0</v>
          </cell>
          <cell r="R108" t="str">
            <v>Gestión</v>
          </cell>
          <cell r="S108" t="str">
            <v>Eficiencia</v>
          </cell>
          <cell r="T108">
            <v>0.98</v>
          </cell>
          <cell r="U108" t="str">
            <v>N/A</v>
          </cell>
          <cell r="V108" t="str">
            <v>Porcentaje</v>
          </cell>
          <cell r="W108" t="str">
            <v>Si</v>
          </cell>
          <cell r="X108" t="str">
            <v>Si</v>
          </cell>
          <cell r="Y108" t="str">
            <v>No</v>
          </cell>
          <cell r="Z108" t="str">
            <v>No</v>
          </cell>
          <cell r="AA108" t="str">
            <v>No</v>
          </cell>
          <cell r="AB108" t="str">
            <v>No</v>
          </cell>
          <cell r="AC108" t="str">
            <v>Recursos programados en el Plan Anual de Adquisiciones</v>
          </cell>
          <cell r="AD108" t="str">
            <v>Módulo de reportes - Sistema PACCO</v>
          </cell>
          <cell r="AE108" t="str">
            <v>Recursos asignados a las Regionales y áreas de la Sede de la Dirección General, programables en el sistema PACCO</v>
          </cell>
          <cell r="AF108" t="str">
            <v>Módulo de reportes - Sistema PACCO</v>
          </cell>
          <cell r="AG108" t="str">
            <v xml:space="preserve">          Recursos programados por el ICBF en el Plan Anual de Adquisiciones  X 100
Recursos asignados a las Regionales 
y áreas de la Sede de la Dirección General
programables en PACCO</v>
          </cell>
          <cell r="AH108" t="str">
            <v>Mensual</v>
          </cell>
          <cell r="AI108">
            <v>0</v>
          </cell>
          <cell r="AJ108">
            <v>0</v>
          </cell>
          <cell r="AK108" t="str">
            <v>X</v>
          </cell>
          <cell r="AL108" t="str">
            <v>X</v>
          </cell>
          <cell r="AM108" t="str">
            <v>X</v>
          </cell>
          <cell r="AN108" t="str">
            <v>X</v>
          </cell>
          <cell r="AO108" t="str">
            <v>X</v>
          </cell>
          <cell r="AP108" t="str">
            <v>X</v>
          </cell>
          <cell r="AQ108" t="str">
            <v>X</v>
          </cell>
          <cell r="AR108" t="str">
            <v>X</v>
          </cell>
          <cell r="AS108" t="str">
            <v>X</v>
          </cell>
          <cell r="AT108" t="str">
            <v>X</v>
          </cell>
        </row>
        <row r="109">
          <cell r="B109">
            <v>105</v>
          </cell>
          <cell r="C109" t="str">
            <v>MPA1</v>
          </cell>
          <cell r="D109" t="str">
            <v>Gestión Soporte</v>
          </cell>
          <cell r="E109" t="str">
            <v>MPA1-P4</v>
          </cell>
          <cell r="F109" t="str">
            <v>Gestión Abastecimiento</v>
          </cell>
          <cell r="G109" t="str">
            <v>N/A</v>
          </cell>
          <cell r="H109" t="str">
            <v>N/A</v>
          </cell>
          <cell r="I109">
            <v>0</v>
          </cell>
          <cell r="J109">
            <v>0</v>
          </cell>
          <cell r="K109" t="str">
            <v>Dirección de Abastecimiento</v>
          </cell>
          <cell r="L109" t="str">
            <v>MPA1-P4-04</v>
          </cell>
          <cell r="M109" t="str">
            <v>Porcentaje del valor de los bienes y servicios contratados por el ICBF.</v>
          </cell>
          <cell r="N109" t="str">
            <v>Realizar el seguimiento a los recursos contratados  en el ICBF, reportados en el sistema PACCO,  frente a la programación en el Plan Anual de Adquisiciones.</v>
          </cell>
          <cell r="O109" t="str">
            <v>Creciente</v>
          </cell>
          <cell r="P109" t="str">
            <v>Gestión</v>
          </cell>
          <cell r="Q109">
            <v>0</v>
          </cell>
          <cell r="R109" t="str">
            <v>Gestión</v>
          </cell>
          <cell r="S109" t="str">
            <v>Eficiencia</v>
          </cell>
          <cell r="T109">
            <v>0.98</v>
          </cell>
          <cell r="U109" t="str">
            <v>N/A</v>
          </cell>
          <cell r="V109" t="str">
            <v>Porcentaje</v>
          </cell>
          <cell r="W109" t="str">
            <v>Si</v>
          </cell>
          <cell r="X109" t="str">
            <v>Si</v>
          </cell>
          <cell r="Y109" t="str">
            <v>Si</v>
          </cell>
          <cell r="Z109" t="str">
            <v>No</v>
          </cell>
          <cell r="AA109" t="str">
            <v>No</v>
          </cell>
          <cell r="AB109" t="str">
            <v>No</v>
          </cell>
          <cell r="AC109" t="str">
            <v>Recursos contratados y reportados en el Plan Anual de Adquisiciones</v>
          </cell>
          <cell r="AD109" t="str">
            <v>Módulo de reportes - Sistema PACCO</v>
          </cell>
          <cell r="AE109" t="str">
            <v>Recursos programados en el Plan Anual de Adquisiciones</v>
          </cell>
          <cell r="AF109" t="str">
            <v>Módulo de reportes - Sistema PACCO</v>
          </cell>
          <cell r="AG109" t="str">
            <v xml:space="preserve">           Recursos contratados y reportados en el Plan Anual de Adquisiciones X 100
Recursos programados en el Plan Anual de Adquisiciones</v>
          </cell>
          <cell r="AH109" t="str">
            <v>Mensual</v>
          </cell>
          <cell r="AI109">
            <v>0</v>
          </cell>
          <cell r="AJ109">
            <v>0</v>
          </cell>
          <cell r="AK109" t="str">
            <v>X</v>
          </cell>
          <cell r="AL109" t="str">
            <v>X</v>
          </cell>
          <cell r="AM109" t="str">
            <v>X</v>
          </cell>
          <cell r="AN109" t="str">
            <v>X</v>
          </cell>
          <cell r="AO109" t="str">
            <v>X</v>
          </cell>
          <cell r="AP109" t="str">
            <v>X</v>
          </cell>
          <cell r="AQ109" t="str">
            <v>X</v>
          </cell>
          <cell r="AR109" t="str">
            <v>X</v>
          </cell>
          <cell r="AS109" t="str">
            <v>X</v>
          </cell>
          <cell r="AT109" t="str">
            <v>X</v>
          </cell>
        </row>
        <row r="110">
          <cell r="B110">
            <v>106</v>
          </cell>
          <cell r="C110" t="str">
            <v>MPA1</v>
          </cell>
          <cell r="D110" t="str">
            <v>Gestión Soporte</v>
          </cell>
          <cell r="E110" t="str">
            <v>MPA1-P4</v>
          </cell>
          <cell r="F110" t="str">
            <v>Gestión Abastecimiento</v>
          </cell>
          <cell r="G110" t="str">
            <v>Gestión Financiera</v>
          </cell>
          <cell r="H110" t="str">
            <v>Plan Anual de Adquisiciones (PAA)</v>
          </cell>
          <cell r="I110">
            <v>0</v>
          </cell>
          <cell r="J110">
            <v>0</v>
          </cell>
          <cell r="K110" t="str">
            <v>Dirección de Abastecimiento</v>
          </cell>
          <cell r="L110" t="str">
            <v>PA-55</v>
          </cell>
          <cell r="M110" t="str">
            <v>Porcentaje de los recursos  contratados, reportados en el Plan Anual de Adquisiciones</v>
          </cell>
          <cell r="N110" t="str">
            <v>Realizar el seguimiento a los recursos contratados y reportados en el sistema PACCO, frente a los recursos contratos por el ICBF y con registro financiero.</v>
          </cell>
          <cell r="O110" t="str">
            <v>Creciente</v>
          </cell>
          <cell r="P110" t="str">
            <v>Gestión</v>
          </cell>
          <cell r="Q110">
            <v>0</v>
          </cell>
          <cell r="R110" t="str">
            <v>Gestión</v>
          </cell>
          <cell r="S110" t="str">
            <v>Eficiencia</v>
          </cell>
          <cell r="T110">
            <v>1</v>
          </cell>
          <cell r="U110" t="str">
            <v>N/A</v>
          </cell>
          <cell r="V110" t="str">
            <v>Porcentaje</v>
          </cell>
          <cell r="W110" t="str">
            <v>Si</v>
          </cell>
          <cell r="X110" t="str">
            <v>Si</v>
          </cell>
          <cell r="Y110" t="str">
            <v>No</v>
          </cell>
          <cell r="Z110" t="str">
            <v>No</v>
          </cell>
          <cell r="AA110" t="str">
            <v>No</v>
          </cell>
          <cell r="AB110" t="str">
            <v>Si</v>
          </cell>
          <cell r="AC110" t="str">
            <v>Total recursos contratados y reportados en el Plan Anual de Adquisiciones</v>
          </cell>
          <cell r="AD110" t="str">
            <v>Módulo de reportes PACCO - Contratos registrados en el sistema</v>
          </cell>
          <cell r="AE110" t="str">
            <v xml:space="preserve">Total recursos contratados por el ICBF con registro presupuestal en financiera </v>
          </cell>
          <cell r="AF110" t="str">
            <v>Reporte de la Dirección de Información y Tecnología</v>
          </cell>
          <cell r="AG110" t="str">
            <v xml:space="preserve">Total recursos contratados y reportados en el Plan Anual de Adquisiciones X 100
Total recursos contratados por el ICBF con registro 
presupuestal en financiera </v>
          </cell>
          <cell r="AH110" t="str">
            <v>Mensual</v>
          </cell>
          <cell r="AI110">
            <v>0</v>
          </cell>
          <cell r="AJ110">
            <v>0</v>
          </cell>
          <cell r="AK110" t="str">
            <v>X</v>
          </cell>
          <cell r="AL110" t="str">
            <v>X</v>
          </cell>
          <cell r="AM110" t="str">
            <v>X</v>
          </cell>
          <cell r="AN110" t="str">
            <v>X</v>
          </cell>
          <cell r="AO110" t="str">
            <v>X</v>
          </cell>
          <cell r="AP110" t="str">
            <v>X</v>
          </cell>
          <cell r="AQ110" t="str">
            <v>X</v>
          </cell>
          <cell r="AR110" t="str">
            <v>X</v>
          </cell>
          <cell r="AS110" t="str">
            <v>X</v>
          </cell>
          <cell r="AT110" t="str">
            <v>X</v>
          </cell>
        </row>
        <row r="111">
          <cell r="B111">
            <v>107</v>
          </cell>
          <cell r="C111" t="str">
            <v>MPA1</v>
          </cell>
          <cell r="D111" t="str">
            <v>Gestión Soporte</v>
          </cell>
          <cell r="E111" t="str">
            <v>MPA1-P4</v>
          </cell>
          <cell r="F111" t="str">
            <v>Gestión Abastecimiento</v>
          </cell>
          <cell r="G111" t="str">
            <v>N/A</v>
          </cell>
          <cell r="H111" t="str">
            <v>N/A</v>
          </cell>
          <cell r="I111">
            <v>0</v>
          </cell>
          <cell r="J111">
            <v>0</v>
          </cell>
          <cell r="K111" t="str">
            <v>Dirección de Abastecimiento</v>
          </cell>
          <cell r="L111" t="str">
            <v>MPA1-P4-05</v>
          </cell>
          <cell r="M111" t="str">
            <v>Porcentaje de los recursos  ejecutados - asignados por el ICBF, programables en el sistema PACCO</v>
          </cell>
          <cell r="N111" t="str">
            <v>Realizar el seguimiento a los recursos ejecutados  por el ICBF reportados en el Plan Anual de Adquisiciones,  frente a la asignación presupuestal de las Regionales y áreas de la Sede de la Dirección General, programables en el sistema PACCO.</v>
          </cell>
          <cell r="O111" t="str">
            <v>Creciente</v>
          </cell>
          <cell r="P111" t="str">
            <v>Gestión</v>
          </cell>
          <cell r="Q111">
            <v>0</v>
          </cell>
          <cell r="R111" t="str">
            <v>Gestión</v>
          </cell>
          <cell r="S111" t="str">
            <v>Eficiencia</v>
          </cell>
          <cell r="T111">
            <v>0.96</v>
          </cell>
          <cell r="U111" t="str">
            <v>N/A</v>
          </cell>
          <cell r="V111" t="str">
            <v>Porcentaje</v>
          </cell>
          <cell r="W111" t="str">
            <v>Si</v>
          </cell>
          <cell r="X111" t="str">
            <v>Si</v>
          </cell>
          <cell r="Y111" t="str">
            <v>No</v>
          </cell>
          <cell r="Z111" t="str">
            <v>No</v>
          </cell>
          <cell r="AA111" t="str">
            <v>No</v>
          </cell>
          <cell r="AB111" t="str">
            <v>No</v>
          </cell>
          <cell r="AC111" t="str">
            <v xml:space="preserve">Recursos ejecutados por el ICBF reportados en el Plan Anual de Adquisiciones </v>
          </cell>
          <cell r="AD111" t="str">
            <v>Módulo de reportes - Sistema PACCO</v>
          </cell>
          <cell r="AE111" t="str">
            <v>Recursos asignados a las Regionales
y áreas de la Sede de la Dirección General, 
programables en el sistema PACCO</v>
          </cell>
          <cell r="AF111" t="str">
            <v>Módulo de reportes - Sistema PACCO</v>
          </cell>
          <cell r="AG111" t="str">
            <v>Recursos ejecutados por el ICBF reportados en el Plan Anual de Adquisiciones X 100
Recursos asignados a las Regionales
y áreas de la Sede de la Dirección General, 
programables en el sistema PACCO</v>
          </cell>
          <cell r="AH111" t="str">
            <v>Mensual</v>
          </cell>
          <cell r="AI111">
            <v>0</v>
          </cell>
          <cell r="AJ111">
            <v>0</v>
          </cell>
          <cell r="AK111" t="str">
            <v>X</v>
          </cell>
          <cell r="AL111" t="str">
            <v>X</v>
          </cell>
          <cell r="AM111" t="str">
            <v>X</v>
          </cell>
          <cell r="AN111" t="str">
            <v>X</v>
          </cell>
          <cell r="AO111" t="str">
            <v>X</v>
          </cell>
          <cell r="AP111" t="str">
            <v>X</v>
          </cell>
          <cell r="AQ111" t="str">
            <v>X</v>
          </cell>
          <cell r="AR111" t="str">
            <v>X</v>
          </cell>
          <cell r="AS111" t="str">
            <v>X</v>
          </cell>
          <cell r="AT111" t="str">
            <v>X</v>
          </cell>
        </row>
        <row r="112">
          <cell r="B112">
            <v>108</v>
          </cell>
          <cell r="C112" t="str">
            <v>MPA1</v>
          </cell>
          <cell r="D112" t="str">
            <v>Gestión Soporte</v>
          </cell>
          <cell r="E112" t="str">
            <v>MPA1-P4</v>
          </cell>
          <cell r="F112" t="str">
            <v>Gestión Abastecimiento</v>
          </cell>
          <cell r="G112" t="str">
            <v>N/A</v>
          </cell>
          <cell r="H112" t="str">
            <v>N/A</v>
          </cell>
          <cell r="I112">
            <v>0</v>
          </cell>
          <cell r="J112">
            <v>0</v>
          </cell>
          <cell r="K112" t="str">
            <v>Dirección de Abastecimiento</v>
          </cell>
          <cell r="L112" t="str">
            <v>MPA1-P4-06</v>
          </cell>
          <cell r="M112" t="str">
            <v>Porcentaje de los recursos ejecutados reportados en el Plan Anual de Adquisidores por el ICBF</v>
          </cell>
          <cell r="N112" t="str">
            <v>Realizar el seguimiento a los recursos ejecutados  por el ICBF,  frente a la contratación registrada en el Plan Anual de Adquisiciones.</v>
          </cell>
          <cell r="O112" t="str">
            <v>Creciente</v>
          </cell>
          <cell r="P112" t="str">
            <v>Gestión</v>
          </cell>
          <cell r="Q112">
            <v>0</v>
          </cell>
          <cell r="R112" t="str">
            <v>Gestión</v>
          </cell>
          <cell r="S112" t="str">
            <v>Eficiencia</v>
          </cell>
          <cell r="T112">
            <v>0.98</v>
          </cell>
          <cell r="U112" t="str">
            <v>N/A</v>
          </cell>
          <cell r="V112" t="str">
            <v>Porcentaje</v>
          </cell>
          <cell r="W112" t="str">
            <v>Si</v>
          </cell>
          <cell r="X112" t="str">
            <v>Si</v>
          </cell>
          <cell r="Y112" t="str">
            <v>Si</v>
          </cell>
          <cell r="Z112" t="str">
            <v>No</v>
          </cell>
          <cell r="AA112" t="str">
            <v>No</v>
          </cell>
          <cell r="AB112" t="str">
            <v>No</v>
          </cell>
          <cell r="AC112" t="str">
            <v>Recursos ejecutados, reportados en el Plan Anual de Adquisidores</v>
          </cell>
          <cell r="AD112" t="str">
            <v>Módulo de reportes - Sistema PACCO</v>
          </cell>
          <cell r="AE112" t="str">
            <v>Recursos contratados y reportados en el Plan Anual de Adquisiciones</v>
          </cell>
          <cell r="AF112" t="str">
            <v>Módulo de reportes - Sistema PACCO</v>
          </cell>
          <cell r="AG112" t="str">
            <v>Recursos ejecutados por el ICBF reportados en el Plan Anual de Adquisiciones X 100
Recursos contratados y reportados  en el Plan Anual de Adquisiciones</v>
          </cell>
          <cell r="AH112" t="str">
            <v>Mensual</v>
          </cell>
          <cell r="AI112">
            <v>0</v>
          </cell>
          <cell r="AJ112">
            <v>0</v>
          </cell>
          <cell r="AK112" t="str">
            <v>X</v>
          </cell>
          <cell r="AL112" t="str">
            <v>X</v>
          </cell>
          <cell r="AM112" t="str">
            <v>X</v>
          </cell>
          <cell r="AN112" t="str">
            <v>X</v>
          </cell>
          <cell r="AO112" t="str">
            <v>X</v>
          </cell>
          <cell r="AP112" t="str">
            <v>X</v>
          </cell>
          <cell r="AQ112" t="str">
            <v>X</v>
          </cell>
          <cell r="AR112" t="str">
            <v>X</v>
          </cell>
          <cell r="AS112" t="str">
            <v>X</v>
          </cell>
          <cell r="AT112" t="str">
            <v>X</v>
          </cell>
        </row>
        <row r="113">
          <cell r="B113">
            <v>109</v>
          </cell>
          <cell r="C113" t="str">
            <v>MPA1</v>
          </cell>
          <cell r="D113" t="str">
            <v>Gestión Soporte</v>
          </cell>
          <cell r="E113" t="str">
            <v>MPA1-P4</v>
          </cell>
          <cell r="F113" t="str">
            <v>Gestión Abastecimiento</v>
          </cell>
          <cell r="G113" t="str">
            <v>N/A</v>
          </cell>
          <cell r="H113" t="str">
            <v>N/A</v>
          </cell>
          <cell r="I113">
            <v>0</v>
          </cell>
          <cell r="J113">
            <v>0</v>
          </cell>
          <cell r="K113" t="str">
            <v>Dirección de Abastecimiento</v>
          </cell>
          <cell r="L113" t="str">
            <v>MPA1-P4-07</v>
          </cell>
          <cell r="M113" t="str">
            <v>Porcentaje de los recursos  proyectados a contratar, por mes, respecto a los realmente contratados en el mes de proyección.</v>
          </cell>
          <cell r="N113" t="str">
            <v>Realizar el seguimiento a la oportunidad con la cual se realiza la contratación, respecto al registro  planeado en el Plan Anual de Adquisiciones.</v>
          </cell>
          <cell r="O113" t="str">
            <v>Estático</v>
          </cell>
          <cell r="P113" t="str">
            <v>Gestión</v>
          </cell>
          <cell r="Q113">
            <v>0</v>
          </cell>
          <cell r="R113" t="str">
            <v>Gestión</v>
          </cell>
          <cell r="S113" t="str">
            <v>Eficiencia</v>
          </cell>
          <cell r="T113">
            <v>0.95</v>
          </cell>
          <cell r="U113" t="str">
            <v>N/A</v>
          </cell>
          <cell r="V113" t="str">
            <v>Porcentaje</v>
          </cell>
          <cell r="W113" t="str">
            <v>Si</v>
          </cell>
          <cell r="X113" t="str">
            <v>Si</v>
          </cell>
          <cell r="Y113" t="str">
            <v>Si</v>
          </cell>
          <cell r="Z113" t="str">
            <v>No</v>
          </cell>
          <cell r="AA113" t="str">
            <v>No</v>
          </cell>
          <cell r="AB113" t="str">
            <v>No</v>
          </cell>
          <cell r="AC113" t="str">
            <v>Total recursos realmente contratados en el mes de proyección.</v>
          </cell>
          <cell r="AD113" t="str">
            <v>Reporte de la Dirección de Información y Tecnología</v>
          </cell>
          <cell r="AE113" t="str">
            <v>Total recursos proyectados a contratar mensualmente.</v>
          </cell>
          <cell r="AF113" t="str">
            <v>Módulo de reportes PACCO - Fecha proyectada de Registro presupuestal (módulo programación)</v>
          </cell>
          <cell r="AG113" t="str">
            <v xml:space="preserve">Total recursos realmente contratados en el mes de proyección.
Total recursos proyectados a contratar mensualmente .
</v>
          </cell>
          <cell r="AH113" t="str">
            <v>Mensual</v>
          </cell>
          <cell r="AI113">
            <v>0</v>
          </cell>
          <cell r="AJ113">
            <v>0</v>
          </cell>
          <cell r="AK113" t="str">
            <v>X</v>
          </cell>
          <cell r="AL113" t="str">
            <v>X</v>
          </cell>
          <cell r="AM113" t="str">
            <v>X</v>
          </cell>
          <cell r="AN113" t="str">
            <v>X</v>
          </cell>
          <cell r="AO113" t="str">
            <v>X</v>
          </cell>
          <cell r="AP113" t="str">
            <v>X</v>
          </cell>
          <cell r="AQ113" t="str">
            <v>X</v>
          </cell>
          <cell r="AR113" t="str">
            <v>X</v>
          </cell>
          <cell r="AS113" t="str">
            <v>X</v>
          </cell>
          <cell r="AT113" t="str">
            <v>X</v>
          </cell>
        </row>
        <row r="114">
          <cell r="B114">
            <v>110</v>
          </cell>
          <cell r="C114" t="str">
            <v>MPA1</v>
          </cell>
          <cell r="D114" t="str">
            <v>Gestión Soporte</v>
          </cell>
          <cell r="E114" t="str">
            <v>MPA1-P5</v>
          </cell>
          <cell r="F114" t="str">
            <v>Gestión Administrativa</v>
          </cell>
          <cell r="G114" t="str">
            <v>Gestión misional y de Gobierno</v>
          </cell>
          <cell r="H114" t="str">
            <v>Indicadores y metas de gobierno</v>
          </cell>
          <cell r="I114">
            <v>0</v>
          </cell>
          <cell r="J114">
            <v>0</v>
          </cell>
          <cell r="K114" t="str">
            <v>Dirección Administrativa</v>
          </cell>
          <cell r="L114" t="str">
            <v>PA-56</v>
          </cell>
          <cell r="M114" t="str">
            <v xml:space="preserve"> Porcentaje de cumplimiento en el diseño e implementación del PLAN MAESTRO DE INFRAESTRUCTURA </v>
          </cell>
          <cell r="N114" t="str">
            <v>Hacer seguimiento a las distintas etapas de diseño e implementación del Plan Maestro de Infraestructura para el periodo 2015-2018</v>
          </cell>
          <cell r="O114" t="str">
            <v>Creciente</v>
          </cell>
          <cell r="P114" t="str">
            <v>Resultado</v>
          </cell>
          <cell r="Q114">
            <v>0</v>
          </cell>
          <cell r="R114" t="str">
            <v>Resultado</v>
          </cell>
          <cell r="S114" t="str">
            <v>Eficiencia</v>
          </cell>
          <cell r="T114">
            <v>0.25</v>
          </cell>
          <cell r="U114">
            <v>1</v>
          </cell>
          <cell r="V114" t="str">
            <v>Porcentaje</v>
          </cell>
          <cell r="W114" t="str">
            <v>Si</v>
          </cell>
          <cell r="X114" t="str">
            <v>No</v>
          </cell>
          <cell r="Y114" t="str">
            <v>No</v>
          </cell>
          <cell r="Z114" t="str">
            <v>No</v>
          </cell>
          <cell r="AA114" t="str">
            <v>Si</v>
          </cell>
          <cell r="AB114" t="str">
            <v>Si</v>
          </cell>
          <cell r="AC114" t="str">
            <v>Número de actividades correspondientes al diseño del modelo del Plan Maestro de Infraestructura ejecutadas.</v>
          </cell>
          <cell r="AD114" t="str">
            <v xml:space="preserve"> Informe de avances en el diseño del Plan Maestro de Infraestructura</v>
          </cell>
          <cell r="AE114" t="str">
            <v>Número de actividades correspondientes al diseño del Plan Maestro de Infraestructura programadas</v>
          </cell>
          <cell r="AF114" t="str">
            <v xml:space="preserve"> Plan de acción del diseño e implementacion del PLAN MAESTRO DE INFRAESTRUCTURA PENDIENTE</v>
          </cell>
          <cell r="AG114" t="str">
            <v>(Número de actividades del modelo del Plan Maestro de Infraestructura ejecutadas/ Número de actividades del Plan Maestro de Infraestructura programadas) *100</v>
          </cell>
          <cell r="AH114" t="str">
            <v>Cuatrimestral</v>
          </cell>
          <cell r="AI114">
            <v>0</v>
          </cell>
          <cell r="AJ114">
            <v>0</v>
          </cell>
          <cell r="AK114">
            <v>0</v>
          </cell>
          <cell r="AL114" t="str">
            <v>x</v>
          </cell>
          <cell r="AM114">
            <v>0</v>
          </cell>
          <cell r="AN114">
            <v>0</v>
          </cell>
          <cell r="AO114">
            <v>0</v>
          </cell>
          <cell r="AP114" t="str">
            <v>x</v>
          </cell>
          <cell r="AQ114">
            <v>0</v>
          </cell>
          <cell r="AR114">
            <v>0</v>
          </cell>
          <cell r="AS114">
            <v>0</v>
          </cell>
          <cell r="AT114" t="str">
            <v>x</v>
          </cell>
        </row>
        <row r="115">
          <cell r="B115">
            <v>111</v>
          </cell>
          <cell r="C115" t="str">
            <v>MPA1</v>
          </cell>
          <cell r="D115" t="str">
            <v>Gestión Soporte</v>
          </cell>
          <cell r="E115" t="str">
            <v>MPA1-P5</v>
          </cell>
          <cell r="F115" t="str">
            <v>Gestión Administrativa</v>
          </cell>
          <cell r="G115" t="str">
            <v>Gestión misional y de Gobierno</v>
          </cell>
          <cell r="H115" t="str">
            <v>Indicadores y metas de gobierno</v>
          </cell>
          <cell r="I115">
            <v>0</v>
          </cell>
          <cell r="J115">
            <v>0</v>
          </cell>
          <cell r="K115" t="str">
            <v>Dirección Administrativa</v>
          </cell>
          <cell r="L115" t="str">
            <v>PA-57</v>
          </cell>
          <cell r="M115" t="str">
            <v>Porcentaje de cumplimiento en el diseño e implementación de un modelo de gestión administrativa</v>
          </cell>
          <cell r="N115" t="str">
            <v>medir el cumplimiento de las distintas etapas del nuevo modelo de gestión administrativa por macro regiones.</v>
          </cell>
          <cell r="O115" t="str">
            <v>Creciente</v>
          </cell>
          <cell r="P115" t="str">
            <v>Resultado</v>
          </cell>
          <cell r="Q115">
            <v>0</v>
          </cell>
          <cell r="R115" t="str">
            <v>Resultado</v>
          </cell>
          <cell r="S115" t="str">
            <v>Eficiencia</v>
          </cell>
          <cell r="T115">
            <v>0.25</v>
          </cell>
          <cell r="U115">
            <v>1</v>
          </cell>
          <cell r="V115" t="str">
            <v>Porcentaje</v>
          </cell>
          <cell r="W115" t="str">
            <v>Si</v>
          </cell>
          <cell r="X115" t="str">
            <v>No</v>
          </cell>
          <cell r="Y115" t="str">
            <v>No</v>
          </cell>
          <cell r="Z115" t="str">
            <v>No</v>
          </cell>
          <cell r="AA115" t="str">
            <v>Si</v>
          </cell>
          <cell r="AB115" t="str">
            <v>Si</v>
          </cell>
          <cell r="AC115" t="str">
            <v>Número de actividades correspondientes al diseño del modelo de gestión administrativa ejecutadas</v>
          </cell>
          <cell r="AD115" t="str">
            <v xml:space="preserve"> Informe de avances en el diseño del modelo de gestión administrativa</v>
          </cell>
          <cell r="AE115" t="str">
            <v>Número de actividades correspondientes al diseño del modelo de gestión administrativa programadas</v>
          </cell>
          <cell r="AF115" t="str">
            <v>Modelo de gestión administrativa</v>
          </cell>
          <cell r="AG115" t="str">
            <v>(Número de actividades del modelo de gestión administrativa ejecutadas/ Número de actividades del modelo de gestión administrativa programadas) *100</v>
          </cell>
          <cell r="AH115" t="str">
            <v>Trimestral</v>
          </cell>
          <cell r="AI115">
            <v>0</v>
          </cell>
          <cell r="AJ115">
            <v>0</v>
          </cell>
          <cell r="AK115" t="str">
            <v>x</v>
          </cell>
          <cell r="AL115">
            <v>0</v>
          </cell>
          <cell r="AM115">
            <v>0</v>
          </cell>
          <cell r="AN115" t="str">
            <v>x</v>
          </cell>
          <cell r="AO115">
            <v>0</v>
          </cell>
          <cell r="AP115">
            <v>0</v>
          </cell>
          <cell r="AQ115" t="str">
            <v>x</v>
          </cell>
          <cell r="AR115">
            <v>0</v>
          </cell>
          <cell r="AS115">
            <v>0</v>
          </cell>
          <cell r="AT115" t="str">
            <v>x</v>
          </cell>
        </row>
        <row r="116">
          <cell r="B116">
            <v>112</v>
          </cell>
          <cell r="C116" t="str">
            <v>MPA1</v>
          </cell>
          <cell r="D116" t="str">
            <v>Gestión Soporte</v>
          </cell>
          <cell r="E116" t="str">
            <v>MPA1-P5</v>
          </cell>
          <cell r="F116" t="str">
            <v>Gestión Administrativa</v>
          </cell>
          <cell r="G116" t="str">
            <v>N/A</v>
          </cell>
          <cell r="H116" t="str">
            <v>N/A</v>
          </cell>
          <cell r="I116">
            <v>0</v>
          </cell>
          <cell r="J116">
            <v>0</v>
          </cell>
          <cell r="K116" t="str">
            <v>Dirección Administrativa</v>
          </cell>
          <cell r="L116" t="str">
            <v>MPA1-P5-01</v>
          </cell>
          <cell r="M116" t="str">
            <v>Número de intervenciones en infraestructura en Sedes Regionales y Centros Zonales</v>
          </cell>
          <cell r="N116" t="str">
            <v xml:space="preserve"> Medir la efectividad en las intervenciones de adecuación, ampliación, reparación y/o mantenimiento requeridos en las distintas Sedes regionales ubicadas en el territorio nacional.</v>
          </cell>
          <cell r="O116" t="str">
            <v>Creciente</v>
          </cell>
          <cell r="P116" t="str">
            <v>Producto</v>
          </cell>
          <cell r="Q116">
            <v>0</v>
          </cell>
          <cell r="R116" t="str">
            <v>Producto</v>
          </cell>
          <cell r="S116" t="str">
            <v>Efectividad</v>
          </cell>
          <cell r="T116">
            <v>52</v>
          </cell>
          <cell r="U116" t="str">
            <v>N/A</v>
          </cell>
          <cell r="V116" t="str">
            <v>Número</v>
          </cell>
          <cell r="W116" t="str">
            <v>Si</v>
          </cell>
          <cell r="X116" t="str">
            <v>Si</v>
          </cell>
          <cell r="Y116" t="str">
            <v>No</v>
          </cell>
          <cell r="Z116" t="str">
            <v>No</v>
          </cell>
          <cell r="AA116" t="str">
            <v>No</v>
          </cell>
          <cell r="AB116" t="str">
            <v>No</v>
          </cell>
          <cell r="AC116" t="str">
            <v>Número de Intervenciones en Sedes Regionales y centros zonales realizadas durante el periodo</v>
          </cell>
          <cell r="AD116" t="str">
            <v xml:space="preserve">Informe de finalización de la intervención en Regionales y Centros Zonales. </v>
          </cell>
          <cell r="AE116" t="str">
            <v>Número total de intervenciones sobre Sedes regionales y centros zonales programadas o requeridas durante el año</v>
          </cell>
          <cell r="AF116" t="str">
            <v>Programación de intervenciones del grupo de infraestructura y solicitudes de intervencion de las Direcciones Regionales</v>
          </cell>
          <cell r="AG116" t="str">
            <v>Número de Intervenciones en Sedes Regionales y centros zonales realizadas durante el periodo/ Número total de intervenciones sobre Sedes Regionales centros zonales programadas o requeridas durante el año</v>
          </cell>
          <cell r="AH116" t="str">
            <v xml:space="preserve">Cuatrimestral </v>
          </cell>
          <cell r="AI116">
            <v>0</v>
          </cell>
          <cell r="AJ116">
            <v>0</v>
          </cell>
          <cell r="AK116">
            <v>0</v>
          </cell>
          <cell r="AL116" t="str">
            <v>x</v>
          </cell>
          <cell r="AM116">
            <v>0</v>
          </cell>
          <cell r="AN116">
            <v>0</v>
          </cell>
          <cell r="AO116">
            <v>0</v>
          </cell>
          <cell r="AP116" t="str">
            <v>x</v>
          </cell>
          <cell r="AQ116">
            <v>0</v>
          </cell>
          <cell r="AR116">
            <v>0</v>
          </cell>
          <cell r="AS116">
            <v>0</v>
          </cell>
          <cell r="AT116" t="str">
            <v>x</v>
          </cell>
        </row>
        <row r="117">
          <cell r="B117">
            <v>113</v>
          </cell>
          <cell r="C117" t="str">
            <v>MPA1</v>
          </cell>
          <cell r="D117" t="str">
            <v>Gestión Soporte</v>
          </cell>
          <cell r="E117" t="str">
            <v>MPA1-P5</v>
          </cell>
          <cell r="F117" t="str">
            <v>Gestión Administrativa</v>
          </cell>
          <cell r="G117" t="str">
            <v>Eficiencia administrativa</v>
          </cell>
          <cell r="H117" t="str">
            <v>Modernización institucional</v>
          </cell>
          <cell r="I117">
            <v>0</v>
          </cell>
          <cell r="J117">
            <v>0</v>
          </cell>
          <cell r="K117" t="str">
            <v>Dirección Administrativa</v>
          </cell>
          <cell r="L117" t="str">
            <v>PA-58</v>
          </cell>
          <cell r="M117" t="str">
            <v>Gestión para la realización de Estudios y Diseños</v>
          </cell>
          <cell r="N117" t="str">
            <v>Hacer seguimiento al proceso de Estudios y Diseños de las obras de infraestructura hasta la obtención de licencias.</v>
          </cell>
          <cell r="O117" t="str">
            <v>Creciente</v>
          </cell>
          <cell r="P117" t="str">
            <v>Gestión</v>
          </cell>
          <cell r="Q117">
            <v>0</v>
          </cell>
          <cell r="R117" t="str">
            <v>Gestión</v>
          </cell>
          <cell r="S117" t="str">
            <v>Efectividad</v>
          </cell>
          <cell r="T117">
            <v>0.85</v>
          </cell>
          <cell r="U117" t="str">
            <v>N/A</v>
          </cell>
          <cell r="V117" t="str">
            <v>Porcentaje</v>
          </cell>
          <cell r="W117" t="str">
            <v>Si</v>
          </cell>
          <cell r="X117" t="str">
            <v>No</v>
          </cell>
          <cell r="Y117" t="str">
            <v>No</v>
          </cell>
          <cell r="Z117" t="str">
            <v>No</v>
          </cell>
          <cell r="AA117" t="str">
            <v>No</v>
          </cell>
          <cell r="AB117" t="str">
            <v>Si</v>
          </cell>
          <cell r="AC117" t="str">
            <v>Número de Estudios y diseños concluidos durante el periodo</v>
          </cell>
          <cell r="AD117" t="str">
            <v>Licencias radicadas</v>
          </cell>
          <cell r="AE117" t="str">
            <v>Número de estudios y diseños contratados durante el periodo</v>
          </cell>
          <cell r="AF117" t="str">
            <v>Contratos de estudios y diseños suscritos</v>
          </cell>
          <cell r="AG117" t="str">
            <v>(Número de Estudios y diseños concluidos durante el periodo/Número de estudios y diseños contratados durante el periodo)*100</v>
          </cell>
          <cell r="AH117" t="str">
            <v>Semestral</v>
          </cell>
          <cell r="AI117">
            <v>0</v>
          </cell>
          <cell r="AJ117">
            <v>0</v>
          </cell>
          <cell r="AK117">
            <v>0</v>
          </cell>
          <cell r="AL117">
            <v>0</v>
          </cell>
          <cell r="AM117">
            <v>0</v>
          </cell>
          <cell r="AN117" t="str">
            <v>x</v>
          </cell>
          <cell r="AO117">
            <v>0</v>
          </cell>
          <cell r="AP117">
            <v>0</v>
          </cell>
          <cell r="AQ117">
            <v>0</v>
          </cell>
          <cell r="AR117">
            <v>0</v>
          </cell>
          <cell r="AS117">
            <v>0</v>
          </cell>
          <cell r="AT117" t="str">
            <v>x</v>
          </cell>
        </row>
        <row r="118">
          <cell r="B118">
            <v>114</v>
          </cell>
          <cell r="C118" t="str">
            <v>MPA1</v>
          </cell>
          <cell r="D118" t="str">
            <v>Gestión Soporte</v>
          </cell>
          <cell r="E118" t="str">
            <v>MPA1-P5</v>
          </cell>
          <cell r="F118" t="str">
            <v>Gestión Administrativa</v>
          </cell>
          <cell r="G118" t="str">
            <v>Gestión misional y de gobierno</v>
          </cell>
          <cell r="H118" t="str">
            <v>Indicadores y metas de gobierno</v>
          </cell>
          <cell r="I118">
            <v>0</v>
          </cell>
          <cell r="J118">
            <v>0</v>
          </cell>
          <cell r="K118" t="str">
            <v>Dirección Administrativa</v>
          </cell>
          <cell r="L118" t="str">
            <v>PA-59</v>
          </cell>
          <cell r="M118" t="str">
            <v>Número de intervenciones en infraestructura para la atención a la Primera Infancia</v>
          </cell>
          <cell r="N118" t="str">
            <v>Medir la efectividad en las intervenciones de adecuación, ampliación, reparación y/o mantenimiento requeridos en la infraestructura dispuesta para atención a la primera infancia ubicada en el territorio nacional.</v>
          </cell>
          <cell r="O118" t="str">
            <v>Creciente</v>
          </cell>
          <cell r="P118" t="str">
            <v>Producto</v>
          </cell>
          <cell r="Q118">
            <v>0</v>
          </cell>
          <cell r="R118" t="str">
            <v>Producto</v>
          </cell>
          <cell r="S118" t="str">
            <v>Calidad</v>
          </cell>
          <cell r="T118">
            <v>20</v>
          </cell>
          <cell r="U118" t="str">
            <v>N/A</v>
          </cell>
          <cell r="V118" t="str">
            <v>Número</v>
          </cell>
          <cell r="W118" t="str">
            <v>Si</v>
          </cell>
          <cell r="X118" t="str">
            <v>No</v>
          </cell>
          <cell r="Y118" t="str">
            <v>No</v>
          </cell>
          <cell r="Z118" t="str">
            <v>No</v>
          </cell>
          <cell r="AA118" t="str">
            <v>No</v>
          </cell>
          <cell r="AB118" t="str">
            <v>Si</v>
          </cell>
          <cell r="AC118" t="str">
            <v>Número de Intervenciones en infraestructura para la atención a la primera infancia  realizadas durante el periodo</v>
          </cell>
          <cell r="AD118" t="str">
            <v>Actas de verificación emitidas por el grupo de Infraestructura</v>
          </cell>
          <cell r="AE118" t="str">
            <v>Número total de intervenciones sobre infraestructura para la atención a la primera infancia programadas</v>
          </cell>
          <cell r="AF118" t="str">
            <v>Programación de intervenciones del grupo de infraestructura y solicitudes de intervencion de las áreas misionales</v>
          </cell>
          <cell r="AG118" t="str">
            <v>Número de Intervenciones en infraestructura para la atención a la primera infancia realizadas durante el periodo/ Número total de intervenciones sobre infraestructura de atención a la primera infancia programadas o requeridas durante el año.</v>
          </cell>
          <cell r="AH118" t="str">
            <v>Trimestral</v>
          </cell>
          <cell r="AI118">
            <v>0</v>
          </cell>
          <cell r="AJ118">
            <v>0</v>
          </cell>
          <cell r="AK118" t="str">
            <v>x</v>
          </cell>
          <cell r="AL118">
            <v>0</v>
          </cell>
          <cell r="AM118">
            <v>0</v>
          </cell>
          <cell r="AN118" t="str">
            <v>x</v>
          </cell>
          <cell r="AO118">
            <v>0</v>
          </cell>
          <cell r="AP118">
            <v>0</v>
          </cell>
          <cell r="AQ118" t="str">
            <v>x</v>
          </cell>
          <cell r="AR118">
            <v>0</v>
          </cell>
          <cell r="AS118">
            <v>0</v>
          </cell>
          <cell r="AT118" t="str">
            <v>x</v>
          </cell>
        </row>
        <row r="119">
          <cell r="B119">
            <v>115</v>
          </cell>
          <cell r="C119" t="str">
            <v>MPA1</v>
          </cell>
          <cell r="D119" t="str">
            <v>Gestión Soporte</v>
          </cell>
          <cell r="E119" t="str">
            <v>MPA1-P5</v>
          </cell>
          <cell r="F119" t="str">
            <v>Gestión Administrativa</v>
          </cell>
          <cell r="G119" t="str">
            <v>N/A</v>
          </cell>
          <cell r="H119" t="str">
            <v>N/A</v>
          </cell>
          <cell r="I119">
            <v>0</v>
          </cell>
          <cell r="J119">
            <v>0</v>
          </cell>
          <cell r="K119" t="str">
            <v>Dirección Administrativa</v>
          </cell>
          <cell r="L119" t="str">
            <v>MPA1-P5-02</v>
          </cell>
          <cell r="M119" t="str">
            <v>Porcentaje de oportunidad en el direccionamiento de comunicaciones recibidas a través de la unidad de Correspondencia</v>
          </cell>
          <cell r="N119" t="str">
            <v>Hacer seguimiento al direccionamiento oportuno de comunicaciones recibidas a través de la unidad de correspondencia</v>
          </cell>
          <cell r="O119" t="str">
            <v>Estático</v>
          </cell>
          <cell r="P119" t="str">
            <v>Resultado</v>
          </cell>
          <cell r="Q119">
            <v>0</v>
          </cell>
          <cell r="R119" t="str">
            <v>Resultado</v>
          </cell>
          <cell r="S119" t="str">
            <v>Eficacia</v>
          </cell>
          <cell r="T119">
            <v>1</v>
          </cell>
          <cell r="U119" t="str">
            <v>N/A</v>
          </cell>
          <cell r="V119" t="str">
            <v>Porcentaje</v>
          </cell>
          <cell r="W119" t="str">
            <v>Si</v>
          </cell>
          <cell r="X119" t="str">
            <v>No</v>
          </cell>
          <cell r="Y119" t="str">
            <v>No</v>
          </cell>
          <cell r="Z119" t="str">
            <v>No</v>
          </cell>
          <cell r="AA119" t="str">
            <v>No</v>
          </cell>
          <cell r="AB119" t="str">
            <v>No</v>
          </cell>
          <cell r="AC119" t="str">
            <v>Número de comunicaciones direccionadas oportunamente a través de la unidad de correspondencia</v>
          </cell>
          <cell r="AD119" t="str">
            <v xml:space="preserve">Planilla de registro de entrega de comunicaciones a cada dependencia, planilla corra de envios a regionales </v>
          </cell>
          <cell r="AE119" t="str">
            <v>Número total de comunicaciones recibidas a través de la unidad de correspondencia durante el periodo</v>
          </cell>
          <cell r="AF119" t="str">
            <v>Reporte de comunicaciones recibidas y radicadas a través del aplicativo SIGA</v>
          </cell>
          <cell r="AG119" t="str">
            <v>Número de comunicaciones direccionadas oportunamente a través de la unidad de correspondencia/ Número total de comunicaciones recibidas a través de la unidad de correspondencia durante el periodo</v>
          </cell>
          <cell r="AH119" t="str">
            <v>Mensual</v>
          </cell>
          <cell r="AI119" t="str">
            <v>x</v>
          </cell>
          <cell r="AJ119" t="str">
            <v>x</v>
          </cell>
          <cell r="AK119" t="str">
            <v>x</v>
          </cell>
          <cell r="AL119" t="str">
            <v>x</v>
          </cell>
          <cell r="AM119" t="str">
            <v>x</v>
          </cell>
          <cell r="AN119" t="str">
            <v>x</v>
          </cell>
          <cell r="AO119" t="str">
            <v>x</v>
          </cell>
          <cell r="AP119" t="str">
            <v>x</v>
          </cell>
          <cell r="AQ119" t="str">
            <v>x</v>
          </cell>
          <cell r="AR119" t="str">
            <v>x</v>
          </cell>
          <cell r="AS119" t="str">
            <v>x</v>
          </cell>
          <cell r="AT119" t="str">
            <v>x</v>
          </cell>
        </row>
        <row r="120">
          <cell r="B120">
            <v>116</v>
          </cell>
          <cell r="C120" t="str">
            <v>MPA1</v>
          </cell>
          <cell r="D120" t="str">
            <v>Gestión Soporte</v>
          </cell>
          <cell r="E120" t="str">
            <v>MPA1-P5</v>
          </cell>
          <cell r="F120" t="str">
            <v>Gestión Administrativa</v>
          </cell>
          <cell r="G120" t="str">
            <v>N/A</v>
          </cell>
          <cell r="H120" t="str">
            <v>N/A</v>
          </cell>
          <cell r="I120">
            <v>0</v>
          </cell>
          <cell r="J120">
            <v>0</v>
          </cell>
          <cell r="K120" t="str">
            <v>Dirección Administrativa</v>
          </cell>
          <cell r="L120" t="str">
            <v>MPA1-P5-03</v>
          </cell>
          <cell r="M120" t="str">
            <v>Conceptos para legalización de obras</v>
          </cell>
          <cell r="N120" t="str">
            <v>Evidenciar la gestión respecto los procesos de legalización adelantados sobre las obras recibidas del grupo de infraestructura</v>
          </cell>
          <cell r="O120" t="str">
            <v>Creciente</v>
          </cell>
          <cell r="P120" t="str">
            <v>Gestión</v>
          </cell>
          <cell r="Q120">
            <v>0</v>
          </cell>
          <cell r="R120" t="str">
            <v>Gestión</v>
          </cell>
          <cell r="S120" t="str">
            <v>Efectividad</v>
          </cell>
          <cell r="T120">
            <v>1</v>
          </cell>
          <cell r="U120" t="str">
            <v>N/A</v>
          </cell>
          <cell r="V120" t="str">
            <v>Porcentaje</v>
          </cell>
          <cell r="W120" t="str">
            <v>Si</v>
          </cell>
          <cell r="X120" t="str">
            <v>No</v>
          </cell>
          <cell r="Y120" t="str">
            <v>No</v>
          </cell>
          <cell r="Z120" t="str">
            <v>No</v>
          </cell>
          <cell r="AA120" t="str">
            <v>No</v>
          </cell>
          <cell r="AB120" t="str">
            <v>No</v>
          </cell>
          <cell r="AC120" t="str">
            <v>Número de conceptos de procesos de legalización de obras emitidos</v>
          </cell>
          <cell r="AD120" t="str">
            <v>Informes de legalización de obras o conceptos sobre procesos de elgalización de obras emitidos por el Grupo de Gestión de Bienes</v>
          </cell>
          <cell r="AE120" t="str">
            <v>Número de procesos de legalizacion de obra iniciados</v>
          </cell>
          <cell r="AF120" t="str">
            <v>Informe de obras por legalizar emitido por el grupo de infraestructura</v>
          </cell>
          <cell r="AG120" t="str">
            <v>(Número de conceptos de procesos de legalización de obras emitidos / Número de procesos de legalizacion de obra iniciados)*100</v>
          </cell>
          <cell r="AH120" t="str">
            <v>Trimestral</v>
          </cell>
          <cell r="AI120">
            <v>0</v>
          </cell>
          <cell r="AJ120">
            <v>0</v>
          </cell>
          <cell r="AK120" t="str">
            <v>x</v>
          </cell>
          <cell r="AL120">
            <v>0</v>
          </cell>
          <cell r="AM120">
            <v>0</v>
          </cell>
          <cell r="AN120" t="str">
            <v>x</v>
          </cell>
          <cell r="AO120">
            <v>0</v>
          </cell>
          <cell r="AP120">
            <v>0</v>
          </cell>
          <cell r="AQ120" t="str">
            <v>x</v>
          </cell>
          <cell r="AR120">
            <v>0</v>
          </cell>
          <cell r="AS120">
            <v>0</v>
          </cell>
          <cell r="AT120" t="str">
            <v>x</v>
          </cell>
        </row>
        <row r="121">
          <cell r="B121">
            <v>117</v>
          </cell>
          <cell r="C121" t="str">
            <v>MPA1</v>
          </cell>
          <cell r="D121" t="str">
            <v>Gestión Soporte</v>
          </cell>
          <cell r="E121" t="str">
            <v>MPA1-P5</v>
          </cell>
          <cell r="F121" t="str">
            <v>Gestión Administrativa</v>
          </cell>
          <cell r="G121" t="str">
            <v>N/A</v>
          </cell>
          <cell r="H121" t="str">
            <v>N/A</v>
          </cell>
          <cell r="I121">
            <v>0</v>
          </cell>
          <cell r="J121">
            <v>0</v>
          </cell>
          <cell r="K121" t="str">
            <v>Dirección Administrativa</v>
          </cell>
          <cell r="L121" t="str">
            <v>MPA1-P5-04</v>
          </cell>
          <cell r="M121" t="str">
            <v>Porcentaje de verificación del estado de los bienes inmuebles.</v>
          </cell>
          <cell r="N121" t="str">
            <v>Inspeccionar el estado real, material y jurídico de los bienes inmuebles registrados en el inventario de la entidad y que presentan circunstancias especiales como desocupados o invadidos</v>
          </cell>
          <cell r="O121" t="str">
            <v>Creciente</v>
          </cell>
          <cell r="P121" t="str">
            <v>Gestión</v>
          </cell>
          <cell r="Q121">
            <v>0</v>
          </cell>
          <cell r="R121" t="str">
            <v>Gestión</v>
          </cell>
          <cell r="S121" t="str">
            <v>Efectividad</v>
          </cell>
          <cell r="T121">
            <v>1</v>
          </cell>
          <cell r="U121" t="str">
            <v>N/A</v>
          </cell>
          <cell r="V121" t="str">
            <v>Porcentaje</v>
          </cell>
          <cell r="W121" t="str">
            <v>Si</v>
          </cell>
          <cell r="X121" t="str">
            <v>No</v>
          </cell>
          <cell r="Y121" t="str">
            <v>No</v>
          </cell>
          <cell r="Z121" t="str">
            <v>No</v>
          </cell>
          <cell r="AA121" t="str">
            <v>No</v>
          </cell>
          <cell r="AB121" t="str">
            <v>No</v>
          </cell>
          <cell r="AC121" t="str">
            <v>Número de bienes con informe de visita de verificación de estado</v>
          </cell>
          <cell r="AD121" t="str">
            <v>Informes de visitas de verificación del estado real, material y jurídico de los bienes inmuebles del grupo de bienes</v>
          </cell>
          <cell r="AE121" t="str">
            <v>Número de bienes reportados como desocupados o invadidos</v>
          </cell>
          <cell r="AF121" t="str">
            <v>Cronograma de visitas de verificación del estado real, material y jurídico de los bienes inmuebles  reportados como desocupados o invadidos del grupo de bienes</v>
          </cell>
          <cell r="AG121" t="str">
            <v>Número de bienes con informe de visita de verificación de Estado / Número de bienes reportados como desocupados o invadidos</v>
          </cell>
          <cell r="AH121" t="str">
            <v>Trimestral</v>
          </cell>
          <cell r="AI121">
            <v>0</v>
          </cell>
          <cell r="AJ121">
            <v>0</v>
          </cell>
          <cell r="AK121" t="str">
            <v>x</v>
          </cell>
          <cell r="AL121">
            <v>0</v>
          </cell>
          <cell r="AM121">
            <v>0</v>
          </cell>
          <cell r="AN121" t="str">
            <v>x</v>
          </cell>
          <cell r="AO121">
            <v>0</v>
          </cell>
          <cell r="AP121">
            <v>0</v>
          </cell>
          <cell r="AQ121" t="str">
            <v>x</v>
          </cell>
          <cell r="AR121">
            <v>0</v>
          </cell>
          <cell r="AS121">
            <v>0</v>
          </cell>
          <cell r="AT121" t="str">
            <v>x</v>
          </cell>
        </row>
        <row r="122">
          <cell r="B122">
            <v>118</v>
          </cell>
          <cell r="C122" t="str">
            <v>MPA1</v>
          </cell>
          <cell r="D122" t="str">
            <v>Gestión Soporte</v>
          </cell>
          <cell r="E122" t="str">
            <v>MPA1-P5</v>
          </cell>
          <cell r="F122" t="str">
            <v>Gestión Administrativa</v>
          </cell>
          <cell r="G122" t="str">
            <v>N/A</v>
          </cell>
          <cell r="H122" t="str">
            <v>N/A</v>
          </cell>
          <cell r="I122">
            <v>0</v>
          </cell>
          <cell r="J122">
            <v>0</v>
          </cell>
          <cell r="K122" t="str">
            <v>Dirección Administrativa</v>
          </cell>
          <cell r="L122" t="str">
            <v>MPA1-P5-05</v>
          </cell>
          <cell r="M122" t="str">
            <v>Oportunidad en la destinación de bienes recibidos por VH, V y M</v>
          </cell>
          <cell r="N122" t="str">
            <v>Realizar seguimiento a la destinación de bienes ingresados por Vh, V y M para el cumplimiento del objeto social del Instituto.</v>
          </cell>
          <cell r="O122" t="str">
            <v>Creciente</v>
          </cell>
          <cell r="P122" t="str">
            <v>Resultado</v>
          </cell>
          <cell r="Q122">
            <v>0</v>
          </cell>
          <cell r="R122" t="str">
            <v>Resultado</v>
          </cell>
          <cell r="S122" t="str">
            <v>Eficiencia</v>
          </cell>
          <cell r="T122">
            <v>1</v>
          </cell>
          <cell r="U122" t="str">
            <v>N/A</v>
          </cell>
          <cell r="V122" t="str">
            <v>Porcentaje</v>
          </cell>
          <cell r="W122" t="str">
            <v>Si</v>
          </cell>
          <cell r="X122" t="str">
            <v>Si</v>
          </cell>
          <cell r="Y122" t="str">
            <v>No</v>
          </cell>
          <cell r="Z122" t="str">
            <v>No</v>
          </cell>
          <cell r="AA122" t="str">
            <v>No</v>
          </cell>
          <cell r="AB122" t="str">
            <v>No</v>
          </cell>
          <cell r="AC122" t="str">
            <v>Número de bienes ingresados al patrimonio por Vh, V y M  con destinación oportuna</v>
          </cell>
          <cell r="AD122" t="str">
            <v>Informes de seguimiento a destinación de bienes ingresados al patrimonio por Vh, V, M.</v>
          </cell>
          <cell r="AE122" t="str">
            <v xml:space="preserve">Número de bienes ingresados al patrimonio por Vh, V y M  </v>
          </cell>
          <cell r="AF122" t="str">
            <v>Inventario de Bienes ingresados al patrimonio del ICBF por Vh, V y M</v>
          </cell>
          <cell r="AG122" t="str">
            <v xml:space="preserve">Número de bienes ingresados al patrimonio por Vh, V y M  con destinación oportuna /Número de bienes ingresados al patrimonio por Vh, V y M  </v>
          </cell>
          <cell r="AH122" t="str">
            <v>Cuatrimestral</v>
          </cell>
          <cell r="AI122">
            <v>0</v>
          </cell>
          <cell r="AJ122">
            <v>0</v>
          </cell>
          <cell r="AK122">
            <v>0</v>
          </cell>
          <cell r="AL122" t="str">
            <v>x</v>
          </cell>
          <cell r="AM122">
            <v>0</v>
          </cell>
          <cell r="AN122">
            <v>0</v>
          </cell>
          <cell r="AO122">
            <v>0</v>
          </cell>
          <cell r="AP122" t="str">
            <v>x</v>
          </cell>
          <cell r="AQ122">
            <v>0</v>
          </cell>
          <cell r="AR122">
            <v>0</v>
          </cell>
          <cell r="AS122">
            <v>0</v>
          </cell>
          <cell r="AT122" t="str">
            <v>x</v>
          </cell>
        </row>
        <row r="123">
          <cell r="B123">
            <v>119</v>
          </cell>
          <cell r="C123" t="str">
            <v>MPA1</v>
          </cell>
          <cell r="D123" t="str">
            <v>Gestión Soporte</v>
          </cell>
          <cell r="E123" t="str">
            <v>MPA1-P5</v>
          </cell>
          <cell r="F123" t="str">
            <v>Gestión Administrativa</v>
          </cell>
          <cell r="G123" t="str">
            <v>N/A</v>
          </cell>
          <cell r="H123" t="str">
            <v>N/A</v>
          </cell>
          <cell r="I123">
            <v>0</v>
          </cell>
          <cell r="J123">
            <v>0</v>
          </cell>
          <cell r="K123" t="str">
            <v>Dirección Administrativa</v>
          </cell>
          <cell r="L123" t="str">
            <v>MPA1-P5-06</v>
          </cell>
          <cell r="M123" t="str">
            <v>Porcentaje de Comodatos suscritos y registrados</v>
          </cell>
          <cell r="N123" t="str">
            <v>Realizar seguimiento a los bienes inmuebles del Instituto que son objeto de comodatos</v>
          </cell>
          <cell r="O123" t="str">
            <v>Creciente</v>
          </cell>
          <cell r="P123" t="str">
            <v>Resultado</v>
          </cell>
          <cell r="Q123">
            <v>0</v>
          </cell>
          <cell r="R123" t="str">
            <v>Resultado</v>
          </cell>
          <cell r="S123" t="str">
            <v>Efectividad</v>
          </cell>
          <cell r="T123">
            <v>1</v>
          </cell>
          <cell r="U123" t="str">
            <v>N/A</v>
          </cell>
          <cell r="V123" t="str">
            <v>Porcentaje</v>
          </cell>
          <cell r="W123" t="str">
            <v>Si</v>
          </cell>
          <cell r="X123" t="str">
            <v>Si</v>
          </cell>
          <cell r="Y123" t="str">
            <v>No</v>
          </cell>
          <cell r="Z123" t="str">
            <v>No</v>
          </cell>
          <cell r="AA123" t="str">
            <v>No</v>
          </cell>
          <cell r="AB123" t="str">
            <v>No</v>
          </cell>
          <cell r="AC123" t="str">
            <v>Número de bienes en Comodato suscritos y registrados</v>
          </cell>
          <cell r="AD123" t="str">
            <v>Contratos de comodato/Inventario de bienes actualizado</v>
          </cell>
          <cell r="AE123" t="str">
            <v>Número de bienes objeto de comodato</v>
          </cell>
          <cell r="AF123" t="str">
            <v>Inventario de bienes e informes de las sedes regionales</v>
          </cell>
          <cell r="AG123" t="str">
            <v>Número de bienes en Comodatos suscritos y registrados/Número de bienes objeto de comodato * 100</v>
          </cell>
          <cell r="AH123" t="str">
            <v>Trimestral</v>
          </cell>
          <cell r="AI123">
            <v>0</v>
          </cell>
          <cell r="AJ123">
            <v>0</v>
          </cell>
          <cell r="AK123" t="str">
            <v>x</v>
          </cell>
          <cell r="AL123">
            <v>0</v>
          </cell>
          <cell r="AM123">
            <v>0</v>
          </cell>
          <cell r="AN123" t="str">
            <v>x</v>
          </cell>
          <cell r="AO123">
            <v>0</v>
          </cell>
          <cell r="AP123">
            <v>0</v>
          </cell>
          <cell r="AQ123" t="str">
            <v>x</v>
          </cell>
          <cell r="AR123">
            <v>0</v>
          </cell>
          <cell r="AS123">
            <v>0</v>
          </cell>
          <cell r="AT123" t="str">
            <v>x</v>
          </cell>
        </row>
        <row r="124">
          <cell r="B124">
            <v>120</v>
          </cell>
          <cell r="C124" t="str">
            <v>MPA1</v>
          </cell>
          <cell r="D124" t="str">
            <v>Gestión Soporte</v>
          </cell>
          <cell r="E124" t="str">
            <v>MPA1-P5</v>
          </cell>
          <cell r="F124" t="str">
            <v>Gestión Administrativa</v>
          </cell>
          <cell r="G124" t="str">
            <v>Eficiencia administrativa</v>
          </cell>
          <cell r="H124" t="str">
            <v>Eficiencia administrativa y cero papel</v>
          </cell>
          <cell r="I124">
            <v>0</v>
          </cell>
          <cell r="J124">
            <v>0</v>
          </cell>
          <cell r="K124" t="str">
            <v>Dirección Administrativa</v>
          </cell>
          <cell r="L124" t="str">
            <v>PA-60</v>
          </cell>
          <cell r="M124" t="str">
            <v>Porcentaje de implementación de la estrategia Cero Papel</v>
          </cell>
          <cell r="N124" t="str">
            <v>Hacer seguimiento a las distintas etapas de redefinición e implementación de la estrategia cero papel.</v>
          </cell>
          <cell r="O124" t="str">
            <v>Creciente</v>
          </cell>
          <cell r="P124" t="str">
            <v>Gestión</v>
          </cell>
          <cell r="Q124">
            <v>0</v>
          </cell>
          <cell r="R124" t="str">
            <v>Gestión</v>
          </cell>
          <cell r="S124" t="str">
            <v>Efectividad</v>
          </cell>
          <cell r="T124">
            <v>0.6</v>
          </cell>
          <cell r="U124" t="str">
            <v>N/A</v>
          </cell>
          <cell r="V124" t="str">
            <v>Porcentaje</v>
          </cell>
          <cell r="W124" t="str">
            <v>Si</v>
          </cell>
          <cell r="X124" t="str">
            <v>No</v>
          </cell>
          <cell r="Y124" t="str">
            <v>No</v>
          </cell>
          <cell r="Z124" t="str">
            <v>No</v>
          </cell>
          <cell r="AA124" t="str">
            <v>No</v>
          </cell>
          <cell r="AB124" t="str">
            <v>Si</v>
          </cell>
          <cell r="AC124" t="str">
            <v>Número de actividades de la Estrategia Cero Papel ejecutadas</v>
          </cell>
          <cell r="AD124" t="str">
            <v>Cronograma de actividades para la implementación de la estrategia cero papel</v>
          </cell>
          <cell r="AE124" t="str">
            <v>Número de actividades de la Estrategia Cero Papel programadas</v>
          </cell>
          <cell r="AF124" t="str">
            <v>Plan de implementación de la estrategia cero papel</v>
          </cell>
          <cell r="AG124" t="str">
            <v>(Número de actividades de la Estrategia Cero Papel ejecutadas/ Número de actividades de la Estrategia Cero Papel programadas) *100</v>
          </cell>
          <cell r="AH124" t="str">
            <v>Trimestral</v>
          </cell>
          <cell r="AI124">
            <v>0</v>
          </cell>
          <cell r="AJ124">
            <v>0</v>
          </cell>
          <cell r="AK124" t="str">
            <v>x</v>
          </cell>
          <cell r="AL124">
            <v>0</v>
          </cell>
          <cell r="AM124">
            <v>0</v>
          </cell>
          <cell r="AN124" t="str">
            <v>x</v>
          </cell>
          <cell r="AO124">
            <v>0</v>
          </cell>
          <cell r="AP124">
            <v>0</v>
          </cell>
          <cell r="AQ124" t="str">
            <v>x</v>
          </cell>
          <cell r="AR124">
            <v>0</v>
          </cell>
          <cell r="AS124">
            <v>0</v>
          </cell>
          <cell r="AT124" t="str">
            <v>x</v>
          </cell>
        </row>
        <row r="125">
          <cell r="B125">
            <v>121</v>
          </cell>
          <cell r="C125" t="str">
            <v>MPA1</v>
          </cell>
          <cell r="D125" t="str">
            <v>Gestión Soporte</v>
          </cell>
          <cell r="E125" t="str">
            <v>MPA1-P5</v>
          </cell>
          <cell r="F125" t="str">
            <v>Gestión Administrativa</v>
          </cell>
          <cell r="G125" t="str">
            <v>Gestión misional y de gobierno</v>
          </cell>
          <cell r="H125" t="str">
            <v>Indicadores y metas de gobierno</v>
          </cell>
          <cell r="I125">
            <v>0</v>
          </cell>
          <cell r="J125">
            <v>0</v>
          </cell>
          <cell r="K125" t="str">
            <v>Dirección Administrativa</v>
          </cell>
          <cell r="L125" t="str">
            <v>PA-61</v>
          </cell>
          <cell r="M125" t="str">
            <v>Número de  Centros de Desarrollo Infantil construidos</v>
          </cell>
          <cell r="N125" t="str">
            <v>Medir la efectividad en la construcción de Centros de Desarrollo Infantil, requeridos en el territorio nacional.</v>
          </cell>
          <cell r="O125" t="str">
            <v>Creciente</v>
          </cell>
          <cell r="P125" t="str">
            <v>Producto</v>
          </cell>
          <cell r="Q125">
            <v>23</v>
          </cell>
          <cell r="R125" t="str">
            <v>Producto</v>
          </cell>
          <cell r="S125" t="str">
            <v>efectividad</v>
          </cell>
          <cell r="T125">
            <v>50</v>
          </cell>
          <cell r="U125">
            <v>300</v>
          </cell>
          <cell r="V125" t="str">
            <v>Número</v>
          </cell>
          <cell r="W125" t="str">
            <v>Si</v>
          </cell>
          <cell r="X125" t="str">
            <v>No</v>
          </cell>
          <cell r="Y125" t="str">
            <v>No</v>
          </cell>
          <cell r="Z125" t="str">
            <v>No</v>
          </cell>
          <cell r="AA125" t="str">
            <v>No</v>
          </cell>
          <cell r="AB125" t="str">
            <v>Si</v>
          </cell>
          <cell r="AC125" t="str">
            <v>Número de Centros de Desarrollo Infantil para la primera infancia entregados en 2015</v>
          </cell>
          <cell r="AD125" t="str">
            <v>Actas de terminación de contratro de obra, o Acta de verificación de Infraestructura</v>
          </cell>
          <cell r="AE125" t="str">
            <v>Número de Centros de Desarrollo Infantil para la primera infancia programados para construcción</v>
          </cell>
          <cell r="AF125" t="str">
            <v>Memorando emitido por la Dirección de Primera Infancia con la planeación para construcción de CDI</v>
          </cell>
          <cell r="AG125" t="str">
            <v>Número de Centros de Desarrollo Infantil para la primera infancia construidos</v>
          </cell>
          <cell r="AH125" t="str">
            <v>Semestral</v>
          </cell>
          <cell r="AI125">
            <v>0</v>
          </cell>
          <cell r="AJ125">
            <v>0</v>
          </cell>
          <cell r="AK125">
            <v>0</v>
          </cell>
          <cell r="AL125">
            <v>0</v>
          </cell>
          <cell r="AM125">
            <v>0</v>
          </cell>
          <cell r="AN125" t="str">
            <v>x</v>
          </cell>
          <cell r="AO125">
            <v>0</v>
          </cell>
          <cell r="AP125">
            <v>0</v>
          </cell>
          <cell r="AQ125">
            <v>0</v>
          </cell>
          <cell r="AR125">
            <v>0</v>
          </cell>
          <cell r="AS125">
            <v>0</v>
          </cell>
          <cell r="AT125" t="str">
            <v>x</v>
          </cell>
        </row>
        <row r="126">
          <cell r="B126">
            <v>122</v>
          </cell>
          <cell r="C126" t="str">
            <v>MPA1</v>
          </cell>
          <cell r="D126" t="str">
            <v>Gestión Soporte</v>
          </cell>
          <cell r="E126" t="str">
            <v>MPA1-P5</v>
          </cell>
          <cell r="F126" t="str">
            <v>Gestión Administrativa</v>
          </cell>
          <cell r="G126" t="str">
            <v>N/A</v>
          </cell>
          <cell r="H126" t="str">
            <v>N/A</v>
          </cell>
          <cell r="I126">
            <v>0</v>
          </cell>
          <cell r="J126">
            <v>0</v>
          </cell>
          <cell r="K126" t="str">
            <v>Dirección Administrativa</v>
          </cell>
          <cell r="L126" t="str">
            <v>MPA1-P5-07</v>
          </cell>
          <cell r="M126" t="str">
            <v xml:space="preserve"> Ejecución Presupuestal de Gestión Ambiental </v>
          </cell>
          <cell r="N126" t="str">
            <v xml:space="preserve">Realizar seguimiento al presupuesto asignado para la ejecución de los Planes de Gestión Ambiental </v>
          </cell>
          <cell r="O126" t="str">
            <v>Creciente</v>
          </cell>
          <cell r="P126" t="str">
            <v>Gestión</v>
          </cell>
          <cell r="Q126">
            <v>0.95</v>
          </cell>
          <cell r="R126" t="str">
            <v>Gestión</v>
          </cell>
          <cell r="S126" t="str">
            <v>Eficacia</v>
          </cell>
          <cell r="T126">
            <v>0.98</v>
          </cell>
          <cell r="U126" t="str">
            <v>N/A</v>
          </cell>
          <cell r="V126" t="str">
            <v>Porcentaje</v>
          </cell>
          <cell r="W126" t="str">
            <v>Si</v>
          </cell>
          <cell r="X126" t="str">
            <v>Si</v>
          </cell>
          <cell r="Y126" t="str">
            <v>No</v>
          </cell>
          <cell r="Z126" t="str">
            <v>No</v>
          </cell>
          <cell r="AA126" t="str">
            <v>No</v>
          </cell>
          <cell r="AB126" t="str">
            <v>No</v>
          </cell>
          <cell r="AC126" t="str">
            <v xml:space="preserve">Presupuesto pagado ejecutado en la implementación de los planes de Gestión Ambiental </v>
          </cell>
          <cell r="AD126" t="str">
            <v xml:space="preserve">Formato de seguimiento al presupuesto de Gestion Ambiental del rubro C 123300-1-112 </v>
          </cell>
          <cell r="AE126" t="str">
            <v xml:space="preserve">Presupuesto asignado para la implementación del plan de Gestión Ambiental </v>
          </cell>
          <cell r="AF126" t="str">
            <v xml:space="preserve">Resolución de asignación de presupuesto  de Gestion Ambiental </v>
          </cell>
          <cell r="AG126" t="str">
            <v>Presupuesto pagado ejecutado en la implementación de los planes de Gestión Ambiental / presupuesto asignado para la implementación del plan de Gestión Ambiental *100</v>
          </cell>
          <cell r="AH126" t="str">
            <v>Mensual</v>
          </cell>
          <cell r="AI126">
            <v>0</v>
          </cell>
          <cell r="AJ126">
            <v>0</v>
          </cell>
          <cell r="AK126">
            <v>0</v>
          </cell>
          <cell r="AL126" t="str">
            <v>x</v>
          </cell>
          <cell r="AM126" t="str">
            <v>x</v>
          </cell>
          <cell r="AN126" t="str">
            <v>x</v>
          </cell>
          <cell r="AO126" t="str">
            <v>x</v>
          </cell>
          <cell r="AP126" t="str">
            <v>x</v>
          </cell>
          <cell r="AQ126" t="str">
            <v>x</v>
          </cell>
          <cell r="AR126" t="str">
            <v>x</v>
          </cell>
          <cell r="AS126" t="str">
            <v>x</v>
          </cell>
          <cell r="AT126" t="str">
            <v>x</v>
          </cell>
        </row>
        <row r="127">
          <cell r="B127">
            <v>123</v>
          </cell>
          <cell r="C127" t="str">
            <v>MPA1</v>
          </cell>
          <cell r="D127" t="str">
            <v>Gestión Soporte</v>
          </cell>
          <cell r="E127" t="str">
            <v>MPA1-P5</v>
          </cell>
          <cell r="F127" t="str">
            <v>Gestión Administrativa</v>
          </cell>
          <cell r="G127" t="str">
            <v>N/A</v>
          </cell>
          <cell r="H127" t="str">
            <v>N/A</v>
          </cell>
          <cell r="I127">
            <v>0</v>
          </cell>
          <cell r="J127">
            <v>0</v>
          </cell>
          <cell r="K127" t="str">
            <v>Dirección Administrativa</v>
          </cell>
          <cell r="L127" t="str">
            <v>MPA1-P5-08</v>
          </cell>
          <cell r="M127" t="str">
            <v xml:space="preserve">Índice de cumplimiento de la Gestión Ambiental </v>
          </cell>
          <cell r="N127" t="str">
            <v>Realizar seguimiento al cumplimiento de los Planes de Gestión Ambiental</v>
          </cell>
          <cell r="O127" t="str">
            <v>Creciente</v>
          </cell>
          <cell r="P127" t="str">
            <v>Gestión</v>
          </cell>
          <cell r="Q127">
            <v>0.95</v>
          </cell>
          <cell r="R127" t="str">
            <v>Gestión</v>
          </cell>
          <cell r="S127" t="str">
            <v>Eficacia</v>
          </cell>
          <cell r="T127">
            <v>0.98</v>
          </cell>
          <cell r="U127" t="str">
            <v>N/A</v>
          </cell>
          <cell r="V127" t="str">
            <v>Porcentaje</v>
          </cell>
          <cell r="W127" t="str">
            <v>Si</v>
          </cell>
          <cell r="X127" t="str">
            <v>Si</v>
          </cell>
          <cell r="Y127" t="str">
            <v>No</v>
          </cell>
          <cell r="Z127" t="str">
            <v>No</v>
          </cell>
          <cell r="AA127" t="str">
            <v>No</v>
          </cell>
          <cell r="AB127" t="str">
            <v>No</v>
          </cell>
          <cell r="AC127" t="str">
            <v xml:space="preserve">Número de actividades desarrolladas del plan de Gestión Ambiental </v>
          </cell>
          <cell r="AD127" t="str">
            <v xml:space="preserve">Informes de seguimiento a las actividades de los Planes de Gestion Ambiental </v>
          </cell>
          <cell r="AE127" t="str">
            <v xml:space="preserve">Actividades programadas en los Planes de Gestión Ambiental </v>
          </cell>
          <cell r="AF127" t="str">
            <v xml:space="preserve">Planes de Gestion Ambiental </v>
          </cell>
          <cell r="AG127" t="str">
            <v>Número de programas del plan de Gestión Ambiental desarrollados satisfactoriamente / Número de programas contemplados en el Plan de Gestión Ambiental  x 100</v>
          </cell>
          <cell r="AH127" t="str">
            <v>Mensual</v>
          </cell>
          <cell r="AI127">
            <v>0</v>
          </cell>
          <cell r="AJ127">
            <v>0</v>
          </cell>
          <cell r="AK127">
            <v>0</v>
          </cell>
          <cell r="AL127" t="str">
            <v>x</v>
          </cell>
          <cell r="AM127" t="str">
            <v>x</v>
          </cell>
          <cell r="AN127" t="str">
            <v>x</v>
          </cell>
          <cell r="AO127" t="str">
            <v>x</v>
          </cell>
          <cell r="AP127" t="str">
            <v>x</v>
          </cell>
          <cell r="AQ127" t="str">
            <v>x</v>
          </cell>
          <cell r="AR127" t="str">
            <v>x</v>
          </cell>
          <cell r="AS127" t="str">
            <v>x</v>
          </cell>
          <cell r="AT127" t="str">
            <v>x</v>
          </cell>
        </row>
        <row r="128">
          <cell r="B128">
            <v>124</v>
          </cell>
          <cell r="C128" t="str">
            <v>MPA1</v>
          </cell>
          <cell r="D128" t="str">
            <v>Gestión Soporte</v>
          </cell>
          <cell r="E128" t="str">
            <v>MPA1-P5</v>
          </cell>
          <cell r="F128" t="str">
            <v>Gestión Administrativa</v>
          </cell>
          <cell r="G128" t="str">
            <v>N/A</v>
          </cell>
          <cell r="H128" t="str">
            <v>N/A</v>
          </cell>
          <cell r="I128">
            <v>0</v>
          </cell>
          <cell r="J128">
            <v>0</v>
          </cell>
          <cell r="K128" t="str">
            <v>Dirección Administrativa</v>
          </cell>
          <cell r="L128" t="str">
            <v>MPA1-P5-09</v>
          </cell>
          <cell r="M128" t="str">
            <v>Porcentaje de archivos de gestión en soporte físico Organizados</v>
          </cell>
          <cell r="N128" t="str">
            <v>Realizar seguimiento y evaluación a la aplicación de los procesos técnicos de organización de archivos en soporte físico a los expedientes en gestión.</v>
          </cell>
          <cell r="O128" t="str">
            <v>Creciente</v>
          </cell>
          <cell r="P128" t="str">
            <v>Gestión</v>
          </cell>
          <cell r="Q128">
            <v>0</v>
          </cell>
          <cell r="R128" t="str">
            <v>Gestión</v>
          </cell>
          <cell r="S128" t="str">
            <v>Eficacia</v>
          </cell>
          <cell r="T128">
            <v>1</v>
          </cell>
          <cell r="U128" t="str">
            <v>N/A</v>
          </cell>
          <cell r="V128" t="str">
            <v>Porcentaje</v>
          </cell>
          <cell r="W128" t="str">
            <v>Si</v>
          </cell>
          <cell r="X128" t="str">
            <v>Si</v>
          </cell>
          <cell r="Y128" t="str">
            <v>No</v>
          </cell>
          <cell r="Z128" t="str">
            <v>No</v>
          </cell>
          <cell r="AA128" t="str">
            <v>No</v>
          </cell>
          <cell r="AB128" t="str">
            <v>No</v>
          </cell>
          <cell r="AC128" t="str">
            <v>Metros Lineales de Archivos en Soporte Físico Organizados</v>
          </cell>
          <cell r="AD128" t="str">
            <v>Matriz trimestral en donde se reportan los metros lineales organizados en soporte físico por Regional incluyendo los Centros Zonales</v>
          </cell>
          <cell r="AE128" t="str">
            <v>Metros lineales de archivos en soporte físico proyectados para Organización</v>
          </cell>
          <cell r="AF128" t="str">
            <v>Proyección de la producción documental física y crecimiento de los archivos de gestión (6000 ml)</v>
          </cell>
          <cell r="AG128" t="str">
            <v>Metros lineales de archivos en soporte físico Organizados /  Metros lineales en soporte físico proyectados para la organización (6000) X  1000</v>
          </cell>
          <cell r="AH128" t="str">
            <v>Trimestral</v>
          </cell>
          <cell r="AI128">
            <v>0</v>
          </cell>
          <cell r="AJ128">
            <v>0</v>
          </cell>
          <cell r="AK128" t="str">
            <v>x</v>
          </cell>
          <cell r="AL128">
            <v>0</v>
          </cell>
          <cell r="AM128">
            <v>0</v>
          </cell>
          <cell r="AN128" t="str">
            <v>x</v>
          </cell>
          <cell r="AO128">
            <v>0</v>
          </cell>
          <cell r="AP128">
            <v>0</v>
          </cell>
          <cell r="AQ128" t="str">
            <v>x</v>
          </cell>
          <cell r="AR128">
            <v>0</v>
          </cell>
          <cell r="AS128">
            <v>0</v>
          </cell>
          <cell r="AT128" t="str">
            <v>x</v>
          </cell>
        </row>
        <row r="129">
          <cell r="B129">
            <v>125</v>
          </cell>
          <cell r="C129" t="str">
            <v>MPA1</v>
          </cell>
          <cell r="D129" t="str">
            <v>Gestión Soporte</v>
          </cell>
          <cell r="E129" t="str">
            <v>MPA1-P5</v>
          </cell>
          <cell r="F129" t="str">
            <v>Gestión Administrativa</v>
          </cell>
          <cell r="G129" t="str">
            <v>Eficiencia administrativa</v>
          </cell>
          <cell r="H129" t="str">
            <v>Gestión documental</v>
          </cell>
          <cell r="I129">
            <v>0</v>
          </cell>
          <cell r="J129">
            <v>0</v>
          </cell>
          <cell r="K129" t="str">
            <v>Dirección Administrativa</v>
          </cell>
          <cell r="L129" t="str">
            <v>PA-62</v>
          </cell>
          <cell r="M129" t="str">
            <v xml:space="preserve">Porcentaje de archivos transferidos en soporte físico al Archivo Central Unificado del ICBF </v>
          </cell>
          <cell r="N129" t="str">
            <v>Medir las transferencias de los expedientes correspondiente a los Archivos Centrales Regionales, Históricos y de Fondos Acumulados a la bodega del Archivo Central Único del ICBF.</v>
          </cell>
          <cell r="O129" t="str">
            <v>Creciente</v>
          </cell>
          <cell r="P129" t="str">
            <v>Resultado/Producto</v>
          </cell>
          <cell r="Q129" t="str">
            <v>N/A</v>
          </cell>
          <cell r="R129" t="str">
            <v>Resultado/Producto</v>
          </cell>
          <cell r="S129" t="str">
            <v>Eficacia</v>
          </cell>
          <cell r="T129">
            <v>0.2</v>
          </cell>
          <cell r="U129" t="str">
            <v>N/A</v>
          </cell>
          <cell r="V129" t="str">
            <v>Porcentaje</v>
          </cell>
          <cell r="W129" t="str">
            <v>Si</v>
          </cell>
          <cell r="X129" t="str">
            <v>No</v>
          </cell>
          <cell r="Y129" t="str">
            <v>No</v>
          </cell>
          <cell r="Z129" t="str">
            <v>No</v>
          </cell>
          <cell r="AA129" t="str">
            <v>No</v>
          </cell>
          <cell r="AB129" t="str">
            <v>Si</v>
          </cell>
          <cell r="AC129" t="str">
            <v>Metros lineales transferidos  al archivo central unificado durante 2015</v>
          </cell>
          <cell r="AD129" t="str">
            <v xml:space="preserve">Reporte en la matriz mensual en donde se evidencien los metros lineales transferidos </v>
          </cell>
          <cell r="AE129" t="str">
            <v xml:space="preserve">Metros lineales programados para ser transferidos al archivo central durante el 2015
</v>
          </cell>
          <cell r="AF129" t="str">
            <v xml:space="preserve">Programa de transferencias del grupo de Gestión Documental </v>
          </cell>
          <cell r="AG129" t="str">
            <v xml:space="preserve">
Metros lineales transferidos en 2014 al archivo central debidamente organizados /  total Metros lineales transferidos al archivo central en 2014 X  100</v>
          </cell>
          <cell r="AH129" t="str">
            <v>cuatrimestral</v>
          </cell>
          <cell r="AI129">
            <v>0</v>
          </cell>
          <cell r="AJ129">
            <v>0</v>
          </cell>
          <cell r="AK129">
            <v>0</v>
          </cell>
          <cell r="AL129" t="str">
            <v>x</v>
          </cell>
          <cell r="AM129">
            <v>0</v>
          </cell>
          <cell r="AN129">
            <v>0</v>
          </cell>
          <cell r="AO129">
            <v>0</v>
          </cell>
          <cell r="AP129" t="str">
            <v>x</v>
          </cell>
          <cell r="AQ129">
            <v>0</v>
          </cell>
          <cell r="AR129">
            <v>0</v>
          </cell>
          <cell r="AS129">
            <v>0</v>
          </cell>
          <cell r="AT129" t="str">
            <v>x</v>
          </cell>
        </row>
        <row r="130">
          <cell r="B130">
            <v>126</v>
          </cell>
          <cell r="C130" t="str">
            <v>MPA1</v>
          </cell>
          <cell r="D130" t="str">
            <v>Gestión Soporte</v>
          </cell>
          <cell r="E130" t="str">
            <v>MPA1-P5</v>
          </cell>
          <cell r="F130" t="str">
            <v>Gestión Administrativa</v>
          </cell>
          <cell r="G130" t="str">
            <v>N/A</v>
          </cell>
          <cell r="H130" t="str">
            <v>N/A</v>
          </cell>
          <cell r="I130">
            <v>0</v>
          </cell>
          <cell r="J130">
            <v>0</v>
          </cell>
          <cell r="K130" t="str">
            <v>Dirección Administrativa</v>
          </cell>
          <cell r="L130" t="str">
            <v>MPA1-P5-10</v>
          </cell>
          <cell r="M130" t="str">
            <v>Porcentaje del nivel de cumplimiento estándar de consumo de agua</v>
          </cell>
          <cell r="N130" t="str">
            <v>Medir el consumo de agua en la Sede de la Dirección General y las Regionales del ICBF, frente a los estándares de consumo fijados,  para establecer el ahorro en el consumo de agua.</v>
          </cell>
          <cell r="O130" t="str">
            <v>Estático</v>
          </cell>
          <cell r="P130" t="str">
            <v>Resultado/Producto</v>
          </cell>
          <cell r="Q130">
            <v>0.98</v>
          </cell>
          <cell r="R130" t="str">
            <v>Resultado/Producto</v>
          </cell>
          <cell r="S130" t="str">
            <v>Eficacia</v>
          </cell>
          <cell r="T130">
            <v>0.98</v>
          </cell>
          <cell r="U130" t="str">
            <v>N/A</v>
          </cell>
          <cell r="V130" t="str">
            <v>Porcentaje</v>
          </cell>
          <cell r="W130" t="str">
            <v>Si</v>
          </cell>
          <cell r="X130" t="str">
            <v>Si</v>
          </cell>
          <cell r="Y130" t="str">
            <v>No</v>
          </cell>
          <cell r="Z130" t="str">
            <v>No</v>
          </cell>
          <cell r="AA130" t="str">
            <v>No</v>
          </cell>
          <cell r="AB130" t="str">
            <v>No</v>
          </cell>
          <cell r="AC130" t="str">
            <v>Consumo de agua de la Sede de la Dirección General y Regionales en el Periodo establecido.</v>
          </cell>
          <cell r="AD130" t="str">
            <v xml:space="preserve">F01 PA03 M Valija Servicios Publicos </v>
          </cell>
          <cell r="AE130" t="str">
            <v>Estándar de consumo de agua de Cada Regional y Sede de la Dirección General.</v>
          </cell>
          <cell r="AF130" t="str">
            <v>F01 PA03 M Valija Servicios Publicos</v>
          </cell>
          <cell r="AG130" t="str">
            <v>Unidades de Consumo en el periodo, Dirección General, Regional / Unidades de Consumo Estándar  Dirección General, Regional *100%</v>
          </cell>
          <cell r="AH130" t="str">
            <v>Cuatrimestre</v>
          </cell>
          <cell r="AI130">
            <v>0</v>
          </cell>
          <cell r="AJ130">
            <v>0</v>
          </cell>
          <cell r="AK130">
            <v>0</v>
          </cell>
          <cell r="AL130" t="str">
            <v>x</v>
          </cell>
          <cell r="AM130">
            <v>0</v>
          </cell>
          <cell r="AN130">
            <v>0</v>
          </cell>
          <cell r="AO130">
            <v>0</v>
          </cell>
          <cell r="AP130" t="str">
            <v>x</v>
          </cell>
          <cell r="AQ130">
            <v>0</v>
          </cell>
          <cell r="AR130">
            <v>0</v>
          </cell>
          <cell r="AS130">
            <v>0</v>
          </cell>
          <cell r="AT130" t="str">
            <v>x</v>
          </cell>
        </row>
        <row r="131">
          <cell r="B131">
            <v>127</v>
          </cell>
          <cell r="C131" t="str">
            <v>MPA1</v>
          </cell>
          <cell r="D131" t="str">
            <v>Gestión Soporte</v>
          </cell>
          <cell r="E131" t="str">
            <v>MPA1-P5</v>
          </cell>
          <cell r="F131" t="str">
            <v>Gestión Administrativa</v>
          </cell>
          <cell r="G131" t="str">
            <v>N/A</v>
          </cell>
          <cell r="H131" t="str">
            <v>N/A</v>
          </cell>
          <cell r="I131">
            <v>0</v>
          </cell>
          <cell r="J131">
            <v>0</v>
          </cell>
          <cell r="K131" t="str">
            <v>Dirección Administrativa</v>
          </cell>
          <cell r="L131" t="str">
            <v>MPA1-P5-11</v>
          </cell>
          <cell r="M131" t="str">
            <v>Porcentaje del Nivel de cumplimiento estándar de consumo del recurso energético.</v>
          </cell>
          <cell r="N131" t="str">
            <v>Medir el consumo del recurso energético en las Regionales y Sede de la Dirección
General del ICBF, frente a los estándares de consumo fijados para cada una.</v>
          </cell>
          <cell r="O131" t="str">
            <v>Estático</v>
          </cell>
          <cell r="P131" t="str">
            <v>Resultado/Producto</v>
          </cell>
          <cell r="Q131">
            <v>0.97</v>
          </cell>
          <cell r="R131" t="str">
            <v>Resultado/Producto</v>
          </cell>
          <cell r="S131" t="str">
            <v>Eficacia</v>
          </cell>
          <cell r="T131">
            <v>0.97</v>
          </cell>
          <cell r="U131" t="str">
            <v>N/A</v>
          </cell>
          <cell r="V131" t="str">
            <v>Porcentaje</v>
          </cell>
          <cell r="W131" t="str">
            <v>Si</v>
          </cell>
          <cell r="X131" t="str">
            <v>Si</v>
          </cell>
          <cell r="Y131" t="str">
            <v>No</v>
          </cell>
          <cell r="Z131" t="str">
            <v>No</v>
          </cell>
          <cell r="AA131" t="str">
            <v>No</v>
          </cell>
          <cell r="AB131" t="str">
            <v>No</v>
          </cell>
          <cell r="AC131" t="str">
            <v xml:space="preserve"> Consumo de energia en Regionales y Sede de la Dirección General del Periodo establecido.</v>
          </cell>
          <cell r="AD131" t="str">
            <v>F01 PA03 M Valija Servicios Publicos</v>
          </cell>
          <cell r="AE131" t="str">
            <v>Estándar de consumo de energia de Cada Regional y Sede de la Dirección General.</v>
          </cell>
          <cell r="AF131" t="str">
            <v>F01 PA03 M Valija Servicios Publicos</v>
          </cell>
          <cell r="AG131" t="str">
            <v>(Unidades de Consumo en el Periodo, Regional, Dirección General / Unidades de Consumo Estándar  Regional, Dirección General) *100%</v>
          </cell>
          <cell r="AH131" t="str">
            <v>Cuatrimestre</v>
          </cell>
          <cell r="AI131">
            <v>0</v>
          </cell>
          <cell r="AJ131">
            <v>0</v>
          </cell>
          <cell r="AK131">
            <v>0</v>
          </cell>
          <cell r="AL131" t="str">
            <v>x</v>
          </cell>
          <cell r="AM131">
            <v>0</v>
          </cell>
          <cell r="AN131">
            <v>0</v>
          </cell>
          <cell r="AO131">
            <v>0</v>
          </cell>
          <cell r="AP131" t="str">
            <v>x</v>
          </cell>
          <cell r="AQ131">
            <v>0</v>
          </cell>
          <cell r="AR131">
            <v>0</v>
          </cell>
          <cell r="AS131">
            <v>0</v>
          </cell>
          <cell r="AT131" t="str">
            <v>x</v>
          </cell>
        </row>
        <row r="132">
          <cell r="B132">
            <v>128</v>
          </cell>
          <cell r="C132" t="str">
            <v>MPA1</v>
          </cell>
          <cell r="D132" t="str">
            <v>Gestión Soporte</v>
          </cell>
          <cell r="E132" t="str">
            <v>MPA1-P6</v>
          </cell>
          <cell r="F132" t="str">
            <v>Gestión Contratación</v>
          </cell>
          <cell r="G132" t="str">
            <v>Gestión misional y de Gobierno</v>
          </cell>
          <cell r="H132" t="str">
            <v>Indicadores y metas de gobierno</v>
          </cell>
          <cell r="I132">
            <v>0</v>
          </cell>
          <cell r="J132">
            <v>0</v>
          </cell>
          <cell r="K132" t="str">
            <v>Dirección de Contratación</v>
          </cell>
          <cell r="L132" t="str">
            <v>PA-63</v>
          </cell>
          <cell r="M132" t="str">
            <v xml:space="preserve">Porcentaje de avance de la actualización y aplicación del Proceso de Gestión de Contratación en la Sede de la Dirección Nacional y Direcciones Regionales </v>
          </cell>
          <cell r="N132" t="str">
            <v>Identificar de avance en la revision, actualización y aplicación del proceso de Gestión de Contratación.</v>
          </cell>
          <cell r="O132" t="str">
            <v>Creciente</v>
          </cell>
          <cell r="P132" t="str">
            <v>Resultado</v>
          </cell>
          <cell r="Q132">
            <v>0</v>
          </cell>
          <cell r="R132" t="str">
            <v>Resultado</v>
          </cell>
          <cell r="S132" t="str">
            <v>Calidad</v>
          </cell>
          <cell r="T132">
            <v>1</v>
          </cell>
          <cell r="U132">
            <v>1</v>
          </cell>
          <cell r="V132" t="str">
            <v>Porcentaje</v>
          </cell>
          <cell r="W132" t="str">
            <v>Si</v>
          </cell>
          <cell r="X132" t="str">
            <v>Si</v>
          </cell>
          <cell r="Y132" t="str">
            <v>No</v>
          </cell>
          <cell r="Z132" t="str">
            <v>No</v>
          </cell>
          <cell r="AA132" t="str">
            <v>Si</v>
          </cell>
          <cell r="AB132" t="str">
            <v>Si</v>
          </cell>
          <cell r="AC132" t="str">
            <v xml:space="preserve">Numero de actividades de la actualización y aplicación del procesos desarrolladas </v>
          </cell>
          <cell r="AD132" t="str">
            <v xml:space="preserve">Reporte de la Direccion de Contratacion </v>
          </cell>
          <cell r="AE132" t="str">
            <v>Numero de actividades de la actualización y aplicación del proceso totales</v>
          </cell>
          <cell r="AF132" t="str">
            <v>Plan de Accion 2015</v>
          </cell>
          <cell r="AG132" t="str">
            <v>Numero de actividades de la actualización y aplicación del procesos desarrolladas sobre numero de actividades de la actualización y aplicación del proceso totales</v>
          </cell>
          <cell r="AH132" t="str">
            <v>Trimestral</v>
          </cell>
          <cell r="AI132">
            <v>0</v>
          </cell>
          <cell r="AJ132">
            <v>0</v>
          </cell>
          <cell r="AK132" t="str">
            <v>x</v>
          </cell>
          <cell r="AL132">
            <v>0</v>
          </cell>
          <cell r="AM132">
            <v>0</v>
          </cell>
          <cell r="AN132" t="str">
            <v>x</v>
          </cell>
          <cell r="AO132">
            <v>0</v>
          </cell>
          <cell r="AP132">
            <v>0</v>
          </cell>
          <cell r="AQ132" t="str">
            <v>x</v>
          </cell>
          <cell r="AR132">
            <v>0</v>
          </cell>
          <cell r="AS132">
            <v>0</v>
          </cell>
          <cell r="AT132" t="str">
            <v>x</v>
          </cell>
        </row>
        <row r="133">
          <cell r="B133">
            <v>129</v>
          </cell>
          <cell r="C133" t="str">
            <v>MPA1</v>
          </cell>
          <cell r="D133" t="str">
            <v>Gestión Soporte</v>
          </cell>
          <cell r="E133" t="str">
            <v>MPA1-P6</v>
          </cell>
          <cell r="F133" t="str">
            <v>Gestión Contratación</v>
          </cell>
          <cell r="G133" t="str">
            <v>Gestión misional y de Gobierno</v>
          </cell>
          <cell r="H133" t="str">
            <v>Indicadores y metas de gobierno</v>
          </cell>
          <cell r="I133">
            <v>0</v>
          </cell>
          <cell r="J133">
            <v>0</v>
          </cell>
          <cell r="K133" t="str">
            <v>Dirección de Contratación</v>
          </cell>
          <cell r="L133" t="str">
            <v>PA-64</v>
          </cell>
          <cell r="M133" t="str">
            <v>Porcentaje de contratos liquidados de la Sede de la Dirección Nacional y Direcciones Regionales</v>
          </cell>
          <cell r="N133" t="str">
            <v>Identificar el porcentaje de contratos liquidados de la Sede de la Dirección Nacional y Direcciones Regionales.</v>
          </cell>
          <cell r="O133" t="str">
            <v>Estático</v>
          </cell>
          <cell r="P133" t="str">
            <v>Resultado</v>
          </cell>
          <cell r="Q133">
            <v>0.18</v>
          </cell>
          <cell r="R133" t="str">
            <v>Resultado</v>
          </cell>
          <cell r="S133" t="str">
            <v>Calidad</v>
          </cell>
          <cell r="T133">
            <v>1</v>
          </cell>
          <cell r="U133">
            <v>1</v>
          </cell>
          <cell r="V133" t="str">
            <v>Porcentaje</v>
          </cell>
          <cell r="W133" t="str">
            <v>Si</v>
          </cell>
          <cell r="X133" t="str">
            <v>Si</v>
          </cell>
          <cell r="Y133" t="str">
            <v>No</v>
          </cell>
          <cell r="Z133" t="str">
            <v>No</v>
          </cell>
          <cell r="AA133" t="str">
            <v>No</v>
          </cell>
          <cell r="AB133" t="str">
            <v>Si</v>
          </cell>
          <cell r="AC133" t="str">
            <v>Numero de contratos Liquidados</v>
          </cell>
          <cell r="AD133" t="str">
            <v>FUC actualizado de la Sede de la Direccion Nacional y  Direcciones Regionales par las diferentes vigencias.</v>
          </cell>
          <cell r="AE133" t="str">
            <v>Numero de Contratos por Liquidar</v>
          </cell>
          <cell r="AF133" t="str">
            <v>FUC actualizado de la Sede de la Direccion Nacional y  Direcciones Regionales par las diferentes vigencias.</v>
          </cell>
          <cell r="AG133" t="str">
            <v>Numero de Contratos Liquidados sobre Numero de Contratos totales por liquidar</v>
          </cell>
          <cell r="AH133" t="str">
            <v>Bimestral</v>
          </cell>
          <cell r="AI133">
            <v>0</v>
          </cell>
          <cell r="AJ133" t="str">
            <v>x</v>
          </cell>
          <cell r="AK133">
            <v>0</v>
          </cell>
          <cell r="AL133" t="str">
            <v>x</v>
          </cell>
          <cell r="AM133">
            <v>0</v>
          </cell>
          <cell r="AN133" t="str">
            <v>x</v>
          </cell>
          <cell r="AO133">
            <v>0</v>
          </cell>
          <cell r="AP133" t="str">
            <v>x</v>
          </cell>
          <cell r="AQ133">
            <v>0</v>
          </cell>
          <cell r="AR133" t="str">
            <v>x</v>
          </cell>
          <cell r="AS133">
            <v>0</v>
          </cell>
          <cell r="AT133" t="str">
            <v>x</v>
          </cell>
        </row>
        <row r="134">
          <cell r="B134">
            <v>130</v>
          </cell>
          <cell r="C134" t="str">
            <v>MPA2</v>
          </cell>
          <cell r="D134" t="str">
            <v>Gestión Jurídica</v>
          </cell>
          <cell r="E134" t="str">
            <v>N/A</v>
          </cell>
          <cell r="F134" t="str">
            <v>N/A</v>
          </cell>
          <cell r="G134" t="str">
            <v>N/A</v>
          </cell>
          <cell r="H134" t="str">
            <v>N/A</v>
          </cell>
          <cell r="I134">
            <v>0</v>
          </cell>
          <cell r="J134">
            <v>0</v>
          </cell>
          <cell r="K134" t="str">
            <v>Oficina Asesora Jurídica</v>
          </cell>
          <cell r="L134" t="str">
            <v>MPA2-01</v>
          </cell>
          <cell r="M134" t="str">
            <v>Porcentaje de oportunidad en el cumplimiento de términos e intervenciones en los Procesos Judiciales.</v>
          </cell>
          <cell r="N134" t="str">
            <v>Conocer la oportunidad en el cumplimiento de términos e intervenciones de los apoderados judiciales que representan al ICBF en los procesos judiciales.</v>
          </cell>
          <cell r="O134">
            <v>0</v>
          </cell>
          <cell r="P134">
            <v>0</v>
          </cell>
          <cell r="Q134">
            <v>0</v>
          </cell>
          <cell r="R134" t="str">
            <v>Gestión</v>
          </cell>
          <cell r="S134" t="str">
            <v>Eficacia</v>
          </cell>
          <cell r="T134">
            <v>1</v>
          </cell>
          <cell r="U134">
            <v>0</v>
          </cell>
          <cell r="V134" t="str">
            <v>Porcentaje</v>
          </cell>
          <cell r="W134" t="str">
            <v>Si</v>
          </cell>
          <cell r="X134" t="str">
            <v>Si</v>
          </cell>
          <cell r="Y134" t="str">
            <v>No</v>
          </cell>
          <cell r="Z134" t="str">
            <v>No</v>
          </cell>
          <cell r="AA134" t="str">
            <v>No</v>
          </cell>
          <cell r="AB134" t="str">
            <v>No</v>
          </cell>
          <cell r="AC134" t="str">
            <v>Número de incumplimientos e intervenciones en procesos judiciales</v>
          </cell>
          <cell r="AD134" t="str">
            <v>Base de datos de LITIGOB de la ANDJE
Portal Siglo XXI de la Rama Judicial del CSJ
Herramienta de seguimiento y vigilancia procesal ICBF</v>
          </cell>
          <cell r="AE134" t="str">
            <v>Total de cumplimientos de términos de Ley en los procesos judiciales</v>
          </cell>
          <cell r="AF134" t="str">
            <v>Base de datos de LITIGOB de la ANDJE
Portal Siglo XXI de la Rama Judicial del CSJ
Herramienta de seguimiento y vigilancia procesal ICBF</v>
          </cell>
          <cell r="AG134" t="str">
            <v>(Número de incumplimientos e intervenciones en procesos judiciales / Total de cumplimientos de términos de Ley en los procesos judiciales)*100.</v>
          </cell>
          <cell r="AH134" t="str">
            <v>Trimestral</v>
          </cell>
          <cell r="AI134">
            <v>0</v>
          </cell>
          <cell r="AJ134">
            <v>0</v>
          </cell>
          <cell r="AK134" t="str">
            <v>x</v>
          </cell>
          <cell r="AL134">
            <v>0</v>
          </cell>
          <cell r="AM134">
            <v>0</v>
          </cell>
          <cell r="AN134" t="str">
            <v>x</v>
          </cell>
          <cell r="AO134">
            <v>0</v>
          </cell>
          <cell r="AP134">
            <v>0</v>
          </cell>
          <cell r="AQ134" t="str">
            <v>x</v>
          </cell>
          <cell r="AR134">
            <v>0</v>
          </cell>
          <cell r="AS134">
            <v>0</v>
          </cell>
          <cell r="AT134" t="str">
            <v>x</v>
          </cell>
        </row>
        <row r="135">
          <cell r="B135">
            <v>131</v>
          </cell>
          <cell r="C135" t="str">
            <v>MPA2</v>
          </cell>
          <cell r="D135" t="str">
            <v>Gestión Jurídica</v>
          </cell>
          <cell r="E135" t="str">
            <v>N/A</v>
          </cell>
          <cell r="F135" t="str">
            <v>N/A</v>
          </cell>
          <cell r="G135" t="str">
            <v>N/A</v>
          </cell>
          <cell r="H135" t="str">
            <v>N/A</v>
          </cell>
          <cell r="I135">
            <v>0</v>
          </cell>
          <cell r="J135">
            <v>0</v>
          </cell>
          <cell r="K135" t="str">
            <v>Oficina Asesora Jurídica</v>
          </cell>
          <cell r="L135" t="str">
            <v>MPA2-02</v>
          </cell>
          <cell r="M135" t="str">
            <v>Oportunidad en la elaboración de Conceptos</v>
          </cell>
          <cell r="N135" t="str">
            <v>Medir el tiempo de respuesta o de elaboración de conceptos jurídicos solicitados a la Oficina Asesora Jurídica de la Dirección General.</v>
          </cell>
          <cell r="O135" t="str">
            <v xml:space="preserve">Estatico </v>
          </cell>
          <cell r="P135" t="str">
            <v xml:space="preserve">Gestión </v>
          </cell>
          <cell r="Q135">
            <v>1</v>
          </cell>
          <cell r="R135" t="str">
            <v>Gestión</v>
          </cell>
          <cell r="S135" t="str">
            <v>Eficacia</v>
          </cell>
          <cell r="T135">
            <v>1</v>
          </cell>
          <cell r="U135" t="str">
            <v>N/A</v>
          </cell>
          <cell r="V135" t="str">
            <v>Porcentaje</v>
          </cell>
          <cell r="W135" t="str">
            <v>Si</v>
          </cell>
          <cell r="X135" t="str">
            <v>No</v>
          </cell>
          <cell r="Y135" t="str">
            <v>No</v>
          </cell>
          <cell r="Z135" t="str">
            <v>No</v>
          </cell>
          <cell r="AA135" t="str">
            <v>No</v>
          </cell>
          <cell r="AB135" t="str">
            <v>No</v>
          </cell>
          <cell r="AC135" t="str">
            <v xml:space="preserve">Número de solicitudes de conceptos tramitadas dentro del término legal. </v>
          </cell>
          <cell r="AD135" t="str">
            <v>Consolidado de conceptos juridicos emitidos por la Oficina Asesora Jurídica</v>
          </cell>
          <cell r="AE135" t="str">
            <v>Total de solicitudes recibidas en el periodo</v>
          </cell>
          <cell r="AF135" t="str">
            <v>Base de datos de Reparto Oficina Asesora Jurídica</v>
          </cell>
          <cell r="AG135" t="str">
            <v>(Número de solicitudes de conceptos tramitadas dentro del término legal / Total de solicitudes recibidas en el periodo)*100.
Nota: Las solicitudes de conceptos que no han cumplido los términos de Ley en el período actual, se sumarán en el siguiente.</v>
          </cell>
          <cell r="AH135" t="str">
            <v>Trimestral</v>
          </cell>
          <cell r="AI135">
            <v>0</v>
          </cell>
          <cell r="AJ135">
            <v>0</v>
          </cell>
          <cell r="AK135" t="str">
            <v>x</v>
          </cell>
          <cell r="AL135">
            <v>0</v>
          </cell>
          <cell r="AM135">
            <v>0</v>
          </cell>
          <cell r="AN135" t="str">
            <v>x</v>
          </cell>
          <cell r="AO135">
            <v>0</v>
          </cell>
          <cell r="AP135">
            <v>0</v>
          </cell>
          <cell r="AQ135" t="str">
            <v>x</v>
          </cell>
          <cell r="AR135">
            <v>0</v>
          </cell>
          <cell r="AS135">
            <v>0</v>
          </cell>
          <cell r="AT135" t="str">
            <v>x</v>
          </cell>
        </row>
        <row r="136">
          <cell r="B136">
            <v>132</v>
          </cell>
          <cell r="C136" t="str">
            <v>MPA2</v>
          </cell>
          <cell r="D136" t="str">
            <v>Gestión Jurídica</v>
          </cell>
          <cell r="E136" t="str">
            <v>N/A</v>
          </cell>
          <cell r="F136" t="str">
            <v>N/A</v>
          </cell>
          <cell r="G136" t="str">
            <v>N/A</v>
          </cell>
          <cell r="H136" t="str">
            <v>N/A</v>
          </cell>
          <cell r="I136">
            <v>0</v>
          </cell>
          <cell r="J136">
            <v>0</v>
          </cell>
          <cell r="K136" t="str">
            <v>Oficina Asesora Jurídica</v>
          </cell>
          <cell r="L136" t="str">
            <v>MPA2-03</v>
          </cell>
          <cell r="M136" t="str">
            <v>Porcentaje de recomendaciones para la prevención del daño antijurídico con plan de mejora en Isolución.</v>
          </cell>
          <cell r="N136" t="str">
            <v>Promover acciones tendientes a mitigar los riegos en la producción de daño antijurídico para la generación de soluciones institucionales</v>
          </cell>
          <cell r="O136" t="str">
            <v xml:space="preserve">Estatico </v>
          </cell>
          <cell r="P136" t="str">
            <v xml:space="preserve">Gestión </v>
          </cell>
          <cell r="Q136">
            <v>1</v>
          </cell>
          <cell r="R136" t="str">
            <v>Gestión</v>
          </cell>
          <cell r="S136" t="str">
            <v>Eficacia</v>
          </cell>
          <cell r="T136">
            <v>1</v>
          </cell>
          <cell r="U136" t="str">
            <v>N/A</v>
          </cell>
          <cell r="V136" t="str">
            <v>Porcentaje</v>
          </cell>
          <cell r="W136" t="str">
            <v>Si</v>
          </cell>
          <cell r="X136" t="str">
            <v>No</v>
          </cell>
          <cell r="Y136" t="str">
            <v>No</v>
          </cell>
          <cell r="Z136" t="str">
            <v>No</v>
          </cell>
          <cell r="AA136" t="str">
            <v>No</v>
          </cell>
          <cell r="AB136" t="str">
            <v>No</v>
          </cell>
          <cell r="AC136" t="str">
            <v>Número de casos con recomendaciones del Comité de Defensa Judicial y Conciliación con Plan de mejora en Isolución.</v>
          </cell>
          <cell r="AD136" t="str">
            <v>Aplicativo Isolución</v>
          </cell>
          <cell r="AE136" t="str">
            <v>Número de casos de daño antijurídico con recomendación del Comité de Defensa Judicial y Conciliación.</v>
          </cell>
          <cell r="AF136" t="str">
            <v xml:space="preserve">Base de datos de recomendaciones sobre prevención del daño antijurídico. </v>
          </cell>
          <cell r="AG136" t="str">
            <v>(Número de casos con recomendaciones del Comité de Defensa Judicial y Conciliación con Plan de mejora en Isolución  /  Número de casos de daño antijurídico con recomendación del Comité de Defensa Judicial y Conciliación)*100.
NOTA: No se incluyen los casos que se remiten a la Oficina de Control Interno Disciplinario.</v>
          </cell>
          <cell r="AH136" t="str">
            <v>Trimestral</v>
          </cell>
          <cell r="AI136">
            <v>0</v>
          </cell>
          <cell r="AJ136">
            <v>0</v>
          </cell>
          <cell r="AK136" t="str">
            <v>x</v>
          </cell>
          <cell r="AL136">
            <v>0</v>
          </cell>
          <cell r="AM136">
            <v>0</v>
          </cell>
          <cell r="AN136" t="str">
            <v>x</v>
          </cell>
          <cell r="AO136">
            <v>0</v>
          </cell>
          <cell r="AP136">
            <v>0</v>
          </cell>
          <cell r="AQ136" t="str">
            <v>x</v>
          </cell>
          <cell r="AR136">
            <v>0</v>
          </cell>
          <cell r="AS136">
            <v>0</v>
          </cell>
          <cell r="AT136" t="str">
            <v>x</v>
          </cell>
        </row>
        <row r="137">
          <cell r="B137">
            <v>133</v>
          </cell>
          <cell r="C137" t="str">
            <v>MPA2</v>
          </cell>
          <cell r="D137" t="str">
            <v>Gestión Jurídica</v>
          </cell>
          <cell r="E137" t="str">
            <v>N/A</v>
          </cell>
          <cell r="F137" t="str">
            <v>N/A</v>
          </cell>
          <cell r="G137" t="str">
            <v>Gestión misional y de Gobierno</v>
          </cell>
          <cell r="H137" t="str">
            <v>Indicadores y metas de gobierno</v>
          </cell>
          <cell r="I137">
            <v>0</v>
          </cell>
          <cell r="J137">
            <v>0</v>
          </cell>
          <cell r="K137" t="str">
            <v>Oficina Asesora Jurídica</v>
          </cell>
          <cell r="L137" t="str">
            <v>PA-65</v>
          </cell>
          <cell r="M137" t="str">
            <v>Diseño e implementacion de un modelo eficiente de prevencion del daño antijuridico.</v>
          </cell>
          <cell r="N137" t="str">
            <v>Fortalecer las herramientas juridicas tendientes a la prevención del daño antijurídico.</v>
          </cell>
          <cell r="O137" t="str">
            <v>Creciente</v>
          </cell>
          <cell r="P137" t="str">
            <v>Resultado</v>
          </cell>
          <cell r="Q137" t="str">
            <v>N/A</v>
          </cell>
          <cell r="R137" t="str">
            <v>Resultado</v>
          </cell>
          <cell r="S137" t="str">
            <v>Eficacia</v>
          </cell>
          <cell r="T137">
            <v>0.5</v>
          </cell>
          <cell r="U137">
            <v>1</v>
          </cell>
          <cell r="V137" t="str">
            <v>Porcentaje</v>
          </cell>
          <cell r="W137" t="str">
            <v>Si</v>
          </cell>
          <cell r="X137" t="str">
            <v>No</v>
          </cell>
          <cell r="Y137" t="str">
            <v>No</v>
          </cell>
          <cell r="Z137" t="str">
            <v>No</v>
          </cell>
          <cell r="AA137" t="str">
            <v>Si</v>
          </cell>
          <cell r="AB137" t="str">
            <v>Si</v>
          </cell>
          <cell r="AC137" t="str">
            <v>Número de actividades realizadas</v>
          </cell>
          <cell r="AD137" t="str">
            <v xml:space="preserve">Plan de Accion Oficina Asesora Juridica </v>
          </cell>
          <cell r="AE137" t="str">
            <v>Total de actividades programadas</v>
          </cell>
          <cell r="AF137" t="str">
            <v xml:space="preserve">Plan de Accion Oficina Asesora Juridica </v>
          </cell>
          <cell r="AG137" t="str">
            <v>(Número de actividades realizadas / Total de actividades programadas)*100.</v>
          </cell>
          <cell r="AH137" t="str">
            <v>Cuatrimestral</v>
          </cell>
          <cell r="AI137">
            <v>0</v>
          </cell>
          <cell r="AJ137">
            <v>0</v>
          </cell>
          <cell r="AK137">
            <v>0</v>
          </cell>
          <cell r="AL137" t="str">
            <v>x</v>
          </cell>
          <cell r="AM137">
            <v>0</v>
          </cell>
          <cell r="AN137">
            <v>0</v>
          </cell>
          <cell r="AO137">
            <v>0</v>
          </cell>
          <cell r="AP137" t="str">
            <v>x</v>
          </cell>
          <cell r="AQ137">
            <v>0</v>
          </cell>
          <cell r="AR137">
            <v>0</v>
          </cell>
          <cell r="AS137">
            <v>0</v>
          </cell>
          <cell r="AT137" t="str">
            <v>x</v>
          </cell>
        </row>
        <row r="138">
          <cell r="B138">
            <v>134</v>
          </cell>
          <cell r="C138" t="str">
            <v>MPA3</v>
          </cell>
          <cell r="D138" t="str">
            <v>Gestión Regional</v>
          </cell>
          <cell r="E138" t="str">
            <v>N/A</v>
          </cell>
          <cell r="F138" t="str">
            <v>N/A</v>
          </cell>
          <cell r="G138" t="str">
            <v>Gestión misional y de Gobierno</v>
          </cell>
          <cell r="H138" t="str">
            <v>Indicadores y metas de gobierno</v>
          </cell>
          <cell r="I138">
            <v>0</v>
          </cell>
          <cell r="J138">
            <v>0</v>
          </cell>
          <cell r="K138" t="str">
            <v>Oficina de Gestión Regional</v>
          </cell>
          <cell r="L138" t="str">
            <v>PA-66</v>
          </cell>
          <cell r="M138" t="str">
            <v>Porcentaje de cumplimiento de diseño e implementación del modelo de acompañamiento.</v>
          </cell>
          <cell r="N138" t="str">
            <v>Medir el avance del diseño e implementación del modelo de acompañamiento.</v>
          </cell>
          <cell r="O138" t="str">
            <v>Creciente</v>
          </cell>
          <cell r="P138" t="str">
            <v>Gestión</v>
          </cell>
          <cell r="Q138" t="str">
            <v>Sin línea base</v>
          </cell>
          <cell r="R138" t="str">
            <v>Resultado</v>
          </cell>
          <cell r="S138" t="str">
            <v>Eficacia</v>
          </cell>
          <cell r="T138">
            <v>0.25</v>
          </cell>
          <cell r="U138">
            <v>1</v>
          </cell>
          <cell r="V138" t="str">
            <v>Porcentaje</v>
          </cell>
          <cell r="W138" t="str">
            <v>Si</v>
          </cell>
          <cell r="X138" t="str">
            <v>No</v>
          </cell>
          <cell r="Y138" t="str">
            <v>No</v>
          </cell>
          <cell r="Z138" t="str">
            <v>No</v>
          </cell>
          <cell r="AA138" t="str">
            <v>Si</v>
          </cell>
          <cell r="AB138" t="str">
            <v>Si</v>
          </cell>
          <cell r="AC138" t="str">
            <v>Número de etapas logradas en la vigencia</v>
          </cell>
          <cell r="AD138" t="str">
            <v>Oficina de Gestión Regional</v>
          </cell>
          <cell r="AE138" t="str">
            <v>Número de etapas definidas en el modelo para el cuatrienio</v>
          </cell>
          <cell r="AF138" t="str">
            <v>Oficina de Gestión Regional</v>
          </cell>
          <cell r="AG138" t="str">
            <v>Número de etapas logradas en la vigencia/número de etapas definidas en el modelo para el cuatrenio</v>
          </cell>
          <cell r="AH138" t="str">
            <v>Semestral</v>
          </cell>
          <cell r="AI138">
            <v>0</v>
          </cell>
          <cell r="AJ138">
            <v>0</v>
          </cell>
          <cell r="AK138">
            <v>0</v>
          </cell>
          <cell r="AL138">
            <v>0</v>
          </cell>
          <cell r="AM138">
            <v>0</v>
          </cell>
          <cell r="AN138" t="str">
            <v>x</v>
          </cell>
          <cell r="AO138">
            <v>0</v>
          </cell>
          <cell r="AP138">
            <v>0</v>
          </cell>
          <cell r="AQ138">
            <v>0</v>
          </cell>
          <cell r="AR138">
            <v>0</v>
          </cell>
          <cell r="AS138">
            <v>0</v>
          </cell>
          <cell r="AT138" t="str">
            <v>x</v>
          </cell>
        </row>
        <row r="139">
          <cell r="B139">
            <v>135</v>
          </cell>
          <cell r="C139" t="str">
            <v>MPA3</v>
          </cell>
          <cell r="D139" t="str">
            <v>Gestión Regional</v>
          </cell>
          <cell r="E139" t="str">
            <v>N/A</v>
          </cell>
          <cell r="F139" t="str">
            <v>N/A</v>
          </cell>
          <cell r="G139" t="str">
            <v>Gestión misional y de Gobierno</v>
          </cell>
          <cell r="H139" t="str">
            <v>Indicadores y metas de gobierno</v>
          </cell>
          <cell r="I139">
            <v>0</v>
          </cell>
          <cell r="J139">
            <v>0</v>
          </cell>
          <cell r="K139" t="str">
            <v>Oficina de Gestión Regional</v>
          </cell>
          <cell r="L139" t="str">
            <v>PA-67</v>
          </cell>
          <cell r="M139" t="str">
            <v xml:space="preserve"> Porcentaje de regionales priorizadas que mejoraron su gestión.</v>
          </cell>
          <cell r="N139" t="str">
            <v>Medir la mejora en la gestión de las regionales priorizadas.</v>
          </cell>
          <cell r="O139" t="str">
            <v>Creciente</v>
          </cell>
          <cell r="P139" t="str">
            <v>Resultado</v>
          </cell>
          <cell r="Q139">
            <v>0</v>
          </cell>
          <cell r="R139" t="str">
            <v>Resultado</v>
          </cell>
          <cell r="S139" t="str">
            <v>Eficacia</v>
          </cell>
          <cell r="T139">
            <v>1</v>
          </cell>
          <cell r="U139" t="str">
            <v>NA</v>
          </cell>
          <cell r="V139" t="str">
            <v>Porcentaje</v>
          </cell>
          <cell r="W139" t="str">
            <v>Si</v>
          </cell>
          <cell r="X139" t="str">
            <v>No</v>
          </cell>
          <cell r="Y139" t="str">
            <v>No</v>
          </cell>
          <cell r="Z139" t="str">
            <v>No</v>
          </cell>
          <cell r="AA139" t="str">
            <v>No</v>
          </cell>
          <cell r="AB139" t="str">
            <v>Si</v>
          </cell>
          <cell r="AC139" t="str">
            <v>Número de regionales priorizadas que mejoraron su resultado de gestión en el tablero de control regional del período actual, frente al resultado del  tablero de control regional del mes inmediatamente anterior</v>
          </cell>
          <cell r="AD139" t="str">
            <v>Subdirección de Monitoreo y Evaluación - Resultado Tablero de Control Regional</v>
          </cell>
          <cell r="AE139" t="str">
            <v xml:space="preserve">Número de regionales priorizadas </v>
          </cell>
          <cell r="AF139" t="str">
            <v>Subdirección de Monitoreo y Evaluación - Resultado Tablero de Control Regional</v>
          </cell>
          <cell r="AG139" t="str">
            <v>Número de regionales priorizadas que mejoraron su  resultado de gestión en el tablero de control regional/Número de regionales priorizadas</v>
          </cell>
          <cell r="AH139" t="str">
            <v>Mensual</v>
          </cell>
          <cell r="AI139">
            <v>0</v>
          </cell>
          <cell r="AJ139">
            <v>0</v>
          </cell>
          <cell r="AK139">
            <v>0</v>
          </cell>
          <cell r="AL139">
            <v>0</v>
          </cell>
          <cell r="AM139" t="str">
            <v>x</v>
          </cell>
          <cell r="AN139" t="str">
            <v>x</v>
          </cell>
          <cell r="AO139" t="str">
            <v>x</v>
          </cell>
          <cell r="AP139" t="str">
            <v>x</v>
          </cell>
          <cell r="AQ139" t="str">
            <v>x</v>
          </cell>
          <cell r="AR139" t="str">
            <v>x</v>
          </cell>
          <cell r="AS139" t="str">
            <v>x</v>
          </cell>
          <cell r="AT139" t="str">
            <v>x</v>
          </cell>
        </row>
        <row r="140">
          <cell r="B140">
            <v>136</v>
          </cell>
          <cell r="C140" t="str">
            <v>MPA4</v>
          </cell>
          <cell r="D140" t="str">
            <v>Gestión Cooperación</v>
          </cell>
          <cell r="E140" t="str">
            <v>N/A</v>
          </cell>
          <cell r="F140" t="str">
            <v>N/A</v>
          </cell>
          <cell r="G140" t="str">
            <v>Gestión misional y de Gobierno</v>
          </cell>
          <cell r="H140" t="str">
            <v>Indicadores y metas de gobierno</v>
          </cell>
          <cell r="I140">
            <v>0</v>
          </cell>
          <cell r="J140">
            <v>0</v>
          </cell>
          <cell r="K140" t="str">
            <v xml:space="preserve">Oficina de Cooperación y Convenios </v>
          </cell>
          <cell r="L140" t="str">
            <v>PA-68</v>
          </cell>
          <cell r="M140" t="str">
            <v>Número de Regionales articuladas con la estrategia de cooperación.</v>
          </cell>
          <cell r="N140" t="str">
            <v xml:space="preserve">Medir el avance de la implementación de la estrategia de cooperación en las Regionales </v>
          </cell>
          <cell r="O140" t="str">
            <v>Creciente</v>
          </cell>
          <cell r="P140" t="str">
            <v>Resultado</v>
          </cell>
          <cell r="Q140" t="str">
            <v>N/A</v>
          </cell>
          <cell r="R140" t="str">
            <v>Resultado</v>
          </cell>
          <cell r="S140" t="str">
            <v>Eficiencia</v>
          </cell>
          <cell r="T140">
            <v>10</v>
          </cell>
          <cell r="U140">
            <v>32</v>
          </cell>
          <cell r="V140" t="str">
            <v>Número</v>
          </cell>
          <cell r="W140" t="str">
            <v>Si</v>
          </cell>
          <cell r="X140" t="str">
            <v>No</v>
          </cell>
          <cell r="Y140" t="str">
            <v>No</v>
          </cell>
          <cell r="Z140" t="str">
            <v>No</v>
          </cell>
          <cell r="AA140" t="str">
            <v>Si</v>
          </cell>
          <cell r="AB140" t="str">
            <v>Si</v>
          </cell>
          <cell r="AC140" t="str">
            <v xml:space="preserve">Número de regionales articuladas con la estrategia de cooperación. </v>
          </cell>
          <cell r="AD140" t="str">
            <v>Informes de visita a las Regionales</v>
          </cell>
          <cell r="AE140" t="str">
            <v>Número de regionales programadas para articulacion en la vigencia</v>
          </cell>
          <cell r="AF140" t="str">
            <v>Portafolio de la Oficina de Cooperación</v>
          </cell>
          <cell r="AG140" t="str">
            <v xml:space="preserve">No. Regionales articuladas a la estrategia de cooperación. </v>
          </cell>
          <cell r="AH140" t="str">
            <v>Trimestral</v>
          </cell>
          <cell r="AI140">
            <v>0</v>
          </cell>
          <cell r="AJ140">
            <v>0</v>
          </cell>
          <cell r="AK140" t="str">
            <v>x</v>
          </cell>
          <cell r="AL140">
            <v>0</v>
          </cell>
          <cell r="AM140">
            <v>0</v>
          </cell>
          <cell r="AN140" t="str">
            <v>x</v>
          </cell>
          <cell r="AO140">
            <v>0</v>
          </cell>
          <cell r="AP140">
            <v>0</v>
          </cell>
          <cell r="AQ140" t="str">
            <v>x</v>
          </cell>
          <cell r="AR140">
            <v>0</v>
          </cell>
          <cell r="AS140">
            <v>0</v>
          </cell>
          <cell r="AT140" t="str">
            <v>x</v>
          </cell>
        </row>
        <row r="141">
          <cell r="B141">
            <v>137</v>
          </cell>
          <cell r="C141" t="str">
            <v>MPA4</v>
          </cell>
          <cell r="D141" t="str">
            <v>Gestión Cooperación</v>
          </cell>
          <cell r="E141" t="str">
            <v>N/A</v>
          </cell>
          <cell r="F141" t="str">
            <v>N/A</v>
          </cell>
          <cell r="G141" t="str">
            <v>Gestión misional y de Gobierno</v>
          </cell>
          <cell r="H141" t="str">
            <v>Indicadores y metas de gobierno</v>
          </cell>
          <cell r="I141">
            <v>0</v>
          </cell>
          <cell r="J141">
            <v>0</v>
          </cell>
          <cell r="K141" t="str">
            <v xml:space="preserve">Oficina de Cooperación y Convenios </v>
          </cell>
          <cell r="L141" t="str">
            <v>PA-69</v>
          </cell>
          <cell r="M141" t="str">
            <v>Número de alianzas con el sector privado realizadas en 2015</v>
          </cell>
          <cell r="N141" t="str">
            <v>Medir el nuevo número de  alianzas privadas realizadas en 2015</v>
          </cell>
          <cell r="O141" t="str">
            <v>Creciente</v>
          </cell>
          <cell r="P141" t="str">
            <v>Resultado</v>
          </cell>
          <cell r="Q141">
            <v>210</v>
          </cell>
          <cell r="R141" t="str">
            <v>Resultado</v>
          </cell>
          <cell r="S141" t="str">
            <v>Eficiencia</v>
          </cell>
          <cell r="T141">
            <v>50</v>
          </cell>
          <cell r="U141">
            <v>210</v>
          </cell>
          <cell r="V141" t="str">
            <v>Número de alianzas</v>
          </cell>
          <cell r="W141" t="str">
            <v>Si</v>
          </cell>
          <cell r="X141" t="str">
            <v>No</v>
          </cell>
          <cell r="Y141" t="str">
            <v>No</v>
          </cell>
          <cell r="Z141" t="str">
            <v>No</v>
          </cell>
          <cell r="AA141" t="str">
            <v>Si</v>
          </cell>
          <cell r="AB141" t="str">
            <v>Si</v>
          </cell>
          <cell r="AC141" t="str">
            <v>Número de alianzas privadas realizadas durante la vigencia</v>
          </cell>
          <cell r="AD141" t="str">
            <v>Sistema de información de Cooperación SICO</v>
          </cell>
          <cell r="AE141" t="str">
            <v>Número de alianzas privadas realizadas programadas para la vigencia</v>
          </cell>
          <cell r="AF141" t="str">
            <v>Portafolio de la Oficina de Cooperación</v>
          </cell>
          <cell r="AG141" t="str">
            <v>Alianzas privadas realizadas durante la vigencia</v>
          </cell>
          <cell r="AH141" t="str">
            <v>Trimestral</v>
          </cell>
          <cell r="AI141">
            <v>0</v>
          </cell>
          <cell r="AJ141">
            <v>0</v>
          </cell>
          <cell r="AK141" t="str">
            <v>x</v>
          </cell>
          <cell r="AL141">
            <v>0</v>
          </cell>
          <cell r="AM141">
            <v>0</v>
          </cell>
          <cell r="AN141" t="str">
            <v>x</v>
          </cell>
          <cell r="AO141">
            <v>0</v>
          </cell>
          <cell r="AP141">
            <v>0</v>
          </cell>
          <cell r="AQ141" t="str">
            <v>x</v>
          </cell>
          <cell r="AR141">
            <v>0</v>
          </cell>
          <cell r="AS141">
            <v>0</v>
          </cell>
          <cell r="AT141" t="str">
            <v>x</v>
          </cell>
        </row>
        <row r="142">
          <cell r="B142">
            <v>138</v>
          </cell>
          <cell r="C142" t="str">
            <v>MPA4</v>
          </cell>
          <cell r="D142" t="str">
            <v>Gestión Cooperación</v>
          </cell>
          <cell r="E142" t="str">
            <v>N/A</v>
          </cell>
          <cell r="F142" t="str">
            <v>N/A</v>
          </cell>
          <cell r="G142" t="str">
            <v>Gestión misional y de Gobierno</v>
          </cell>
          <cell r="H142" t="str">
            <v>Indicadores y metas de gobierno</v>
          </cell>
          <cell r="I142">
            <v>0</v>
          </cell>
          <cell r="J142">
            <v>0</v>
          </cell>
          <cell r="K142" t="str">
            <v xml:space="preserve">Oficina de Cooperación y Convenios </v>
          </cell>
          <cell r="L142" t="str">
            <v>PA-70</v>
          </cell>
          <cell r="M142" t="str">
            <v>Servicios prestados a través de la estrategia del Derecho a La Felicidad</v>
          </cell>
          <cell r="N142" t="str">
            <v>Medir el nuevo número servicios prestados a   NNA en PARD, con la estrategia del Derecho a La Felicidad</v>
          </cell>
          <cell r="O142" t="str">
            <v>Creciente</v>
          </cell>
          <cell r="P142" t="str">
            <v>Producto</v>
          </cell>
          <cell r="Q142">
            <v>383680</v>
          </cell>
          <cell r="R142" t="str">
            <v>Producto</v>
          </cell>
          <cell r="S142" t="str">
            <v>Eficiencia</v>
          </cell>
          <cell r="T142">
            <v>100000</v>
          </cell>
          <cell r="U142">
            <v>400000</v>
          </cell>
          <cell r="V142" t="str">
            <v>Servicios</v>
          </cell>
          <cell r="W142" t="str">
            <v>Si</v>
          </cell>
          <cell r="X142" t="str">
            <v>No</v>
          </cell>
          <cell r="Y142" t="str">
            <v>No</v>
          </cell>
          <cell r="Z142" t="str">
            <v>No</v>
          </cell>
          <cell r="AA142" t="str">
            <v>Si</v>
          </cell>
          <cell r="AB142" t="str">
            <v>Si</v>
          </cell>
          <cell r="AC142" t="str">
            <v>Servicios prestados a través de la estrategia del Derecho a La Felicidad</v>
          </cell>
          <cell r="AD142" t="str">
            <v>Reportes de los enlaces en las Direcciones Regionales y de la Instituciones PRD</v>
          </cell>
          <cell r="AE142" t="str">
            <v>Número de servicios programados a través de la estrategia del Derecho a La Felicidad para la vigencia</v>
          </cell>
          <cell r="AF142" t="str">
            <v>Portafolio de la Oficina de Cooperación</v>
          </cell>
          <cell r="AG142" t="str">
            <v xml:space="preserve">XX niños, niñas y adolescentes pertenecientes al Proceso Administrativo de Restablecimiento de Derechos beneficiados con la estrategia del Derecho a la Felicidad </v>
          </cell>
          <cell r="AH142" t="str">
            <v>Trimestral</v>
          </cell>
          <cell r="AI142">
            <v>0</v>
          </cell>
          <cell r="AJ142">
            <v>0</v>
          </cell>
          <cell r="AK142" t="str">
            <v>x</v>
          </cell>
          <cell r="AL142">
            <v>0</v>
          </cell>
          <cell r="AM142">
            <v>0</v>
          </cell>
          <cell r="AN142" t="str">
            <v>x</v>
          </cell>
          <cell r="AO142">
            <v>0</v>
          </cell>
          <cell r="AP142">
            <v>0</v>
          </cell>
          <cell r="AQ142" t="str">
            <v>x</v>
          </cell>
          <cell r="AR142">
            <v>0</v>
          </cell>
          <cell r="AS142">
            <v>0</v>
          </cell>
          <cell r="AT142" t="str">
            <v>x</v>
          </cell>
        </row>
        <row r="143">
          <cell r="B143">
            <v>139</v>
          </cell>
          <cell r="C143" t="str">
            <v>MPA4</v>
          </cell>
          <cell r="D143" t="str">
            <v>Gestión Cooperación</v>
          </cell>
          <cell r="E143" t="str">
            <v>N/A</v>
          </cell>
          <cell r="F143" t="str">
            <v>N/A</v>
          </cell>
          <cell r="G143" t="str">
            <v>Gestión misional y de Gobierno</v>
          </cell>
          <cell r="H143" t="str">
            <v>Indicadores y metas de gobierno</v>
          </cell>
          <cell r="I143">
            <v>0</v>
          </cell>
          <cell r="J143">
            <v>0</v>
          </cell>
          <cell r="K143" t="str">
            <v xml:space="preserve">Oficina de Cooperación y Convenios </v>
          </cell>
          <cell r="L143" t="str">
            <v>PA-71</v>
          </cell>
          <cell r="M143" t="str">
            <v>Recursos obtenidos por cooperación</v>
          </cell>
          <cell r="N143" t="str">
            <v>Medir la gestión de recursos de cooperación técnica y financiera ante organizaciones nacionales e internacionales, públicas y privadas.</v>
          </cell>
          <cell r="O143" t="str">
            <v>Creciente</v>
          </cell>
          <cell r="P143" t="str">
            <v>Resultado</v>
          </cell>
          <cell r="Q143">
            <v>20000</v>
          </cell>
          <cell r="R143" t="str">
            <v>Resultado</v>
          </cell>
          <cell r="S143" t="str">
            <v>Eficiencia</v>
          </cell>
          <cell r="T143">
            <v>40000</v>
          </cell>
          <cell r="U143">
            <v>200000</v>
          </cell>
          <cell r="V143" t="str">
            <v>Millones de pesos</v>
          </cell>
          <cell r="W143" t="str">
            <v>Si</v>
          </cell>
          <cell r="X143" t="str">
            <v>No</v>
          </cell>
          <cell r="Y143" t="str">
            <v>No</v>
          </cell>
          <cell r="Z143" t="str">
            <v>No</v>
          </cell>
          <cell r="AA143" t="str">
            <v>Si</v>
          </cell>
          <cell r="AB143" t="str">
            <v>Si</v>
          </cell>
          <cell r="AC143" t="str">
            <v>Recursos obtenidos por cooperación en la vigencia</v>
          </cell>
          <cell r="AD143" t="str">
            <v>Sistema de información de Cooperación SICO</v>
          </cell>
          <cell r="AE143" t="str">
            <v>Recursos de cooperación programados para la vigencia</v>
          </cell>
          <cell r="AF143" t="str">
            <v>Portafolio de la Oficina de Cooperación</v>
          </cell>
          <cell r="AG143" t="str">
            <v>valor económico de la cooperación técnica recibida en el año en curso + valor económico de la cooperación en especie recibida en el año en curso + recursos obtenidos por cooperación en el año en curso.</v>
          </cell>
          <cell r="AH143" t="str">
            <v>Mensual</v>
          </cell>
          <cell r="AI143" t="str">
            <v>x</v>
          </cell>
          <cell r="AJ143" t="str">
            <v>x</v>
          </cell>
          <cell r="AK143" t="str">
            <v>x</v>
          </cell>
          <cell r="AL143" t="str">
            <v>x</v>
          </cell>
          <cell r="AM143" t="str">
            <v>x</v>
          </cell>
          <cell r="AN143" t="str">
            <v>x</v>
          </cell>
          <cell r="AO143" t="str">
            <v>x</v>
          </cell>
          <cell r="AP143" t="str">
            <v>x</v>
          </cell>
          <cell r="AQ143" t="str">
            <v>x</v>
          </cell>
          <cell r="AR143" t="str">
            <v>x</v>
          </cell>
          <cell r="AS143" t="str">
            <v>x</v>
          </cell>
          <cell r="AT143" t="str">
            <v>x</v>
          </cell>
        </row>
        <row r="144">
          <cell r="B144">
            <v>140</v>
          </cell>
          <cell r="C144" t="str">
            <v>MPA5</v>
          </cell>
          <cell r="D144" t="str">
            <v>Gestión Servicio y Atención</v>
          </cell>
          <cell r="E144" t="str">
            <v>MPA5-P1</v>
          </cell>
          <cell r="F144" t="str">
            <v>Gestión Servicio a Beneficiarios</v>
          </cell>
          <cell r="G144" t="str">
            <v>Transparencia, participación y servicio al ciudadano</v>
          </cell>
          <cell r="H144" t="str">
            <v>Servicio al ciudadano</v>
          </cell>
          <cell r="I144">
            <v>0</v>
          </cell>
          <cell r="J144">
            <v>0</v>
          </cell>
          <cell r="K144" t="str">
            <v>Dirección de Servicio y Atención</v>
          </cell>
          <cell r="L144" t="str">
            <v>PA-72</v>
          </cell>
          <cell r="M144" t="str">
            <v xml:space="preserve"> Nivel de Satisfacción de atención al cliente </v>
          </cell>
          <cell r="N144" t="str">
            <v>Medir el grado de satisfacción de los usuarios – beneficiarios, con relación a los programas y servicios que presta el Instituto Colombiano de Bienestar Familiar en todo el territorio nacional.</v>
          </cell>
          <cell r="O144" t="str">
            <v>Estático</v>
          </cell>
          <cell r="P144" t="str">
            <v>Gestión</v>
          </cell>
          <cell r="Q144">
            <v>0.86</v>
          </cell>
          <cell r="R144" t="str">
            <v xml:space="preserve">Gestión  </v>
          </cell>
          <cell r="S144" t="str">
            <v>Eficicacia</v>
          </cell>
          <cell r="T144">
            <v>0.9</v>
          </cell>
          <cell r="U144">
            <v>0.9</v>
          </cell>
          <cell r="V144" t="str">
            <v>Porcentaje</v>
          </cell>
          <cell r="W144" t="str">
            <v>Si</v>
          </cell>
          <cell r="X144" t="str">
            <v>No</v>
          </cell>
          <cell r="Y144" t="str">
            <v>No</v>
          </cell>
          <cell r="Z144" t="str">
            <v>No</v>
          </cell>
          <cell r="AA144" t="str">
            <v>No</v>
          </cell>
          <cell r="AB144" t="str">
            <v>Si</v>
          </cell>
          <cell r="AC144" t="str">
            <v>Resultado  obtenido en la aplicación de las encuestas de satisfacción</v>
          </cell>
          <cell r="AD144" t="str">
            <v>Informe general de encuesta de satisfacción de los usuarios del ICBF en el territorio nacional</v>
          </cell>
          <cell r="AE144" t="str">
            <v>Encuestas aplicadas durante el periodo</v>
          </cell>
          <cell r="AF144" t="str">
            <v>Informe general de encuesta de satisfacción de los usuarios del ICBF en el territorio nacional</v>
          </cell>
          <cell r="AG144" t="str">
            <v>Resultado obtenido de las diferentes aplicaciones utilizadas para la medición de satisfacción.</v>
          </cell>
          <cell r="AH144" t="str">
            <v>Anual</v>
          </cell>
          <cell r="AI144">
            <v>0</v>
          </cell>
          <cell r="AJ144">
            <v>0</v>
          </cell>
          <cell r="AK144">
            <v>0</v>
          </cell>
          <cell r="AL144">
            <v>0</v>
          </cell>
          <cell r="AM144">
            <v>0</v>
          </cell>
          <cell r="AN144">
            <v>0</v>
          </cell>
          <cell r="AO144">
            <v>0</v>
          </cell>
          <cell r="AP144">
            <v>0</v>
          </cell>
          <cell r="AQ144">
            <v>0</v>
          </cell>
          <cell r="AR144">
            <v>0</v>
          </cell>
          <cell r="AS144">
            <v>0</v>
          </cell>
          <cell r="AT144" t="str">
            <v>x</v>
          </cell>
        </row>
        <row r="145">
          <cell r="B145">
            <v>141</v>
          </cell>
          <cell r="C145" t="str">
            <v>MPA5</v>
          </cell>
          <cell r="D145" t="str">
            <v>Gestión Servicio y Atención</v>
          </cell>
          <cell r="E145" t="str">
            <v>MPA5-P1</v>
          </cell>
          <cell r="F145" t="str">
            <v>Gestión Servicio a Beneficiarios</v>
          </cell>
          <cell r="G145" t="str">
            <v>Transparencia, participación y servicio al ciudadano</v>
          </cell>
          <cell r="H145" t="str">
            <v>Servicio al ciudadano</v>
          </cell>
          <cell r="I145">
            <v>0</v>
          </cell>
          <cell r="J145">
            <v>0</v>
          </cell>
          <cell r="K145" t="str">
            <v>Dirección de Servicio y Atención</v>
          </cell>
          <cell r="L145" t="str">
            <v>PA-73</v>
          </cell>
          <cell r="M145" t="str">
            <v>Porcentaje de Implementación del Modelo de Atención Presencial y Puesta en funcionamiento de la  Línea 106 en las 33 Regionales del ICBF en el país</v>
          </cell>
          <cell r="N145" t="str">
            <v xml:space="preserve">Medir el porcentaje de Implementación del Modelo de Atención Presencial y la puesta en funcionamiento de la  Línea 106 en las 33 Regionales del ICBF en el país, con el fin de garantizar la estandarización del proceso de servicios y atención y la asistencia a los NNA de nuestro país, escuchando su voz. </v>
          </cell>
          <cell r="O145" t="str">
            <v>Estático</v>
          </cell>
          <cell r="P145" t="str">
            <v>Gestión</v>
          </cell>
          <cell r="Q145">
            <v>0</v>
          </cell>
          <cell r="R145" t="str">
            <v>Gestión</v>
          </cell>
          <cell r="S145" t="str">
            <v>Eficacia</v>
          </cell>
          <cell r="T145">
            <v>0.3</v>
          </cell>
          <cell r="U145">
            <v>1</v>
          </cell>
          <cell r="V145" t="str">
            <v>Porcentaje</v>
          </cell>
          <cell r="W145" t="str">
            <v>Si</v>
          </cell>
          <cell r="X145" t="str">
            <v>No</v>
          </cell>
          <cell r="Y145" t="str">
            <v>No</v>
          </cell>
          <cell r="Z145" t="str">
            <v>No</v>
          </cell>
          <cell r="AA145" t="str">
            <v>Si</v>
          </cell>
          <cell r="AB145" t="str">
            <v>Si</v>
          </cell>
          <cell r="AC145" t="str">
            <v>Número de  regionales aplicando el modelo de atención presencial y puesta en funcionamiento de la  Línea 106, realizadas a la fecha de corte</v>
          </cell>
          <cell r="AD145" t="str">
            <v>Informes de implementación del modelo de atención y funcionamiento de la línea 106</v>
          </cell>
          <cell r="AE145" t="str">
            <v>Número de Regionales del ICBF</v>
          </cell>
          <cell r="AF145" t="str">
            <v>No hay información en la HV</v>
          </cell>
          <cell r="AG145" t="str">
            <v>Número de  regionales aplicando el modelo de atención presencial y puesta en funcionamiento de la  Línea 106, realizadas a la fecha de corte / Número de Regionales del ICBF</v>
          </cell>
          <cell r="AH145" t="str">
            <v>Anual</v>
          </cell>
          <cell r="AI145">
            <v>0</v>
          </cell>
          <cell r="AJ145">
            <v>0</v>
          </cell>
          <cell r="AK145">
            <v>0</v>
          </cell>
          <cell r="AL145">
            <v>0</v>
          </cell>
          <cell r="AM145">
            <v>0</v>
          </cell>
          <cell r="AN145">
            <v>0</v>
          </cell>
          <cell r="AO145">
            <v>0</v>
          </cell>
          <cell r="AP145">
            <v>0</v>
          </cell>
          <cell r="AQ145">
            <v>0</v>
          </cell>
          <cell r="AR145">
            <v>0</v>
          </cell>
          <cell r="AS145">
            <v>0</v>
          </cell>
          <cell r="AT145" t="str">
            <v>x</v>
          </cell>
        </row>
        <row r="146">
          <cell r="B146">
            <v>142</v>
          </cell>
          <cell r="C146" t="str">
            <v>MPA5</v>
          </cell>
          <cell r="D146" t="str">
            <v>Gestión Servicio y Atención</v>
          </cell>
          <cell r="E146" t="str">
            <v>MPA5-P2</v>
          </cell>
          <cell r="F146" t="str">
            <v>Gestión Atención PQR y sugerencias</v>
          </cell>
          <cell r="G146" t="str">
            <v>Transparencia, participación y servicio al ciudadano</v>
          </cell>
          <cell r="H146" t="str">
            <v>Servicio al ciudadano</v>
          </cell>
          <cell r="I146">
            <v>0</v>
          </cell>
          <cell r="J146">
            <v>0</v>
          </cell>
          <cell r="K146" t="str">
            <v>Dirección de Servicio y Atención</v>
          </cell>
          <cell r="L146" t="str">
            <v>PA-74</v>
          </cell>
          <cell r="M146" t="str">
            <v>Porcentaje de quejas, reclamos y sugerencias solucionados oportunamente</v>
          </cell>
          <cell r="N146" t="str">
            <v>Expresar el porcentaje de quejas y sugerencias cerradas y reclamos gestionados oportunamente.</v>
          </cell>
          <cell r="O146" t="str">
            <v>Creciente</v>
          </cell>
          <cell r="P146" t="str">
            <v>Resultado</v>
          </cell>
          <cell r="Q146">
            <v>0.91</v>
          </cell>
          <cell r="R146" t="str">
            <v>Resultado</v>
          </cell>
          <cell r="S146" t="str">
            <v>Eficiencia</v>
          </cell>
          <cell r="T146">
            <v>1</v>
          </cell>
          <cell r="U146">
            <v>1</v>
          </cell>
          <cell r="V146" t="str">
            <v>Porcentaje</v>
          </cell>
          <cell r="W146" t="str">
            <v>Si</v>
          </cell>
          <cell r="X146" t="str">
            <v>Si</v>
          </cell>
          <cell r="Y146" t="str">
            <v>Si</v>
          </cell>
          <cell r="Z146" t="str">
            <v>No</v>
          </cell>
          <cell r="AA146" t="str">
            <v>No</v>
          </cell>
          <cell r="AB146" t="str">
            <v>Si</v>
          </cell>
          <cell r="AC146" t="str">
            <v>Total de quejas y sugerencias cerradas y reclamos gestionados oportunamente en el periodo*</v>
          </cell>
          <cell r="AD146" t="str">
            <v>SIM</v>
          </cell>
          <cell r="AE146" t="str">
            <v>Total de quejas, sugerencias y reclamos recibidos en el periodo</v>
          </cell>
          <cell r="AF146" t="str">
            <v>SIM</v>
          </cell>
          <cell r="AG146" t="str">
            <v>Total de quejas y sugerencias cerradas y reclamos gestionados oportunamente en el periodo / Total de quejas, sugerencias y reclamos recibidos en el periodo</v>
          </cell>
          <cell r="AH146" t="str">
            <v>Mensual</v>
          </cell>
          <cell r="AI146" t="str">
            <v>x</v>
          </cell>
          <cell r="AJ146" t="str">
            <v>x</v>
          </cell>
          <cell r="AK146" t="str">
            <v>x</v>
          </cell>
          <cell r="AL146" t="str">
            <v>x</v>
          </cell>
          <cell r="AM146" t="str">
            <v>x</v>
          </cell>
          <cell r="AN146" t="str">
            <v>x</v>
          </cell>
          <cell r="AO146" t="str">
            <v>x</v>
          </cell>
          <cell r="AP146" t="str">
            <v>x</v>
          </cell>
          <cell r="AQ146" t="str">
            <v>x</v>
          </cell>
          <cell r="AR146" t="str">
            <v>x</v>
          </cell>
          <cell r="AS146" t="str">
            <v>x</v>
          </cell>
          <cell r="AT146" t="str">
            <v>x</v>
          </cell>
        </row>
        <row r="147">
          <cell r="B147">
            <v>143</v>
          </cell>
          <cell r="C147" t="str">
            <v>MPA5</v>
          </cell>
          <cell r="D147" t="str">
            <v>Gestión Servicio y Atención</v>
          </cell>
          <cell r="E147" t="str">
            <v>MPA5-P2</v>
          </cell>
          <cell r="F147" t="str">
            <v>Gestión Atención PQR y sugerencias</v>
          </cell>
          <cell r="G147" t="str">
            <v>N/A</v>
          </cell>
          <cell r="H147" t="str">
            <v>N/A</v>
          </cell>
          <cell r="I147">
            <v>0</v>
          </cell>
          <cell r="J147">
            <v>0</v>
          </cell>
          <cell r="K147" t="str">
            <v>Dirección de Servicio y Atención</v>
          </cell>
          <cell r="L147" t="str">
            <v>MPA5-P2-01</v>
          </cell>
          <cell r="M147" t="str">
            <v>Porcentaje de oportunidad en la constatación de Denuncias Proceso Administrativo Restablecimiento de Derechos.</v>
          </cell>
          <cell r="N147" t="str">
            <v>Expresar el porcentaje de denuncias constatadas oportunamente.</v>
          </cell>
          <cell r="O147" t="str">
            <v>Creciente</v>
          </cell>
          <cell r="P147" t="str">
            <v>Resultado</v>
          </cell>
          <cell r="Q147">
            <v>0.89</v>
          </cell>
          <cell r="R147" t="str">
            <v>Resultado</v>
          </cell>
          <cell r="S147" t="str">
            <v>Eficiencia</v>
          </cell>
          <cell r="T147">
            <v>1</v>
          </cell>
          <cell r="U147">
            <v>1</v>
          </cell>
          <cell r="V147" t="str">
            <v>Porcentaje</v>
          </cell>
          <cell r="W147" t="str">
            <v>Si</v>
          </cell>
          <cell r="X147" t="str">
            <v>Si</v>
          </cell>
          <cell r="Y147" t="str">
            <v>Si</v>
          </cell>
          <cell r="Z147" t="str">
            <v>No</v>
          </cell>
          <cell r="AA147" t="str">
            <v>No</v>
          </cell>
          <cell r="AB147" t="str">
            <v>No</v>
          </cell>
          <cell r="AC147" t="str">
            <v>Total de Denuncias Constatadas Oportunamente en el Periodo</v>
          </cell>
          <cell r="AD147" t="str">
            <v>SIM</v>
          </cell>
          <cell r="AE147" t="str">
            <v>Total de Denuncias Recibidas en el Periodo</v>
          </cell>
          <cell r="AF147" t="str">
            <v>SIM</v>
          </cell>
          <cell r="AG147" t="str">
            <v>Total de Denuncias Constatadas Oportunamente en el Periodo / Total de Denuncias Recibidas en el Periodo</v>
          </cell>
          <cell r="AH147" t="str">
            <v>Mensual</v>
          </cell>
          <cell r="AI147" t="str">
            <v>x</v>
          </cell>
          <cell r="AJ147" t="str">
            <v>x</v>
          </cell>
          <cell r="AK147" t="str">
            <v>x</v>
          </cell>
          <cell r="AL147" t="str">
            <v>x</v>
          </cell>
          <cell r="AM147" t="str">
            <v>x</v>
          </cell>
          <cell r="AN147" t="str">
            <v>x</v>
          </cell>
          <cell r="AO147" t="str">
            <v>x</v>
          </cell>
          <cell r="AP147" t="str">
            <v>x</v>
          </cell>
          <cell r="AQ147" t="str">
            <v>x</v>
          </cell>
          <cell r="AR147" t="str">
            <v>x</v>
          </cell>
          <cell r="AS147" t="str">
            <v>x</v>
          </cell>
          <cell r="AT147" t="str">
            <v>x</v>
          </cell>
        </row>
        <row r="148">
          <cell r="B148">
            <v>144</v>
          </cell>
          <cell r="C148" t="str">
            <v>MPA5</v>
          </cell>
          <cell r="D148" t="str">
            <v>Gestión Servicio y Atención</v>
          </cell>
          <cell r="E148" t="str">
            <v>MPA5-P2</v>
          </cell>
          <cell r="F148" t="str">
            <v>Gestión Atención PQR y sugerencias</v>
          </cell>
          <cell r="G148" t="str">
            <v>N/A</v>
          </cell>
          <cell r="H148" t="str">
            <v>N/A</v>
          </cell>
          <cell r="I148">
            <v>0</v>
          </cell>
          <cell r="J148">
            <v>0</v>
          </cell>
          <cell r="K148" t="str">
            <v>Dirección de Servicio y Atención</v>
          </cell>
          <cell r="L148" t="str">
            <v>MPA5-P2-02</v>
          </cell>
          <cell r="M148" t="str">
            <v>Porcentaje de oportunidad en la atención de peticiones  de Asuntos Conciliables</v>
          </cell>
          <cell r="N148" t="str">
            <v>Expresar la oportunidad en la atención de citas por peticiones de asuntos conciliables</v>
          </cell>
          <cell r="O148" t="str">
            <v>Creciente</v>
          </cell>
          <cell r="P148" t="str">
            <v>Resultado</v>
          </cell>
          <cell r="Q148">
            <v>0.77</v>
          </cell>
          <cell r="R148" t="str">
            <v>Resultado</v>
          </cell>
          <cell r="S148" t="str">
            <v>Eficiencia</v>
          </cell>
          <cell r="T148">
            <v>1</v>
          </cell>
          <cell r="U148">
            <v>1</v>
          </cell>
          <cell r="V148" t="str">
            <v>Porcentaje</v>
          </cell>
          <cell r="W148" t="str">
            <v>Si</v>
          </cell>
          <cell r="X148" t="str">
            <v>Si</v>
          </cell>
          <cell r="Y148" t="str">
            <v>Si</v>
          </cell>
          <cell r="Z148" t="str">
            <v>No</v>
          </cell>
          <cell r="AA148" t="str">
            <v>No</v>
          </cell>
          <cell r="AB148" t="str">
            <v>No</v>
          </cell>
          <cell r="AC148" t="str">
            <v>Total de Citas (conciliables) atendidas en  término en el periodo</v>
          </cell>
          <cell r="AD148" t="str">
            <v>SIM</v>
          </cell>
          <cell r="AE148" t="str">
            <v xml:space="preserve"> Total de Peticiones (conciliables) registradas en el periodo</v>
          </cell>
          <cell r="AF148" t="str">
            <v>SIM</v>
          </cell>
          <cell r="AG148" t="str">
            <v>Total de Citas (conciliables) atendidas en  término en el periodo / Total de Peticiones (conciliables) registradas en el periodo</v>
          </cell>
          <cell r="AH148" t="str">
            <v>Mensual</v>
          </cell>
          <cell r="AI148" t="str">
            <v>x</v>
          </cell>
          <cell r="AJ148" t="str">
            <v>x</v>
          </cell>
          <cell r="AK148" t="str">
            <v>x</v>
          </cell>
          <cell r="AL148" t="str">
            <v>x</v>
          </cell>
          <cell r="AM148" t="str">
            <v>x</v>
          </cell>
          <cell r="AN148" t="str">
            <v>x</v>
          </cell>
          <cell r="AO148" t="str">
            <v>x</v>
          </cell>
          <cell r="AP148" t="str">
            <v>x</v>
          </cell>
          <cell r="AQ148" t="str">
            <v>x</v>
          </cell>
          <cell r="AR148" t="str">
            <v>x</v>
          </cell>
          <cell r="AS148" t="str">
            <v>x</v>
          </cell>
          <cell r="AT148" t="str">
            <v>x</v>
          </cell>
        </row>
        <row r="149">
          <cell r="B149">
            <v>145</v>
          </cell>
          <cell r="C149" t="str">
            <v>MPA6</v>
          </cell>
          <cell r="D149" t="str">
            <v>Gestión Tecnológica</v>
          </cell>
          <cell r="E149" t="str">
            <v>N/A</v>
          </cell>
          <cell r="F149" t="str">
            <v>N/A</v>
          </cell>
          <cell r="G149" t="str">
            <v>Eficiencia administrativa</v>
          </cell>
          <cell r="H149" t="str">
            <v>Gestión de Tecnologías de información</v>
          </cell>
          <cell r="I149">
            <v>0</v>
          </cell>
          <cell r="J149">
            <v>0</v>
          </cell>
          <cell r="K149" t="str">
            <v xml:space="preserve">Dirección de Información y Tecnología </v>
          </cell>
          <cell r="L149" t="str">
            <v>PA-75</v>
          </cell>
          <cell r="M149" t="str">
            <v>Porcentaje de avance en la definición e implementación del Sistema de Gestión Estratégica de Información para el ICBF</v>
          </cell>
          <cell r="N149" t="str">
            <v>Medir el porcentaje de avance en la definición e implementación del Sistema de Gestión Estratégica de Información para el ICBF</v>
          </cell>
          <cell r="O149" t="str">
            <v>creciente</v>
          </cell>
          <cell r="P149" t="str">
            <v>Gestión</v>
          </cell>
          <cell r="Q149" t="str">
            <v>N/A</v>
          </cell>
          <cell r="R149" t="str">
            <v>Gestión</v>
          </cell>
          <cell r="S149" t="str">
            <v>Eficacia</v>
          </cell>
          <cell r="T149">
            <v>0.2</v>
          </cell>
          <cell r="U149">
            <v>0.9</v>
          </cell>
          <cell r="V149" t="str">
            <v>Porcentaje</v>
          </cell>
          <cell r="W149" t="str">
            <v>Si</v>
          </cell>
          <cell r="X149" t="str">
            <v>No</v>
          </cell>
          <cell r="Y149" t="str">
            <v>No</v>
          </cell>
          <cell r="Z149" t="str">
            <v>No</v>
          </cell>
          <cell r="AA149" t="str">
            <v>Si</v>
          </cell>
          <cell r="AB149" t="str">
            <v>Si</v>
          </cell>
          <cell r="AC149" t="str">
            <v>No. de actividades ejecutadas en la implementación en la definición e implementación del Sistema de Gestión Estratégica de Información para el ICBF</v>
          </cell>
          <cell r="AD149" t="str">
            <v>Plan de acción de la Dirección de Información y Tecnología</v>
          </cell>
          <cell r="AE149" t="str">
            <v>No. de actividades programadas en la implementación en la definición e implementación del Sistema de Gestión Estratégica de Información para el ICBF</v>
          </cell>
          <cell r="AF149" t="str">
            <v>Plan de acción de la Dirección de Información y Tecnología</v>
          </cell>
          <cell r="AG149" t="str">
            <v>((No. de actividades ejecutadas )/ Total  de actividades programadas ) * 20</v>
          </cell>
          <cell r="AH149" t="str">
            <v>Cuatrimestral</v>
          </cell>
          <cell r="AI149">
            <v>0</v>
          </cell>
          <cell r="AJ149">
            <v>0</v>
          </cell>
          <cell r="AK149">
            <v>0</v>
          </cell>
          <cell r="AL149" t="str">
            <v>x</v>
          </cell>
          <cell r="AM149">
            <v>0</v>
          </cell>
          <cell r="AN149">
            <v>0</v>
          </cell>
          <cell r="AO149">
            <v>0</v>
          </cell>
          <cell r="AP149" t="str">
            <v>x</v>
          </cell>
          <cell r="AQ149">
            <v>0</v>
          </cell>
          <cell r="AR149">
            <v>0</v>
          </cell>
          <cell r="AS149">
            <v>0</v>
          </cell>
          <cell r="AT149" t="str">
            <v>x</v>
          </cell>
        </row>
        <row r="150">
          <cell r="B150">
            <v>146</v>
          </cell>
          <cell r="C150" t="str">
            <v>MPA6</v>
          </cell>
          <cell r="D150" t="str">
            <v>Gestión Tecnológica</v>
          </cell>
          <cell r="E150" t="str">
            <v>N/A</v>
          </cell>
          <cell r="F150" t="str">
            <v>N/A</v>
          </cell>
          <cell r="G150" t="str">
            <v>Eficiencia administrativa</v>
          </cell>
          <cell r="H150" t="str">
            <v>Gestión de Tecnologías de información</v>
          </cell>
          <cell r="I150">
            <v>0</v>
          </cell>
          <cell r="J150">
            <v>0</v>
          </cell>
          <cell r="K150" t="str">
            <v xml:space="preserve">Dirección de Información y Tecnología </v>
          </cell>
          <cell r="L150" t="str">
            <v>PA-76</v>
          </cell>
          <cell r="M150" t="str">
            <v>Porcentaje de avance en la implementación del plan estratégico de desarrollo informático y tecnológico del ICBF</v>
          </cell>
          <cell r="N150" t="str">
            <v>Medir el porcentaje de avance en la implementación del plan estratégico de desarrollo informático y tecnológico del del ICBF.</v>
          </cell>
          <cell r="O150" t="str">
            <v>creciente</v>
          </cell>
          <cell r="P150" t="str">
            <v>Gestión</v>
          </cell>
          <cell r="Q150">
            <v>0.9</v>
          </cell>
          <cell r="R150" t="str">
            <v>Gestión</v>
          </cell>
          <cell r="S150" t="str">
            <v>Eficacia</v>
          </cell>
          <cell r="T150">
            <v>0.9</v>
          </cell>
          <cell r="U150" t="str">
            <v>N/A</v>
          </cell>
          <cell r="V150" t="str">
            <v>Porcentaje</v>
          </cell>
          <cell r="W150" t="str">
            <v>Si</v>
          </cell>
          <cell r="X150" t="str">
            <v>No</v>
          </cell>
          <cell r="Y150" t="str">
            <v>No</v>
          </cell>
          <cell r="Z150" t="str">
            <v>No</v>
          </cell>
          <cell r="AA150" t="str">
            <v>No</v>
          </cell>
          <cell r="AB150" t="str">
            <v>Si</v>
          </cell>
          <cell r="AC150" t="str">
            <v>No. de actividades ejecutadas en la implementación del plan estratégico de desarrollo informático y tecnológico del del ICBF.</v>
          </cell>
          <cell r="AD150" t="str">
            <v>Plan de acción de la Dirección de Información y Tecnología</v>
          </cell>
          <cell r="AE150" t="str">
            <v>Total  de actividades programadas  para la implementación del plan estratégico de desarrollo informático y tecnológico del del ICBF.</v>
          </cell>
          <cell r="AF150" t="str">
            <v>Plan de acción de la Dirección de Información y Tecnología</v>
          </cell>
          <cell r="AG150" t="str">
            <v xml:space="preserve">((No. de actividades ejecutadas )/ Total  de actividades programadas ) * 80 </v>
          </cell>
          <cell r="AH150" t="str">
            <v>Anual</v>
          </cell>
          <cell r="AI150">
            <v>0</v>
          </cell>
          <cell r="AJ150">
            <v>0</v>
          </cell>
          <cell r="AK150">
            <v>0</v>
          </cell>
          <cell r="AL150">
            <v>0</v>
          </cell>
          <cell r="AM150">
            <v>0</v>
          </cell>
          <cell r="AN150">
            <v>0</v>
          </cell>
          <cell r="AO150">
            <v>0</v>
          </cell>
          <cell r="AP150">
            <v>0</v>
          </cell>
          <cell r="AQ150">
            <v>0</v>
          </cell>
          <cell r="AR150">
            <v>0</v>
          </cell>
          <cell r="AS150">
            <v>0</v>
          </cell>
          <cell r="AT150" t="str">
            <v>x</v>
          </cell>
        </row>
        <row r="151">
          <cell r="B151">
            <v>147</v>
          </cell>
          <cell r="C151" t="str">
            <v>MPA6</v>
          </cell>
          <cell r="D151" t="str">
            <v>Gestión Tecnológica</v>
          </cell>
          <cell r="E151" t="str">
            <v>N/A</v>
          </cell>
          <cell r="F151" t="str">
            <v>N/A</v>
          </cell>
          <cell r="G151" t="str">
            <v>N/A</v>
          </cell>
          <cell r="H151" t="str">
            <v>N/A</v>
          </cell>
          <cell r="I151">
            <v>0</v>
          </cell>
          <cell r="J151">
            <v>0</v>
          </cell>
          <cell r="K151" t="str">
            <v xml:space="preserve">Dirección de Información y Tecnología </v>
          </cell>
          <cell r="L151" t="str">
            <v>MPA6-01</v>
          </cell>
          <cell r="M151" t="str">
            <v xml:space="preserve">Porcentaje de Incidentes de seguridad atendidos oportunamente  </v>
          </cell>
          <cell r="N151" t="str">
            <v>Medir el número de incidentes asociados a seguridad de la información y que puedan afectar alguno o los tres pilares, confidencialidad, integridad y/o disponibilidad y fueron atendidos en los tiempos establecidos.</v>
          </cell>
          <cell r="O151" t="str">
            <v>Estático</v>
          </cell>
          <cell r="P151" t="str">
            <v>Resultado</v>
          </cell>
          <cell r="Q151">
            <v>0.75</v>
          </cell>
          <cell r="R151" t="str">
            <v>Resultado</v>
          </cell>
          <cell r="S151" t="str">
            <v>Eficacia</v>
          </cell>
          <cell r="T151">
            <v>0.75</v>
          </cell>
          <cell r="U151" t="str">
            <v>N/A</v>
          </cell>
          <cell r="V151" t="str">
            <v>Porcentaje</v>
          </cell>
          <cell r="W151" t="str">
            <v>Si</v>
          </cell>
          <cell r="X151" t="str">
            <v>Si</v>
          </cell>
          <cell r="Y151" t="str">
            <v>No</v>
          </cell>
          <cell r="Z151" t="str">
            <v>No</v>
          </cell>
          <cell r="AA151" t="str">
            <v>No</v>
          </cell>
          <cell r="AB151" t="str">
            <v>No</v>
          </cell>
          <cell r="AC151" t="str">
            <v>Número de incidentes de seguridad de la información atendidos  por la Dirección de Información y Tecnología y/o Ingenieros Regionales y registrados en la herramienta BMC.</v>
          </cell>
          <cell r="AD151" t="str">
            <v xml:space="preserve">Herramienta de mesa de servicio </v>
          </cell>
          <cell r="AE151" t="str">
            <v>Total de incidentes de seguridad de la información recepcionados en el periodo</v>
          </cell>
          <cell r="AF151" t="str">
            <v xml:space="preserve">Herramienta de mesa de servicio </v>
          </cell>
          <cell r="AG151" t="str">
            <v>(Número de incidentes de seguridad de la información atendidos  por la Dirección de Información y Tecnología  y/o Ingenieros Regionales y registrados en la herramienta BMC / Total de incidentes  de seguridad recepcionados en el periodo ) *100</v>
          </cell>
          <cell r="AH151" t="str">
            <v>Mensual</v>
          </cell>
          <cell r="AI151" t="str">
            <v>x</v>
          </cell>
          <cell r="AJ151" t="str">
            <v>x</v>
          </cell>
          <cell r="AK151" t="str">
            <v>x</v>
          </cell>
          <cell r="AL151" t="str">
            <v>x</v>
          </cell>
          <cell r="AM151" t="str">
            <v>x</v>
          </cell>
          <cell r="AN151" t="str">
            <v>x</v>
          </cell>
          <cell r="AO151" t="str">
            <v>x</v>
          </cell>
          <cell r="AP151" t="str">
            <v>x</v>
          </cell>
          <cell r="AQ151" t="str">
            <v>x</v>
          </cell>
          <cell r="AR151" t="str">
            <v>x</v>
          </cell>
          <cell r="AS151" t="str">
            <v>x</v>
          </cell>
          <cell r="AT151" t="str">
            <v>x</v>
          </cell>
        </row>
        <row r="152">
          <cell r="B152">
            <v>148</v>
          </cell>
          <cell r="C152" t="str">
            <v>MPA6</v>
          </cell>
          <cell r="D152" t="str">
            <v>Gestión Tecnológica</v>
          </cell>
          <cell r="E152" t="str">
            <v>N/A</v>
          </cell>
          <cell r="F152" t="str">
            <v>N/A</v>
          </cell>
          <cell r="G152" t="str">
            <v>N/A</v>
          </cell>
          <cell r="H152" t="str">
            <v>N/A</v>
          </cell>
          <cell r="I152">
            <v>0</v>
          </cell>
          <cell r="J152">
            <v>0</v>
          </cell>
          <cell r="K152" t="str">
            <v xml:space="preserve">Dirección de Información y Tecnología </v>
          </cell>
          <cell r="L152" t="str">
            <v>MPA6-02</v>
          </cell>
          <cell r="M152" t="str">
            <v>Porcentaje de Sistemas de información de Apoyo del ICBF fortalecidos, implementados  con alcance evolutivo y adaptativo</v>
          </cell>
          <cell r="N152" t="str">
            <v>Medir el avance en el soporte de los sistemas de información de apoyo del ICBF,  con alcance evolutivo y adaptativo, programados para la vigencia.</v>
          </cell>
          <cell r="O152" t="str">
            <v>Estático</v>
          </cell>
          <cell r="P152" t="str">
            <v>Resultado</v>
          </cell>
          <cell r="Q152" t="str">
            <v>N/A</v>
          </cell>
          <cell r="R152" t="str">
            <v>Resultado</v>
          </cell>
          <cell r="S152" t="str">
            <v>Eficacia</v>
          </cell>
          <cell r="T152">
            <v>0.8</v>
          </cell>
          <cell r="U152" t="str">
            <v>N/A</v>
          </cell>
          <cell r="V152" t="str">
            <v>Porcentaje</v>
          </cell>
          <cell r="W152" t="str">
            <v>Si</v>
          </cell>
          <cell r="X152" t="str">
            <v>No</v>
          </cell>
          <cell r="Y152" t="str">
            <v>No</v>
          </cell>
          <cell r="Z152" t="str">
            <v>No</v>
          </cell>
          <cell r="AA152" t="str">
            <v>No</v>
          </cell>
          <cell r="AB152" t="str">
            <v>No</v>
          </cell>
          <cell r="AC152" t="str">
            <v>Numero de casos de uso y/o novedades, y casos reportados en la mesa  de servicio atendidos.</v>
          </cell>
          <cell r="AD152" t="str">
            <v>Tablero de control de requerimientos
Base de datos de mesa de servicio</v>
          </cell>
          <cell r="AE152" t="str">
            <v>Total de casos de uso ( priorizados en comité) y/o  novedades ( priorizados en comité) y casos reportados en la mesa  de servicio</v>
          </cell>
          <cell r="AF152" t="str">
            <v>Tablero de control de requerimientos
Base de datos de mesa de servicio</v>
          </cell>
          <cell r="AG152" t="str">
            <v>(((sumatoria de casos de uso y,ó novedades atendidos / total de casos de uso y,ó novedades priorizados)+(sumatoria de casos atendidos en mesa de servicio/ casos reportados en mesa de servicio))/2)*100</v>
          </cell>
          <cell r="AH152" t="str">
            <v>Trimestral</v>
          </cell>
          <cell r="AI152">
            <v>0</v>
          </cell>
          <cell r="AJ152">
            <v>0</v>
          </cell>
          <cell r="AK152" t="str">
            <v>x</v>
          </cell>
          <cell r="AL152">
            <v>0</v>
          </cell>
          <cell r="AM152">
            <v>0</v>
          </cell>
          <cell r="AN152" t="str">
            <v>x</v>
          </cell>
          <cell r="AO152">
            <v>0</v>
          </cell>
          <cell r="AP152">
            <v>0</v>
          </cell>
          <cell r="AQ152" t="str">
            <v>x</v>
          </cell>
          <cell r="AR152">
            <v>0</v>
          </cell>
          <cell r="AS152">
            <v>0</v>
          </cell>
          <cell r="AT152" t="str">
            <v>x</v>
          </cell>
        </row>
        <row r="153">
          <cell r="B153">
            <v>149</v>
          </cell>
          <cell r="C153" t="str">
            <v>MPA6</v>
          </cell>
          <cell r="D153" t="str">
            <v>Gestión Tecnológica</v>
          </cell>
          <cell r="E153" t="str">
            <v>N/A</v>
          </cell>
          <cell r="F153" t="str">
            <v>N/A</v>
          </cell>
          <cell r="G153" t="str">
            <v>N/A</v>
          </cell>
          <cell r="H153" t="str">
            <v>N/A</v>
          </cell>
          <cell r="I153">
            <v>0</v>
          </cell>
          <cell r="J153">
            <v>0</v>
          </cell>
          <cell r="K153" t="str">
            <v xml:space="preserve">Dirección de Información y Tecnología </v>
          </cell>
          <cell r="L153" t="str">
            <v>MPA6-03</v>
          </cell>
          <cell r="M153" t="str">
            <v>Porcentaje de Sistemas de información Misionales del ICBF fortalecidos, implementados  con alcance evolutivo y adaptativo</v>
          </cell>
          <cell r="N153" t="str">
            <v>Medir el avance en el desarrollo de los sistemas de información misionales del ICBF,  con alcance evolutivo y adaptativo, programados para la vigencia.</v>
          </cell>
          <cell r="O153" t="str">
            <v>Estático</v>
          </cell>
          <cell r="P153" t="str">
            <v>Resultado</v>
          </cell>
          <cell r="Q153" t="str">
            <v>N/A</v>
          </cell>
          <cell r="R153" t="str">
            <v>Resultado</v>
          </cell>
          <cell r="S153" t="str">
            <v>Eficacia</v>
          </cell>
          <cell r="T153">
            <v>0.8</v>
          </cell>
          <cell r="U153" t="str">
            <v>N/A</v>
          </cell>
          <cell r="V153" t="str">
            <v>Porcentaje</v>
          </cell>
          <cell r="W153" t="str">
            <v>Si</v>
          </cell>
          <cell r="X153" t="str">
            <v>No</v>
          </cell>
          <cell r="Y153" t="str">
            <v>No</v>
          </cell>
          <cell r="Z153" t="str">
            <v>No</v>
          </cell>
          <cell r="AA153" t="str">
            <v>No</v>
          </cell>
          <cell r="AB153" t="str">
            <v>No</v>
          </cell>
          <cell r="AC153" t="str">
            <v>Casos de uso y/o novedades atendidos</v>
          </cell>
          <cell r="AD153" t="str">
            <v>Tablero de control de requerimientos</v>
          </cell>
          <cell r="AE153" t="str">
            <v>Total casos de uso y/o novedades priorizados</v>
          </cell>
          <cell r="AF153" t="str">
            <v>Tablero de control de requerimientos</v>
          </cell>
          <cell r="AG153" t="str">
            <v>((sumatoria de casos de uso y,ó novedades atendidos Cuéntame) + (sumatoria de casos de uso y,ó novedades atendido SIM)) / total de casos de uso y,ó novedades priorizados)*100</v>
          </cell>
          <cell r="AH153" t="str">
            <v>Trimestral</v>
          </cell>
          <cell r="AI153">
            <v>0</v>
          </cell>
          <cell r="AJ153">
            <v>0</v>
          </cell>
          <cell r="AK153" t="str">
            <v>x</v>
          </cell>
          <cell r="AL153">
            <v>0</v>
          </cell>
          <cell r="AM153">
            <v>0</v>
          </cell>
          <cell r="AN153" t="str">
            <v>x</v>
          </cell>
          <cell r="AO153">
            <v>0</v>
          </cell>
          <cell r="AP153">
            <v>0</v>
          </cell>
          <cell r="AQ153" t="str">
            <v>x</v>
          </cell>
          <cell r="AR153">
            <v>0</v>
          </cell>
          <cell r="AS153">
            <v>0</v>
          </cell>
          <cell r="AT153" t="str">
            <v>x</v>
          </cell>
        </row>
        <row r="154">
          <cell r="B154">
            <v>150</v>
          </cell>
          <cell r="C154" t="str">
            <v>MPA6</v>
          </cell>
          <cell r="D154" t="str">
            <v>Gestión Tecnológica</v>
          </cell>
          <cell r="E154" t="str">
            <v>N/A</v>
          </cell>
          <cell r="F154" t="str">
            <v>N/A</v>
          </cell>
          <cell r="G154" t="str">
            <v>N/A</v>
          </cell>
          <cell r="H154" t="str">
            <v>N/A</v>
          </cell>
          <cell r="I154">
            <v>0</v>
          </cell>
          <cell r="J154">
            <v>0</v>
          </cell>
          <cell r="K154" t="str">
            <v xml:space="preserve">Dirección de Información y Tecnología </v>
          </cell>
          <cell r="L154" t="str">
            <v>MPA6-04</v>
          </cell>
          <cell r="M154" t="str">
            <v>Porcentaje de uso de los sistemas de información en el ICBF</v>
          </cell>
          <cell r="N154" t="str">
            <v>Evaluar que todos los servidores públicos y contratistas, que hacen parte de los procesos acordes con la dependencia del nivel regional, usen los sistemas de información definidos por el ICBF.</v>
          </cell>
          <cell r="O154" t="str">
            <v>Estático</v>
          </cell>
          <cell r="P154" t="str">
            <v>Gestión</v>
          </cell>
          <cell r="Q154">
            <v>0.85</v>
          </cell>
          <cell r="R154" t="str">
            <v>Gestión</v>
          </cell>
          <cell r="S154" t="str">
            <v>Eficacia</v>
          </cell>
          <cell r="T154">
            <v>0.85</v>
          </cell>
          <cell r="U154" t="str">
            <v>N/A</v>
          </cell>
          <cell r="V154" t="str">
            <v>Porcentaje</v>
          </cell>
          <cell r="W154" t="str">
            <v>Si</v>
          </cell>
          <cell r="X154" t="str">
            <v>Si</v>
          </cell>
          <cell r="Y154" t="str">
            <v>No</v>
          </cell>
          <cell r="Z154" t="str">
            <v>No</v>
          </cell>
          <cell r="AA154" t="str">
            <v>No</v>
          </cell>
          <cell r="AB154" t="str">
            <v>No</v>
          </cell>
          <cell r="AC154" t="str">
            <v>Nº de servidores públicos y contratistas que utilizan las tecnologías de información</v>
          </cell>
          <cell r="AD154" t="str">
            <v>Nacional:
SIM – SEVEN – KACTUS - CUENTAME
Regional:
Reporte generado por la Subdirección de Sistemas Integrados de Información</v>
          </cell>
          <cell r="AE154" t="str">
            <v>Nº de servidores públicos y contratistas programados para utilizar tecnologías de información.</v>
          </cell>
          <cell r="AF154" t="str">
            <v>Nacional:
SIM – SEVEN – KACTUS - CUENTAME
Regional:
Reporte generado por la Subdirección de Sistemas Integrados de Información</v>
          </cell>
          <cell r="AG154" t="str">
            <v>(Nº de servidores públicos y contratistas que utilizan sistemas de información / Nº de servidores públicos y contratistas programados para utilizar sistemas de información)*100
Consideraciones:
a = No. De usuarios que utilizan SIM * 0.5
b = No. De usuarios que utilizan ERP * 0.20
c = No. De Usuarios que utilizan Kactus * 0.20
d = No. de usuarios que utilizan CUENTAME *0.1
e = No. de usuarios creados para utilizar  SIM
f = No. de usuarios creados utilizar ERP
g = No. de usuarios creados utilizar KACTUS
h = No. de usuario creados CUENTAME
Numerador:
Nº de servidores públicos y contratistas que utilizan sistemas de información
Numerador = a.f.g.h +  b.e.g.h + c.e.f.h + d.e.f.g
Denominador =  e.f.g.h 
La siguiente fórmula es otra alternativa de llegar al mismo resultado:
((a/e)*0,5+(b/f)*0,2+(c/g)*0,2+(d/h)*0,1)</v>
          </cell>
          <cell r="AH154" t="str">
            <v>Trimestral</v>
          </cell>
          <cell r="AI154">
            <v>0</v>
          </cell>
          <cell r="AJ154">
            <v>0</v>
          </cell>
          <cell r="AK154" t="str">
            <v>x</v>
          </cell>
          <cell r="AL154">
            <v>0</v>
          </cell>
          <cell r="AM154">
            <v>0</v>
          </cell>
          <cell r="AN154" t="str">
            <v>x</v>
          </cell>
          <cell r="AO154">
            <v>0</v>
          </cell>
          <cell r="AP154">
            <v>0</v>
          </cell>
          <cell r="AQ154" t="str">
            <v>x</v>
          </cell>
          <cell r="AR154">
            <v>0</v>
          </cell>
          <cell r="AS154">
            <v>0</v>
          </cell>
          <cell r="AT154" t="str">
            <v>x</v>
          </cell>
        </row>
        <row r="155">
          <cell r="B155">
            <v>151</v>
          </cell>
          <cell r="C155" t="str">
            <v>MPA7</v>
          </cell>
          <cell r="D155" t="str">
            <v>Gestión Comunicaciones</v>
          </cell>
          <cell r="E155" t="str">
            <v>N/A</v>
          </cell>
          <cell r="F155" t="str">
            <v>N/A</v>
          </cell>
          <cell r="G155" t="str">
            <v>Gestión misional y de Gobierno</v>
          </cell>
          <cell r="H155" t="str">
            <v>Indicadores y metas de gobierno</v>
          </cell>
          <cell r="I155">
            <v>0</v>
          </cell>
          <cell r="J155">
            <v>0</v>
          </cell>
          <cell r="K155" t="str">
            <v>Oficina Asesora de Comunicaciones</v>
          </cell>
          <cell r="L155" t="str">
            <v>PA-77</v>
          </cell>
          <cell r="M155" t="str">
            <v>Número de campañas desarrolladas que alcanzan cobertura nacional y cumplen con el plan de medios programado</v>
          </cell>
          <cell r="N155" t="str">
            <v>Medir el alcance de las campañas realizadas por la Oficina Asesora de Comunicaciones a nivel nacional dando cumplimiento al plan de medios programado.</v>
          </cell>
          <cell r="O155" t="str">
            <v>creciente</v>
          </cell>
          <cell r="P155" t="str">
            <v>calidad</v>
          </cell>
          <cell r="Q155">
            <v>0</v>
          </cell>
          <cell r="R155" t="str">
            <v>Impacto</v>
          </cell>
          <cell r="S155" t="str">
            <v>Eficacia</v>
          </cell>
          <cell r="T155">
            <v>4</v>
          </cell>
          <cell r="U155">
            <v>16</v>
          </cell>
          <cell r="V155" t="str">
            <v>Número</v>
          </cell>
          <cell r="W155" t="str">
            <v>Si</v>
          </cell>
          <cell r="X155" t="str">
            <v>No</v>
          </cell>
          <cell r="Y155" t="str">
            <v>No</v>
          </cell>
          <cell r="Z155" t="str">
            <v>No</v>
          </cell>
          <cell r="AA155" t="str">
            <v>Si</v>
          </cell>
          <cell r="AB155" t="str">
            <v>Si</v>
          </cell>
          <cell r="AC155" t="str">
            <v>Número de campañas que  llegan a las 33 regionales y cumplen con el plan de medios programado.</v>
          </cell>
          <cell r="AD155" t="str">
            <v>Análisis del Informe ibope e informe del plan de medios.</v>
          </cell>
          <cell r="AE155" t="str">
            <v>Número de campañas programadas</v>
          </cell>
          <cell r="AF155" t="str">
            <v>Plan de medios desarrollado por la Oficina Asesora de Comunicaciones</v>
          </cell>
          <cell r="AG155" t="str">
            <v>Número de personas impactadas por campaña / Total público objetivo por campaña</v>
          </cell>
          <cell r="AH155" t="str">
            <v>Trimestral</v>
          </cell>
          <cell r="AI155">
            <v>0</v>
          </cell>
          <cell r="AJ155">
            <v>0</v>
          </cell>
          <cell r="AK155">
            <v>0</v>
          </cell>
          <cell r="AL155" t="str">
            <v>x</v>
          </cell>
          <cell r="AM155">
            <v>0</v>
          </cell>
          <cell r="AN155">
            <v>0</v>
          </cell>
          <cell r="AO155" t="str">
            <v>x</v>
          </cell>
          <cell r="AP155">
            <v>0</v>
          </cell>
          <cell r="AQ155">
            <v>0</v>
          </cell>
          <cell r="AR155" t="str">
            <v>x</v>
          </cell>
          <cell r="AS155">
            <v>0</v>
          </cell>
          <cell r="AT155" t="str">
            <v>x</v>
          </cell>
        </row>
        <row r="156">
          <cell r="B156">
            <v>152</v>
          </cell>
          <cell r="C156" t="str">
            <v>MPA7</v>
          </cell>
          <cell r="D156" t="str">
            <v>Gestión Comunicaciones</v>
          </cell>
          <cell r="E156" t="str">
            <v>N/A</v>
          </cell>
          <cell r="F156" t="str">
            <v>N/A</v>
          </cell>
          <cell r="G156" t="str">
            <v>Transparencia, participación y servicio al ciudadano</v>
          </cell>
          <cell r="H156" t="str">
            <v>Transparencia y acceso a la información pública</v>
          </cell>
          <cell r="I156">
            <v>0</v>
          </cell>
          <cell r="J156">
            <v>0</v>
          </cell>
          <cell r="K156" t="str">
            <v>Oficina Asesora de Comunicaciones</v>
          </cell>
          <cell r="L156" t="str">
            <v>PA-78</v>
          </cell>
          <cell r="M156" t="str">
            <v>Número de visitas a la información publicada por la Oficina Asesora de Comunicaciones en la pagina web.</v>
          </cell>
          <cell r="N156" t="str">
            <v>Evaluar la información publicada por la  Oficina Asesora de Comunicaciones en la pagina web con  relación a su contenido, diseño y eficacia de la información.</v>
          </cell>
          <cell r="O156" t="str">
            <v>Creciente</v>
          </cell>
          <cell r="P156" t="str">
            <v>calidad</v>
          </cell>
          <cell r="Q156">
            <v>3590432</v>
          </cell>
          <cell r="R156" t="str">
            <v>Gestión</v>
          </cell>
          <cell r="S156" t="str">
            <v>Eficacia</v>
          </cell>
          <cell r="T156">
            <v>3698145</v>
          </cell>
          <cell r="U156">
            <v>4021284</v>
          </cell>
          <cell r="V156" t="str">
            <v>Número</v>
          </cell>
          <cell r="W156" t="str">
            <v>Si</v>
          </cell>
          <cell r="X156" t="str">
            <v>No</v>
          </cell>
          <cell r="Y156" t="str">
            <v>No</v>
          </cell>
          <cell r="Z156" t="str">
            <v>No</v>
          </cell>
          <cell r="AA156" t="str">
            <v>Si</v>
          </cell>
          <cell r="AB156" t="str">
            <v>Si</v>
          </cell>
          <cell r="AC156" t="str">
            <v>Número de visitas a la información publicada por La Oficina Asesora de comunicaciones  en la pagina web.</v>
          </cell>
          <cell r="AD156" t="str">
            <v xml:space="preserve">Estadísticas página web </v>
          </cell>
          <cell r="AE156" t="str">
            <v>Número de visitas  a la página web durante el periodo</v>
          </cell>
          <cell r="AF156" t="str">
            <v xml:space="preserve">Estadísticas página web </v>
          </cell>
          <cell r="AG156" t="str">
            <v>Tipo de consultas referente a información de Oficina Asesora de comunicaciones  / Número de Entradas a la página web</v>
          </cell>
          <cell r="AH156" t="str">
            <v>Trimestral</v>
          </cell>
          <cell r="AI156">
            <v>0</v>
          </cell>
          <cell r="AJ156">
            <v>0</v>
          </cell>
          <cell r="AK156">
            <v>0</v>
          </cell>
          <cell r="AL156" t="str">
            <v>x</v>
          </cell>
          <cell r="AM156">
            <v>0</v>
          </cell>
          <cell r="AN156">
            <v>0</v>
          </cell>
          <cell r="AO156" t="str">
            <v>x</v>
          </cell>
          <cell r="AP156">
            <v>0</v>
          </cell>
          <cell r="AQ156">
            <v>0</v>
          </cell>
          <cell r="AR156" t="str">
            <v>x</v>
          </cell>
          <cell r="AS156">
            <v>0</v>
          </cell>
          <cell r="AT156" t="str">
            <v>x</v>
          </cell>
        </row>
        <row r="157">
          <cell r="B157">
            <v>153</v>
          </cell>
          <cell r="C157" t="str">
            <v>MPA7</v>
          </cell>
          <cell r="D157" t="str">
            <v>Gestión Comunicaciones</v>
          </cell>
          <cell r="E157" t="str">
            <v>N/A</v>
          </cell>
          <cell r="F157" t="str">
            <v>N/A</v>
          </cell>
          <cell r="G157" t="str">
            <v>Gestión misional y de Gobierno</v>
          </cell>
          <cell r="H157" t="str">
            <v>Indicadores y metas de gobierno</v>
          </cell>
          <cell r="I157">
            <v>0</v>
          </cell>
          <cell r="J157">
            <v>0</v>
          </cell>
          <cell r="K157" t="str">
            <v>Oficina Asesora de Comunicaciones</v>
          </cell>
          <cell r="L157" t="str">
            <v>PA-79</v>
          </cell>
          <cell r="M157" t="str">
            <v>Número de noticias con valoración positiva en monitoreo de prensa</v>
          </cell>
          <cell r="N157" t="str">
            <v xml:space="preserve">Medir la visibilidad de la gestión institucional ante los medios de interes. </v>
          </cell>
          <cell r="O157" t="str">
            <v>Estático</v>
          </cell>
          <cell r="P157" t="str">
            <v>Calidad</v>
          </cell>
          <cell r="Q157">
            <v>737</v>
          </cell>
          <cell r="R157" t="str">
            <v>Impacto</v>
          </cell>
          <cell r="S157" t="str">
            <v>Eficacia</v>
          </cell>
          <cell r="T157">
            <v>620</v>
          </cell>
          <cell r="U157">
            <v>825</v>
          </cell>
          <cell r="V157" t="str">
            <v>Número</v>
          </cell>
          <cell r="W157" t="str">
            <v>Si</v>
          </cell>
          <cell r="X157" t="str">
            <v>No</v>
          </cell>
          <cell r="Y157" t="str">
            <v>No</v>
          </cell>
          <cell r="Z157" t="str">
            <v>No</v>
          </cell>
          <cell r="AA157" t="str">
            <v>No</v>
          </cell>
          <cell r="AB157" t="str">
            <v>Si</v>
          </cell>
          <cell r="AC157" t="str">
            <v>Número de noticias monitoreadas con valoración positiva</v>
          </cell>
          <cell r="AD157" t="str">
            <v>Informes de monitoreo de medios</v>
          </cell>
          <cell r="AE157" t="str">
            <v>Número total de noticias monitoreadas</v>
          </cell>
          <cell r="AF157" t="str">
            <v>Informes de monitoreo de medios.</v>
          </cell>
          <cell r="AG157" t="str">
            <v>Número de noticias monitoreadas con valoración positiva / Número total de noticias monitoreadas</v>
          </cell>
          <cell r="AH157" t="str">
            <v>Trimestral</v>
          </cell>
          <cell r="AI157">
            <v>0</v>
          </cell>
          <cell r="AJ157">
            <v>0</v>
          </cell>
          <cell r="AK157">
            <v>0</v>
          </cell>
          <cell r="AL157" t="str">
            <v>x</v>
          </cell>
          <cell r="AM157">
            <v>0</v>
          </cell>
          <cell r="AN157">
            <v>0</v>
          </cell>
          <cell r="AO157" t="str">
            <v>x</v>
          </cell>
          <cell r="AP157">
            <v>0</v>
          </cell>
          <cell r="AQ157">
            <v>0</v>
          </cell>
          <cell r="AR157" t="str">
            <v>x</v>
          </cell>
          <cell r="AS157">
            <v>0</v>
          </cell>
          <cell r="AT157" t="str">
            <v>x</v>
          </cell>
        </row>
        <row r="158">
          <cell r="B158">
            <v>154</v>
          </cell>
          <cell r="C158" t="str">
            <v>MPA7</v>
          </cell>
          <cell r="D158" t="str">
            <v>Direccionamiento Estratégico</v>
          </cell>
          <cell r="E158" t="str">
            <v>N/A</v>
          </cell>
          <cell r="F158" t="str">
            <v>N/A</v>
          </cell>
          <cell r="G158" t="str">
            <v>Gestión Financiera</v>
          </cell>
          <cell r="H158" t="str">
            <v>Programación y ejecución presupuestal</v>
          </cell>
          <cell r="I158">
            <v>0</v>
          </cell>
          <cell r="J158">
            <v>0</v>
          </cell>
          <cell r="K158" t="str">
            <v>Subdirección de Programación</v>
          </cell>
          <cell r="L158" t="str">
            <v>PA-80</v>
          </cell>
          <cell r="M158" t="str">
            <v xml:space="preserve">Porcentaje de cumplimiento de la meta de compromisos presupuestales concertadas con Presidencia </v>
          </cell>
          <cell r="N158" t="str">
            <v>Medir el porcentaje de cumplimiento de los compromisos presupuestales de la meta presidencial de cada vigencia para cada una de las áreas ejecutoras como gerentes de los rubros presupuestales</v>
          </cell>
          <cell r="O158" t="str">
            <v>Estático</v>
          </cell>
          <cell r="P158" t="str">
            <v>Resultado</v>
          </cell>
          <cell r="Q158" t="str">
            <v>compromiso meta presidencial 2015</v>
          </cell>
          <cell r="R158" t="str">
            <v>Resultado</v>
          </cell>
          <cell r="S158" t="str">
            <v>Eficiencia</v>
          </cell>
          <cell r="T158">
            <v>1</v>
          </cell>
          <cell r="U158" t="str">
            <v>N/A</v>
          </cell>
          <cell r="V158" t="str">
            <v>Porcentaje</v>
          </cell>
          <cell r="W158" t="str">
            <v>Si</v>
          </cell>
          <cell r="X158" t="str">
            <v>No</v>
          </cell>
          <cell r="Y158" t="str">
            <v>No</v>
          </cell>
          <cell r="Z158" t="str">
            <v>No</v>
          </cell>
          <cell r="AA158" t="str">
            <v>No</v>
          </cell>
          <cell r="AB158" t="str">
            <v>Si</v>
          </cell>
          <cell r="AC158" t="str">
            <v>Recursos Comprometidos</v>
          </cell>
          <cell r="AD158" t="str">
            <v>Reportes de Ejecucion Presupuestal SIIF</v>
          </cell>
          <cell r="AE158" t="str">
            <v>Meta Mensual de Compromisos</v>
          </cell>
          <cell r="AF158" t="str">
            <v>Acuerdo de Desempeño con Presidencia</v>
          </cell>
          <cell r="AG158" t="str">
            <v>Ejecución Presupuestal en Compromisos /Meta de Compromisos *100</v>
          </cell>
          <cell r="AH158" t="str">
            <v>Mensual</v>
          </cell>
          <cell r="AI158" t="str">
            <v>x</v>
          </cell>
          <cell r="AJ158" t="str">
            <v>x</v>
          </cell>
          <cell r="AK158" t="str">
            <v>x</v>
          </cell>
          <cell r="AL158" t="str">
            <v>x</v>
          </cell>
          <cell r="AM158" t="str">
            <v>x</v>
          </cell>
          <cell r="AN158" t="str">
            <v>x</v>
          </cell>
          <cell r="AO158" t="str">
            <v>x</v>
          </cell>
          <cell r="AP158" t="str">
            <v>x</v>
          </cell>
          <cell r="AQ158" t="str">
            <v>x</v>
          </cell>
          <cell r="AR158" t="str">
            <v>x</v>
          </cell>
          <cell r="AS158" t="str">
            <v>x</v>
          </cell>
          <cell r="AT158" t="str">
            <v>x</v>
          </cell>
        </row>
        <row r="159">
          <cell r="B159">
            <v>155</v>
          </cell>
          <cell r="C159" t="str">
            <v>MPE1</v>
          </cell>
          <cell r="D159" t="str">
            <v>Direccionamiento Estratégico</v>
          </cell>
          <cell r="E159" t="str">
            <v>N/A</v>
          </cell>
          <cell r="F159" t="str">
            <v>N/A</v>
          </cell>
          <cell r="G159" t="str">
            <v>Gestión Financiera</v>
          </cell>
          <cell r="H159" t="str">
            <v>Programación y ejecución presupuestal</v>
          </cell>
          <cell r="I159">
            <v>0</v>
          </cell>
          <cell r="J159">
            <v>0</v>
          </cell>
          <cell r="K159" t="str">
            <v>Subdirección de Programación</v>
          </cell>
          <cell r="L159" t="str">
            <v>PA-81</v>
          </cell>
          <cell r="M159" t="str">
            <v>Porcentaje de cumplimiento de la meta de obligaciones presupuestales concertadas con Presidencia.</v>
          </cell>
          <cell r="N159" t="str">
            <v>Medir el porcentaje de cumplimiento de las obligaciones presupuestales de la meta presidencial de cada vigencia para cada una de las áreas ejecutoras como gerentes de los rubros presupuestales.</v>
          </cell>
          <cell r="O159" t="str">
            <v>Estático</v>
          </cell>
          <cell r="P159" t="str">
            <v>Resultado</v>
          </cell>
          <cell r="Q159" t="str">
            <v>Obligación meta presidencial 2015</v>
          </cell>
          <cell r="R159" t="str">
            <v>Resultado</v>
          </cell>
          <cell r="S159" t="str">
            <v>Eficiencia</v>
          </cell>
          <cell r="T159">
            <v>1</v>
          </cell>
          <cell r="U159" t="str">
            <v>N/A</v>
          </cell>
          <cell r="V159" t="str">
            <v>Porcentaje</v>
          </cell>
          <cell r="W159" t="str">
            <v>Si</v>
          </cell>
          <cell r="X159" t="str">
            <v>No</v>
          </cell>
          <cell r="Y159" t="str">
            <v>No</v>
          </cell>
          <cell r="Z159" t="str">
            <v>No</v>
          </cell>
          <cell r="AA159" t="str">
            <v>No</v>
          </cell>
          <cell r="AB159" t="str">
            <v>Si</v>
          </cell>
          <cell r="AC159" t="str">
            <v>Recursos Obligados</v>
          </cell>
          <cell r="AD159" t="str">
            <v>Reportes de Ejecucion Presupuestal SIIF</v>
          </cell>
          <cell r="AE159" t="str">
            <v>Meta Mensual de Obligaciones</v>
          </cell>
          <cell r="AF159" t="str">
            <v>Acuerdo de Desempeño con Presidencia</v>
          </cell>
          <cell r="AG159" t="str">
            <v>Ejecución Presupuestal en Compromisos /Meta de Compromisos *100</v>
          </cell>
          <cell r="AH159" t="str">
            <v>Mensual</v>
          </cell>
          <cell r="AI159" t="str">
            <v>x</v>
          </cell>
          <cell r="AJ159" t="str">
            <v>x</v>
          </cell>
          <cell r="AK159" t="str">
            <v>x</v>
          </cell>
          <cell r="AL159" t="str">
            <v>x</v>
          </cell>
          <cell r="AM159" t="str">
            <v>x</v>
          </cell>
          <cell r="AN159" t="str">
            <v>x</v>
          </cell>
          <cell r="AO159" t="str">
            <v>x</v>
          </cell>
          <cell r="AP159" t="str">
            <v>x</v>
          </cell>
          <cell r="AQ159" t="str">
            <v>x</v>
          </cell>
          <cell r="AR159" t="str">
            <v>x</v>
          </cell>
          <cell r="AS159" t="str">
            <v>x</v>
          </cell>
          <cell r="AT159" t="str">
            <v>x</v>
          </cell>
        </row>
        <row r="160">
          <cell r="B160">
            <v>156</v>
          </cell>
          <cell r="C160" t="str">
            <v>MPE1</v>
          </cell>
          <cell r="D160" t="str">
            <v>Direccionamiento Estratégico</v>
          </cell>
          <cell r="E160" t="str">
            <v>N/A</v>
          </cell>
          <cell r="F160" t="str">
            <v>N/A</v>
          </cell>
          <cell r="G160" t="str">
            <v>Gestión misional y de Gobierno</v>
          </cell>
          <cell r="H160" t="str">
            <v>Indicadores y metas de gobierno</v>
          </cell>
          <cell r="I160">
            <v>0</v>
          </cell>
          <cell r="J160">
            <v>0</v>
          </cell>
          <cell r="K160" t="str">
            <v>Subdirección de Programación</v>
          </cell>
          <cell r="L160" t="str">
            <v>PA-82</v>
          </cell>
          <cell r="M160" t="str">
            <v>Porcentaje de Integración del modelo de costos del ICBF dentro de las Metas Sociales y Financieras</v>
          </cell>
          <cell r="N160" t="str">
            <v>Integrar cada uno los modelos de costos definitivos de las modalidades de servicio que presta el ICBF a la programación presupuestal para cada vigencia.</v>
          </cell>
          <cell r="O160" t="str">
            <v>Creciente</v>
          </cell>
          <cell r="P160" t="str">
            <v>Producto</v>
          </cell>
          <cell r="Q160" t="str">
            <v>N/A</v>
          </cell>
          <cell r="R160" t="str">
            <v>Producto</v>
          </cell>
          <cell r="S160" t="str">
            <v>Economia</v>
          </cell>
          <cell r="T160">
            <v>0.6</v>
          </cell>
          <cell r="U160">
            <v>1</v>
          </cell>
          <cell r="V160" t="str">
            <v>Porcentaje</v>
          </cell>
          <cell r="W160" t="str">
            <v>Si</v>
          </cell>
          <cell r="X160" t="str">
            <v>No</v>
          </cell>
          <cell r="Y160" t="str">
            <v>No</v>
          </cell>
          <cell r="Z160" t="str">
            <v>No</v>
          </cell>
          <cell r="AA160" t="str">
            <v>Si</v>
          </cell>
          <cell r="AB160" t="str">
            <v>Si</v>
          </cell>
          <cell r="AC160" t="str">
            <v>Modalidades de Atención con Modelo de costos definido y ajustado</v>
          </cell>
          <cell r="AD160" t="str">
            <v>Dirección técnica misional y Dirección abastecimiento y/o tercero</v>
          </cell>
          <cell r="AE160" t="str">
            <v>Totalidad de Modalidades en Oferta Institucional</v>
          </cell>
          <cell r="AF160" t="str">
            <v>SIM - Programación Presupuestal</v>
          </cell>
          <cell r="AG160" t="str">
            <v xml:space="preserve">Numero de Modalidades de Atención Modeladas/Numero de Modalidades de Atención para la Vigencia </v>
          </cell>
          <cell r="AH160" t="str">
            <v>Trimestral</v>
          </cell>
          <cell r="AI160">
            <v>0</v>
          </cell>
          <cell r="AJ160">
            <v>0</v>
          </cell>
          <cell r="AK160" t="str">
            <v>x</v>
          </cell>
          <cell r="AL160">
            <v>0</v>
          </cell>
          <cell r="AM160">
            <v>0</v>
          </cell>
          <cell r="AN160" t="str">
            <v>x</v>
          </cell>
          <cell r="AO160">
            <v>0</v>
          </cell>
          <cell r="AP160">
            <v>0</v>
          </cell>
          <cell r="AQ160">
            <v>0</v>
          </cell>
          <cell r="AR160" t="str">
            <v>x</v>
          </cell>
          <cell r="AS160">
            <v>0</v>
          </cell>
          <cell r="AT160">
            <v>0</v>
          </cell>
        </row>
        <row r="161">
          <cell r="B161">
            <v>157</v>
          </cell>
          <cell r="C161" t="str">
            <v>MPE1</v>
          </cell>
          <cell r="D161" t="str">
            <v>Direccionamiento Estratégico</v>
          </cell>
          <cell r="E161" t="str">
            <v>N/A</v>
          </cell>
          <cell r="F161" t="str">
            <v>N/A</v>
          </cell>
          <cell r="G161" t="str">
            <v>Gestión Financiera</v>
          </cell>
          <cell r="H161" t="str">
            <v>Programación y ejecución presupuestal</v>
          </cell>
          <cell r="I161">
            <v>0</v>
          </cell>
          <cell r="J161">
            <v>0</v>
          </cell>
          <cell r="K161" t="str">
            <v>Subdirección de Programación</v>
          </cell>
          <cell r="L161" t="str">
            <v>PA-83</v>
          </cell>
          <cell r="M161" t="str">
            <v>Porcentaje de Vigencias Expiradas de años anteriores al 2014 tramitadas</v>
          </cell>
          <cell r="N161" t="str">
            <v>Disminuir la tasa de solicitudes de vigencias expiradas</v>
          </cell>
          <cell r="O161" t="str">
            <v>Decreciente</v>
          </cell>
          <cell r="P161" t="str">
            <v>Gestión</v>
          </cell>
          <cell r="Q161" t="str">
            <v>N/A</v>
          </cell>
          <cell r="R161" t="str">
            <v>Gestión</v>
          </cell>
          <cell r="S161" t="str">
            <v>Eficacia</v>
          </cell>
          <cell r="T161">
            <v>10</v>
          </cell>
          <cell r="U161" t="str">
            <v>N/A</v>
          </cell>
          <cell r="V161" t="str">
            <v>Número</v>
          </cell>
          <cell r="W161" t="str">
            <v>Si</v>
          </cell>
          <cell r="X161" t="str">
            <v>No</v>
          </cell>
          <cell r="Y161" t="str">
            <v>No</v>
          </cell>
          <cell r="Z161" t="str">
            <v>No</v>
          </cell>
          <cell r="AA161" t="str">
            <v>No</v>
          </cell>
          <cell r="AB161" t="str">
            <v>Si</v>
          </cell>
          <cell r="AC161" t="str">
            <v>Contratos para pago de pasivos exigibles por Proyectos, remitidos a la Dirección de Planeación y Control de Gestión</v>
          </cell>
          <cell r="AD161" t="str">
            <v>Tramites Presupuestales -Subdirección de Programación</v>
          </cell>
          <cell r="AE161" t="str">
            <v>Histórico de Contratos Tramitados por Proyecto en la modalidad de Vigencia Expirada</v>
          </cell>
          <cell r="AF161" t="str">
            <v>Tramites Presupuestales -Subdirección de Programación</v>
          </cell>
          <cell r="AG161" t="str">
            <v>Numero de Contratos identificados en Vigencia Expirada/Total Contratos Tramitados en Vigencia Expirada en la Vigencia Anterior</v>
          </cell>
          <cell r="AH161" t="str">
            <v>Trimestral</v>
          </cell>
          <cell r="AI161">
            <v>0</v>
          </cell>
          <cell r="AJ161">
            <v>0</v>
          </cell>
          <cell r="AK161" t="str">
            <v>x</v>
          </cell>
          <cell r="AL161">
            <v>0</v>
          </cell>
          <cell r="AM161">
            <v>0</v>
          </cell>
          <cell r="AN161" t="str">
            <v>x</v>
          </cell>
          <cell r="AO161">
            <v>0</v>
          </cell>
          <cell r="AP161">
            <v>0</v>
          </cell>
          <cell r="AQ161" t="str">
            <v>x</v>
          </cell>
          <cell r="AR161">
            <v>0</v>
          </cell>
          <cell r="AS161">
            <v>0</v>
          </cell>
          <cell r="AT161">
            <v>0</v>
          </cell>
        </row>
        <row r="162">
          <cell r="B162">
            <v>158</v>
          </cell>
          <cell r="C162" t="str">
            <v>MPE1</v>
          </cell>
          <cell r="D162" t="str">
            <v>Direccionamiento Estratégico</v>
          </cell>
          <cell r="E162" t="str">
            <v>N/A</v>
          </cell>
          <cell r="F162" t="str">
            <v>N/A</v>
          </cell>
          <cell r="G162" t="str">
            <v>Gestión Financiera</v>
          </cell>
          <cell r="H162" t="str">
            <v>Proyectos de inversión</v>
          </cell>
          <cell r="I162">
            <v>0</v>
          </cell>
          <cell r="J162">
            <v>0</v>
          </cell>
          <cell r="K162" t="str">
            <v>Subdirección de Programación</v>
          </cell>
          <cell r="L162" t="str">
            <v>PA-84</v>
          </cell>
          <cell r="M162" t="str">
            <v>Porcentaje de reducción de solicitudes de traslados presupuestales aprobadas y en resolución</v>
          </cell>
          <cell r="N162" t="str">
            <v>Realizar un seguimiento, control y mejoras a la programación presupuestal inicial con los traslados solicitados por las áreas gerentes de los recursos para cada uno de los proyecto, e implementar un sistema de minimización y mejoras a los traslados solicitados.</v>
          </cell>
          <cell r="O162" t="str">
            <v>Decreciente</v>
          </cell>
          <cell r="P162" t="str">
            <v>Gestión</v>
          </cell>
          <cell r="Q162" t="str">
            <v>1944 año 2014</v>
          </cell>
          <cell r="R162" t="str">
            <v>Gestión</v>
          </cell>
          <cell r="S162" t="str">
            <v>Eficacia</v>
          </cell>
          <cell r="T162">
            <v>0.15</v>
          </cell>
          <cell r="U162" t="str">
            <v>N/A</v>
          </cell>
          <cell r="V162" t="str">
            <v>Porcentaje</v>
          </cell>
          <cell r="W162" t="str">
            <v>Si</v>
          </cell>
          <cell r="X162" t="str">
            <v>No</v>
          </cell>
          <cell r="Y162" t="str">
            <v>No</v>
          </cell>
          <cell r="Z162" t="str">
            <v>No</v>
          </cell>
          <cell r="AA162" t="str">
            <v>No</v>
          </cell>
          <cell r="AB162" t="str">
            <v>Si</v>
          </cell>
          <cell r="AC162" t="str">
            <v>Numero de Solicitudes de Traslados aprobados por resolución, acumulados a la fecha</v>
          </cell>
          <cell r="AD162" t="str">
            <v>Nuevo Modelo Financiero-NMF</v>
          </cell>
          <cell r="AE162" t="str">
            <v>Numero de Solicitudes de Traslados aprobados por resolución, acumulados al mes de corte de la vigencia anterior</v>
          </cell>
          <cell r="AF162" t="str">
            <v>Nuevo Modelo Financiero-NMF</v>
          </cell>
          <cell r="AG162" t="str">
            <v>(1 - (cantidad de solicitudes de traslado aprobadas por resolución en la vigencia/cantidad de solicitudes de traslado aprobadas por resolución en la vigencia anterior))%</v>
          </cell>
          <cell r="AH162" t="str">
            <v>Trimestral</v>
          </cell>
          <cell r="AI162">
            <v>0</v>
          </cell>
          <cell r="AJ162">
            <v>0</v>
          </cell>
          <cell r="AK162" t="str">
            <v>x</v>
          </cell>
          <cell r="AL162">
            <v>0</v>
          </cell>
          <cell r="AM162">
            <v>0</v>
          </cell>
          <cell r="AN162" t="str">
            <v>x</v>
          </cell>
          <cell r="AO162">
            <v>0</v>
          </cell>
          <cell r="AP162">
            <v>0</v>
          </cell>
          <cell r="AQ162" t="str">
            <v>x</v>
          </cell>
          <cell r="AR162">
            <v>0</v>
          </cell>
          <cell r="AS162">
            <v>0</v>
          </cell>
          <cell r="AT162" t="str">
            <v>x</v>
          </cell>
        </row>
        <row r="163">
          <cell r="B163">
            <v>159</v>
          </cell>
          <cell r="C163" t="str">
            <v>MPE1</v>
          </cell>
          <cell r="D163" t="str">
            <v>Direccionamiento Estratégico</v>
          </cell>
          <cell r="E163" t="str">
            <v>N/A</v>
          </cell>
          <cell r="F163" t="str">
            <v>N/A</v>
          </cell>
          <cell r="G163" t="str">
            <v>Gestión misional y de Gobierno</v>
          </cell>
          <cell r="H163" t="str">
            <v>Indicadores y metas de gobierno</v>
          </cell>
          <cell r="I163">
            <v>0</v>
          </cell>
          <cell r="J163">
            <v>0</v>
          </cell>
          <cell r="K163" t="str">
            <v>Subdirección de Programación</v>
          </cell>
          <cell r="L163" t="str">
            <v>PA-85</v>
          </cell>
          <cell r="M163" t="str">
            <v>Porcentaje de Avance en el Desarrollo del modelo de Distribución de Recursos</v>
          </cell>
          <cell r="N163" t="str">
            <v>Diseñar un modelo de distribución presupuestal para el ICBF</v>
          </cell>
          <cell r="O163" t="str">
            <v>Dinámico</v>
          </cell>
          <cell r="P163" t="str">
            <v>Producto</v>
          </cell>
          <cell r="Q163" t="str">
            <v>N/A</v>
          </cell>
          <cell r="R163" t="str">
            <v>Producto</v>
          </cell>
          <cell r="S163" t="str">
            <v>Economia</v>
          </cell>
          <cell r="T163">
            <v>0.6</v>
          </cell>
          <cell r="U163">
            <v>1</v>
          </cell>
          <cell r="V163" t="str">
            <v>Porcentaje</v>
          </cell>
          <cell r="W163" t="str">
            <v>Si</v>
          </cell>
          <cell r="X163" t="str">
            <v>No</v>
          </cell>
          <cell r="Y163" t="str">
            <v>No</v>
          </cell>
          <cell r="Z163" t="str">
            <v>No</v>
          </cell>
          <cell r="AA163" t="str">
            <v>Si</v>
          </cell>
          <cell r="AB163" t="str">
            <v>Si</v>
          </cell>
          <cell r="AC163" t="str">
            <v>Actividades realizadas del Plan de Trabajo</v>
          </cell>
          <cell r="AD163" t="str">
            <v>la información no esta. Faslta actualizar la HV</v>
          </cell>
          <cell r="AE163" t="str">
            <v>Actividades totales programadas del Plan de Trabajo</v>
          </cell>
          <cell r="AF163" t="str">
            <v>la información no esta. Faslta actualizar la HV</v>
          </cell>
          <cell r="AG163" t="str">
            <v>Modelo de distribución definido, ajustado e implementado</v>
          </cell>
          <cell r="AH163" t="str">
            <v>Trimestral</v>
          </cell>
          <cell r="AI163">
            <v>0</v>
          </cell>
          <cell r="AJ163">
            <v>0</v>
          </cell>
          <cell r="AK163" t="str">
            <v>x</v>
          </cell>
          <cell r="AL163">
            <v>0</v>
          </cell>
          <cell r="AM163">
            <v>0</v>
          </cell>
          <cell r="AN163" t="str">
            <v>x</v>
          </cell>
          <cell r="AO163">
            <v>0</v>
          </cell>
          <cell r="AP163">
            <v>0</v>
          </cell>
          <cell r="AQ163">
            <v>0</v>
          </cell>
          <cell r="AR163" t="str">
            <v>x</v>
          </cell>
          <cell r="AS163">
            <v>0</v>
          </cell>
          <cell r="AT163">
            <v>0</v>
          </cell>
        </row>
        <row r="164">
          <cell r="B164">
            <v>160</v>
          </cell>
          <cell r="C164" t="str">
            <v>MPE2</v>
          </cell>
          <cell r="D164" t="str">
            <v>Mejoramiento Continuo</v>
          </cell>
          <cell r="E164" t="str">
            <v>N/A</v>
          </cell>
          <cell r="F164" t="str">
            <v>N/A</v>
          </cell>
          <cell r="G164" t="str">
            <v>N/A</v>
          </cell>
          <cell r="H164" t="str">
            <v>N/A</v>
          </cell>
          <cell r="I164">
            <v>0</v>
          </cell>
          <cell r="J164">
            <v>0</v>
          </cell>
          <cell r="K164" t="str">
            <v>Subdirección de Mejoramiento Organizacional</v>
          </cell>
          <cell r="L164" t="str">
            <v>MPE2-01</v>
          </cell>
          <cell r="M164" t="str">
            <v>Porcentaje de Acciones correctivas  eficaces</v>
          </cell>
          <cell r="N164" t="str">
            <v>Medir la eficacia de las acciones correctivas que  contribuyen  a la mejora de los Macro procesos/procesos</v>
          </cell>
          <cell r="O164" t="str">
            <v>Creciente</v>
          </cell>
          <cell r="P164" t="str">
            <v>Resultado</v>
          </cell>
          <cell r="Q164">
            <v>0.28000000000000003</v>
          </cell>
          <cell r="R164" t="str">
            <v>Resultado</v>
          </cell>
          <cell r="S164" t="str">
            <v>Eficacia</v>
          </cell>
          <cell r="T164">
            <v>0.85</v>
          </cell>
          <cell r="U164" t="str">
            <v>N/A</v>
          </cell>
          <cell r="V164" t="str">
            <v>Porcentaje</v>
          </cell>
          <cell r="W164" t="str">
            <v>Si</v>
          </cell>
          <cell r="X164" t="str">
            <v>Si</v>
          </cell>
          <cell r="Y164" t="str">
            <v>No</v>
          </cell>
          <cell r="Z164" t="str">
            <v>No</v>
          </cell>
          <cell r="AA164" t="str">
            <v>No</v>
          </cell>
          <cell r="AB164" t="str">
            <v>No</v>
          </cell>
          <cell r="AC164" t="str">
            <v xml:space="preserve">N° de  acciones correctivas  cerradas eficazmente </v>
          </cell>
          <cell r="AD164" t="str">
            <v>Instrucciones de calculo Numerador:
Aplicativo Isolucion - modulo Mejoramiento 
Paso 1: Ingrese al modulo mejoramiento y seleccione la opción "filtro" en acciones correctivas 
Paso 2: en la columna "Fecha de cierre" en "hasta" seleccione la fecha final del corte, ejemplo mensual comprende del 1 enero  a 31 de enero  entonces  seleccione estas fechas
Paso 3: Ahora seleccione en la columna "Estado" las cerradas
Paso 4: Luego seleccione en la columna "Regional/Centro Zonal" su regional
Paso 5: Verificar y hacer el conteo de las acciones cerradas eficazmente del "total de las cerradas"</v>
          </cell>
          <cell r="AE164" t="str">
            <v>No de Acciones Correctivas cerradas eficazmente  + vencidas a la fecha de corte</v>
          </cell>
          <cell r="AF164" t="str">
            <v>Aplicativo Isolucion - modulo Mejoramiento 
Instrucciones de calculo Denominador:
Paso 1: Ingrese nuevamente al modulo mejoramiento y seleccione la opción "filtro" en acciones correctivas 
Paso 2: Seleccione en la columna "Estado" las vencidas
Paso 3: Ahora seleccione de la columna "Fecha prevista de cierre" en la opción "Hasta" la ultima fecha del mes, ejemplo:31 de enero
Paso 4: Luego seleccione en la columna "Regional/Centro Zonal" su regional
Paso 5: Realice el conteo de las acciones vencidas 
Paso 6: Ahora sume el  "total de las cerradas" mas las vencidas resultado del paso anterior 
Nota 1: Esto aplica para realizar el calculo del ultimo día del mes, si  se realiza post   erior al ultimo día del mes, debe realizar el siguiente filtro:
Paso 6:  seleccione en la columna "  Fecha prevista de cierre"  en "hasta" seleccione la fecha final del corte.
paso 7: seleccione en la columna" Estado "cerradas 
paso 8: seleccione  fecha de cierre " en hasta" seleccione  el día  posterior al corte, estas acciones cerradas posterior a la fecha de corte contaran como vencidas 
Nota 2:  Las acciones correctivas direccionas a los dueños de macro proceso/ procesos de la (sede) que se encuentra vencidas, no se contaran en  el reporte de la  regional  y estas se incluirán como vencidas  en el reporte del indicador de  la sede.</v>
          </cell>
          <cell r="AG164" t="str">
            <v xml:space="preserve">Nª de  acciones Correctivas  cerradas eficazmente  /  Nº de Acciones Correctivas vencidas  + N° de  acciones correctivas cerradas eficazmente en el periodo  </v>
          </cell>
          <cell r="AH164" t="str">
            <v>Mensual</v>
          </cell>
          <cell r="AI164" t="str">
            <v>x</v>
          </cell>
          <cell r="AJ164" t="str">
            <v>x</v>
          </cell>
          <cell r="AK164" t="str">
            <v>x</v>
          </cell>
          <cell r="AL164" t="str">
            <v>x</v>
          </cell>
          <cell r="AM164" t="str">
            <v>x</v>
          </cell>
          <cell r="AN164" t="str">
            <v>x</v>
          </cell>
          <cell r="AO164" t="str">
            <v>x</v>
          </cell>
          <cell r="AP164" t="str">
            <v>x</v>
          </cell>
          <cell r="AQ164" t="str">
            <v>x</v>
          </cell>
          <cell r="AR164" t="str">
            <v>x</v>
          </cell>
          <cell r="AS164" t="str">
            <v>x</v>
          </cell>
          <cell r="AT164" t="str">
            <v>x</v>
          </cell>
        </row>
        <row r="165">
          <cell r="B165">
            <v>161</v>
          </cell>
          <cell r="C165" t="str">
            <v>MPE2</v>
          </cell>
          <cell r="D165" t="str">
            <v>Mejoramiento Continuo</v>
          </cell>
          <cell r="E165" t="str">
            <v>N/A</v>
          </cell>
          <cell r="F165" t="str">
            <v>N/A</v>
          </cell>
          <cell r="G165" t="str">
            <v>Eficiencia administrativa</v>
          </cell>
          <cell r="H165" t="str">
            <v>Gestión de la calidad</v>
          </cell>
          <cell r="I165">
            <v>0</v>
          </cell>
          <cell r="J165">
            <v>0</v>
          </cell>
          <cell r="K165" t="str">
            <v>Subdirección de Mejoramiento Organizacional</v>
          </cell>
          <cell r="L165" t="str">
            <v>PA-86</v>
          </cell>
          <cell r="M165" t="str">
            <v xml:space="preserve">Porcentaje de Regionales y sede de la Dirección General certificadas en los sistemas de Gestión de Calidad, Ambiental, Seguridad y Salud en el Trabajo y Seguridad de la Información </v>
          </cell>
          <cell r="N165" t="str">
            <v xml:space="preserve">Medir la implementación del sistema  integrado de gestión en Calidad, Ambiental, Seguridad y Salud en el Trabajo y Seguridad de la Información </v>
          </cell>
          <cell r="O165" t="str">
            <v>Creciente</v>
          </cell>
          <cell r="P165" t="str">
            <v>Resultado</v>
          </cell>
          <cell r="Q165">
            <v>66</v>
          </cell>
          <cell r="R165" t="str">
            <v>Resultado</v>
          </cell>
          <cell r="S165" t="str">
            <v>Eficiencia</v>
          </cell>
          <cell r="T165">
            <v>66</v>
          </cell>
          <cell r="U165">
            <v>136</v>
          </cell>
          <cell r="V165" t="str">
            <v>Porcentaje</v>
          </cell>
          <cell r="W165" t="str">
            <v>Si</v>
          </cell>
          <cell r="X165" t="str">
            <v>No</v>
          </cell>
          <cell r="Y165" t="str">
            <v>No</v>
          </cell>
          <cell r="Z165" t="str">
            <v>No</v>
          </cell>
          <cell r="AA165" t="str">
            <v>Si</v>
          </cell>
          <cell r="AB165" t="str">
            <v>Si</v>
          </cell>
          <cell r="AC165" t="str">
            <v xml:space="preserve">N° certificados otorgados </v>
          </cell>
          <cell r="AD165" t="str">
            <v>Certificados de regionales y Sede de la Dirección General otorgados</v>
          </cell>
          <cell r="AE165">
            <v>66</v>
          </cell>
          <cell r="AF165" t="str">
            <v>Certificados otorgados</v>
          </cell>
          <cell r="AG165" t="str">
            <v>N° certificados otorgados /Total de certificados programados</v>
          </cell>
          <cell r="AH165" t="str">
            <v>Anual</v>
          </cell>
          <cell r="AI165">
            <v>0</v>
          </cell>
          <cell r="AJ165">
            <v>0</v>
          </cell>
          <cell r="AK165">
            <v>0</v>
          </cell>
          <cell r="AL165">
            <v>0</v>
          </cell>
          <cell r="AM165">
            <v>0</v>
          </cell>
          <cell r="AN165">
            <v>0</v>
          </cell>
          <cell r="AO165">
            <v>0</v>
          </cell>
          <cell r="AP165">
            <v>0</v>
          </cell>
          <cell r="AQ165">
            <v>0</v>
          </cell>
          <cell r="AR165">
            <v>0</v>
          </cell>
          <cell r="AS165">
            <v>0</v>
          </cell>
          <cell r="AT165" t="str">
            <v>x</v>
          </cell>
        </row>
        <row r="166">
          <cell r="B166">
            <v>162</v>
          </cell>
          <cell r="C166" t="str">
            <v>MPE2</v>
          </cell>
          <cell r="D166" t="str">
            <v>Mejoramiento Continuo</v>
          </cell>
          <cell r="E166" t="str">
            <v>N/A</v>
          </cell>
          <cell r="F166" t="str">
            <v>N/A</v>
          </cell>
          <cell r="G166" t="str">
            <v>Eficiencia administrativa</v>
          </cell>
          <cell r="H166" t="str">
            <v>Modernización institucional</v>
          </cell>
          <cell r="I166">
            <v>0</v>
          </cell>
          <cell r="J166">
            <v>0</v>
          </cell>
          <cell r="K166" t="str">
            <v>Subdirección de Mejoramiento Organizacional</v>
          </cell>
          <cell r="L166" t="str">
            <v>PA-87</v>
          </cell>
          <cell r="M166" t="str">
            <v>Macro procesos con registro en la bitácoras de innovaciones implementadas</v>
          </cell>
          <cell r="N166" t="str">
            <v>Conocer las innovaciones realizadas en la entidad a través de la bitácora</v>
          </cell>
          <cell r="O166" t="str">
            <v>Creciente</v>
          </cell>
          <cell r="P166" t="str">
            <v>Resultado</v>
          </cell>
          <cell r="Q166" t="str">
            <v>N/A</v>
          </cell>
          <cell r="R166" t="str">
            <v>Resultado</v>
          </cell>
          <cell r="S166" t="str">
            <v>Eficacia</v>
          </cell>
          <cell r="T166">
            <v>1</v>
          </cell>
          <cell r="U166">
            <v>1</v>
          </cell>
          <cell r="V166" t="str">
            <v>Porcentaje</v>
          </cell>
          <cell r="W166" t="str">
            <v>Si</v>
          </cell>
          <cell r="X166" t="str">
            <v>No</v>
          </cell>
          <cell r="Y166" t="str">
            <v>No</v>
          </cell>
          <cell r="Z166" t="str">
            <v>No</v>
          </cell>
          <cell r="AA166" t="str">
            <v>No</v>
          </cell>
          <cell r="AB166" t="str">
            <v>Si</v>
          </cell>
          <cell r="AC166" t="str">
            <v>Número de bitácoras de innovaciones  implementadas</v>
          </cell>
          <cell r="AD166" t="str">
            <v xml:space="preserve">Isolucion  Modulo de Mejoramiento 
Base de datos Bitacoras </v>
          </cell>
          <cell r="AE166" t="str">
            <v>50 bitácoras de innovaciones programadas a implementar</v>
          </cell>
          <cell r="AF166" t="str">
            <v xml:space="preserve">Isolucion  Modulo de Mejoramiento 
Base de datos Bitacoras </v>
          </cell>
          <cell r="AG166" t="str">
            <v>Número de bitácoras de innovaciones  implementadas / 50 bitácoras de innovaciones programadas a implementar*100</v>
          </cell>
          <cell r="AH166" t="str">
            <v>Trimestral</v>
          </cell>
          <cell r="AI166">
            <v>0</v>
          </cell>
          <cell r="AJ166">
            <v>0</v>
          </cell>
          <cell r="AK166" t="str">
            <v>x</v>
          </cell>
          <cell r="AL166">
            <v>0</v>
          </cell>
          <cell r="AM166">
            <v>0</v>
          </cell>
          <cell r="AN166" t="str">
            <v>x</v>
          </cell>
          <cell r="AO166">
            <v>0</v>
          </cell>
          <cell r="AP166">
            <v>0</v>
          </cell>
          <cell r="AQ166" t="str">
            <v>x</v>
          </cell>
          <cell r="AR166">
            <v>0</v>
          </cell>
          <cell r="AS166">
            <v>0</v>
          </cell>
          <cell r="AT166" t="str">
            <v>x</v>
          </cell>
        </row>
        <row r="167">
          <cell r="B167">
            <v>163</v>
          </cell>
          <cell r="C167" t="str">
            <v>MPE2</v>
          </cell>
          <cell r="D167" t="str">
            <v>Mejoramiento Continuo</v>
          </cell>
          <cell r="E167" t="str">
            <v>N/A</v>
          </cell>
          <cell r="F167" t="str">
            <v>N/A</v>
          </cell>
          <cell r="G167" t="str">
            <v>Eficiencia administrativa</v>
          </cell>
          <cell r="H167" t="str">
            <v>Gestión de la calidad</v>
          </cell>
          <cell r="I167">
            <v>0</v>
          </cell>
          <cell r="J167">
            <v>0</v>
          </cell>
          <cell r="K167" t="str">
            <v>Subdirección de Mejoramiento Organizacional</v>
          </cell>
          <cell r="L167" t="str">
            <v>PA-88</v>
          </cell>
          <cell r="M167" t="str">
            <v>Porcentaje de avance en la implementación del Plan para postulación al Premio Colombiano a la Calidad de la Gestión</v>
          </cell>
          <cell r="N167" t="str">
            <v xml:space="preserve">Medir el avance de la gestión institucional para lograr la postulación al Premio Colombiano a la Calidad de la Gestión
para ser una entidad reconocida por la Excelencia de la Gestión y Promover la Autoevaluación y la focalización hacia la satisfacción de las necesidades y expectativas del cliente y de las partes interesadas. </v>
          </cell>
          <cell r="O167" t="str">
            <v>Creciente</v>
          </cell>
          <cell r="P167" t="str">
            <v>Gestión</v>
          </cell>
          <cell r="Q167" t="str">
            <v>N/A</v>
          </cell>
          <cell r="R167" t="str">
            <v>Gestión</v>
          </cell>
          <cell r="S167" t="str">
            <v>Eficiencia</v>
          </cell>
          <cell r="T167">
            <v>1</v>
          </cell>
          <cell r="U167">
            <v>1</v>
          </cell>
          <cell r="V167" t="str">
            <v>Porcentaje</v>
          </cell>
          <cell r="W167" t="str">
            <v>Si</v>
          </cell>
          <cell r="X167" t="str">
            <v>No</v>
          </cell>
          <cell r="Y167" t="str">
            <v>No</v>
          </cell>
          <cell r="Z167" t="str">
            <v>No</v>
          </cell>
          <cell r="AA167" t="str">
            <v>Si</v>
          </cell>
          <cell r="AB167" t="str">
            <v>Si</v>
          </cell>
          <cell r="AC167" t="str">
            <v>N° de fases implementadas</v>
          </cell>
          <cell r="AD167" t="str">
            <v>Plan operativo para postulación al Premio Colombiano a la Calidad de la Gestión</v>
          </cell>
          <cell r="AE167" t="str">
            <v>N° de fases programadas al corte</v>
          </cell>
          <cell r="AF167" t="str">
            <v>Plan operativo para postulación al Premio Colombiano a la Calidad de la Gestión</v>
          </cell>
          <cell r="AG167" t="str">
            <v>N° de fases implementadas / N° de fases programadas al corte</v>
          </cell>
          <cell r="AH167" t="str">
            <v>Trimestral</v>
          </cell>
          <cell r="AI167">
            <v>0</v>
          </cell>
          <cell r="AJ167">
            <v>0</v>
          </cell>
          <cell r="AK167" t="str">
            <v>x</v>
          </cell>
          <cell r="AL167">
            <v>0</v>
          </cell>
          <cell r="AM167">
            <v>0</v>
          </cell>
          <cell r="AN167" t="str">
            <v>x</v>
          </cell>
          <cell r="AO167">
            <v>0</v>
          </cell>
          <cell r="AP167">
            <v>0</v>
          </cell>
          <cell r="AQ167" t="str">
            <v>x</v>
          </cell>
          <cell r="AR167">
            <v>0</v>
          </cell>
          <cell r="AS167">
            <v>0</v>
          </cell>
          <cell r="AT167" t="str">
            <v>x</v>
          </cell>
        </row>
        <row r="168">
          <cell r="B168">
            <v>164</v>
          </cell>
          <cell r="C168" t="str">
            <v>MPE2</v>
          </cell>
          <cell r="D168" t="str">
            <v>Mejoramiento Continuo</v>
          </cell>
          <cell r="E168" t="str">
            <v>N/A</v>
          </cell>
          <cell r="F168" t="str">
            <v>N/A</v>
          </cell>
          <cell r="G168" t="str">
            <v>N/A</v>
          </cell>
          <cell r="H168" t="str">
            <v>N/A</v>
          </cell>
          <cell r="I168">
            <v>0</v>
          </cell>
          <cell r="J168">
            <v>0</v>
          </cell>
          <cell r="K168" t="str">
            <v>Subdirección de Mejoramiento Organizacional</v>
          </cell>
          <cell r="L168" t="str">
            <v>MPE2-02</v>
          </cell>
          <cell r="M168" t="str">
            <v>Porcentaje de  cierre de Servicios  no conforme</v>
          </cell>
          <cell r="N168" t="str">
            <v>Medir el  porcentaje de cierre de los servicios no conformes para la mejora de los procesos</v>
          </cell>
          <cell r="O168" t="str">
            <v>Creciente</v>
          </cell>
          <cell r="P168" t="str">
            <v>Gestión</v>
          </cell>
          <cell r="Q168" t="str">
            <v>N/A</v>
          </cell>
          <cell r="R168" t="str">
            <v>Gestión</v>
          </cell>
          <cell r="S168" t="str">
            <v>Eficacia</v>
          </cell>
          <cell r="T168">
            <v>0.85</v>
          </cell>
          <cell r="U168" t="str">
            <v>N/A</v>
          </cell>
          <cell r="V168" t="str">
            <v>Porcentaje</v>
          </cell>
          <cell r="W168" t="str">
            <v>Si</v>
          </cell>
          <cell r="X168" t="str">
            <v>Si</v>
          </cell>
          <cell r="Y168" t="str">
            <v>Si</v>
          </cell>
          <cell r="Z168" t="str">
            <v>No</v>
          </cell>
          <cell r="AA168" t="str">
            <v>No</v>
          </cell>
          <cell r="AB168" t="str">
            <v>No</v>
          </cell>
          <cell r="AC168" t="str">
            <v>Nª de  servicios no conformes cerrados</v>
          </cell>
          <cell r="AD168" t="str">
            <v xml:space="preserve">Instrucciones de calculo Numerador:
Aplicativo Isolucion - modulo Mejoramiento 
Paso 1: Ingrese al modulo mejoramiento y seleccione la opción "filtro" de servicios no conformes 
Paso 2: en la columna "Fecha de cierre" en "hasta" seleccione la fecha final del corte, ejemplo mensual comprende del 1 enero  a 31 de enero  entonces  seleccione estas fechas
Paso 3: Ahora seleccione en la columna "Estado" los cerradas
Paso 4: Luego seleccione en la columna "Regional/Centro Zonal" </v>
          </cell>
          <cell r="AE168" t="str">
            <v>Total de servicios no conformes generados</v>
          </cell>
          <cell r="AF168" t="str">
            <v xml:space="preserve">Aplicativo Isolucion - modulo Mejoramiento 
Instrucciones de calculo Denominador:
Paso 1: Ingrese nuevamente al modulo mejoramiento y seleccione la opción "filtro" en servicios no conformes
Paso 2: Seleccione en la columna "Estado" abiertos 
Paso 4: Luego seleccione en la columna "Regional/Centro Zonal" su regional
Paso 5: Realice el conteo de los servicios no conformes 
Paso 6: Ahora sume el  "total de las cerradas " mas  las que están pendiente de Cierre
</v>
          </cell>
          <cell r="AG168" t="str">
            <v>Nª de  servicios no conformes cerrados /Total de servicios no conformes generados</v>
          </cell>
          <cell r="AH168" t="str">
            <v>Mensual</v>
          </cell>
          <cell r="AI168" t="str">
            <v>x</v>
          </cell>
          <cell r="AJ168" t="str">
            <v>x</v>
          </cell>
          <cell r="AK168" t="str">
            <v>x</v>
          </cell>
          <cell r="AL168" t="str">
            <v>x</v>
          </cell>
          <cell r="AM168" t="str">
            <v>x</v>
          </cell>
          <cell r="AN168" t="str">
            <v>x</v>
          </cell>
          <cell r="AO168" t="str">
            <v>x</v>
          </cell>
          <cell r="AP168" t="str">
            <v>x</v>
          </cell>
          <cell r="AQ168" t="str">
            <v>x</v>
          </cell>
          <cell r="AR168" t="str">
            <v>x</v>
          </cell>
          <cell r="AS168" t="str">
            <v>x</v>
          </cell>
          <cell r="AT168" t="str">
            <v>x</v>
          </cell>
        </row>
        <row r="169">
          <cell r="B169">
            <v>165</v>
          </cell>
          <cell r="C169" t="str">
            <v>MPE2</v>
          </cell>
          <cell r="D169" t="str">
            <v>Mejoramiento Continuo</v>
          </cell>
          <cell r="E169" t="str">
            <v>N/A</v>
          </cell>
          <cell r="F169" t="str">
            <v>N/A</v>
          </cell>
          <cell r="G169" t="str">
            <v>N/A</v>
          </cell>
          <cell r="H169" t="str">
            <v>N/A</v>
          </cell>
          <cell r="I169">
            <v>0</v>
          </cell>
          <cell r="J169">
            <v>0</v>
          </cell>
          <cell r="K169" t="str">
            <v>Subdirección de Mejoramiento Organizacional</v>
          </cell>
          <cell r="L169" t="str">
            <v>MPE2-03</v>
          </cell>
          <cell r="M169" t="str">
            <v>Porcentaje de Riesgos mitigados</v>
          </cell>
          <cell r="N169" t="str">
            <v xml:space="preserve">Identificar el porcentaje de riesgos que fueron mitigados mediante la ejecución de actividades formuladas a partir de la más reciente valoración de riesgos </v>
          </cell>
          <cell r="O169" t="str">
            <v>Creciente</v>
          </cell>
          <cell r="P169" t="str">
            <v>Resultado</v>
          </cell>
          <cell r="Q169">
            <v>0.92</v>
          </cell>
          <cell r="R169" t="str">
            <v>Resultado</v>
          </cell>
          <cell r="S169" t="str">
            <v>Efectividad</v>
          </cell>
          <cell r="T169">
            <v>0.95</v>
          </cell>
          <cell r="U169" t="str">
            <v>N/A</v>
          </cell>
          <cell r="V169" t="str">
            <v>Porcentaje</v>
          </cell>
          <cell r="W169" t="str">
            <v>Si</v>
          </cell>
          <cell r="X169" t="str">
            <v>Si</v>
          </cell>
          <cell r="Y169" t="str">
            <v>Si</v>
          </cell>
          <cell r="Z169" t="str">
            <v>No</v>
          </cell>
          <cell r="AA169" t="str">
            <v>No</v>
          </cell>
          <cell r="AB169" t="str">
            <v>No</v>
          </cell>
          <cell r="AC169" t="str">
            <v>Número de riesgos que se mitigaron</v>
          </cell>
          <cell r="AD169" t="str">
            <v xml:space="preserve">Mapa de Riesgo del nivel regional o sede por Macro procesos/proceso 
Instrucciones de calculo Numerador: Identifique la cantidad de riesgos que en la fecha de corte, tenían previsto terminar todo el tratamiento (acciones), identifique el número de acciones previstas,  luego identifique cuantas de las actividades previstas cumplieron, registe el número de cada una de ellas en la tabla que esta adjunta a este hoja de vida. Es importante aclarar que además de actividades cumplidas, estas deben ser eficaces, es decir cumplir con el objetivo previsto que es controlar el riesgo o el que la Regional haya definido. 
La forma de calcular el numerador es: Si se cumplieron con todas las actividades previstas y estas fueron eficaces se registra 1, en caso de que no se haya cumplido una o mas se registra cero.  (columna calculo del numerador) 
Es importante hacer el análisis  en caso de no cumplimiento y contar con la evidencia de la implementación del tratamiento definido. 
Por último el reporte para cuando no existen controles (acciones) para la fecha de corte es 0 (cero) en cada columna y en la columna calculo del numerador es NA (se aclara que esto no castiga la gestión de la Regional para efectos de ningún reporte) </v>
          </cell>
          <cell r="AE169" t="str">
            <v xml:space="preserve">Total Riesgos que tenían previsto mitigar  a la fecha de corte </v>
          </cell>
          <cell r="AF169" t="str">
            <v>Instrucciones de calculo Denominador: Sume la cantidad de riesgos que en la fecha de corte, tenían previsto mitigar (ver tabla para calculo adjunto a este hoja)</v>
          </cell>
          <cell r="AG169" t="str">
            <v xml:space="preserve">Número de Riesgos que se mitigaron   / Total Riesgos previsto mitigar a la fecha de corte.   </v>
          </cell>
          <cell r="AH169" t="str">
            <v>Trimestral</v>
          </cell>
          <cell r="AI169">
            <v>0</v>
          </cell>
          <cell r="AJ169">
            <v>0</v>
          </cell>
          <cell r="AK169" t="str">
            <v>x</v>
          </cell>
          <cell r="AL169">
            <v>0</v>
          </cell>
          <cell r="AM169">
            <v>0</v>
          </cell>
          <cell r="AN169" t="str">
            <v>x</v>
          </cell>
          <cell r="AO169">
            <v>0</v>
          </cell>
          <cell r="AP169">
            <v>0</v>
          </cell>
          <cell r="AQ169" t="str">
            <v>x</v>
          </cell>
          <cell r="AR169">
            <v>0</v>
          </cell>
          <cell r="AS169">
            <v>0</v>
          </cell>
          <cell r="AT169" t="str">
            <v>x</v>
          </cell>
        </row>
        <row r="170">
          <cell r="B170">
            <v>166</v>
          </cell>
          <cell r="C170" t="str">
            <v>MPE2</v>
          </cell>
          <cell r="D170" t="str">
            <v>Mejoramiento Continuo</v>
          </cell>
          <cell r="E170" t="str">
            <v>N/A</v>
          </cell>
          <cell r="F170" t="str">
            <v>N/A</v>
          </cell>
          <cell r="G170" t="str">
            <v>Eficiencia administrativa</v>
          </cell>
          <cell r="H170" t="str">
            <v>Racionalización de trámites</v>
          </cell>
          <cell r="I170">
            <v>0</v>
          </cell>
          <cell r="J170">
            <v>0</v>
          </cell>
          <cell r="K170" t="str">
            <v>Subdirección de Mejoramiento Organizacional</v>
          </cell>
          <cell r="L170" t="str">
            <v>PA-89</v>
          </cell>
          <cell r="M170" t="str">
            <v>Numero de trámites y/o procedimientos administrativos  racionalizados y actualizados en el portal SUIT</v>
          </cell>
          <cell r="N170" t="str">
            <v>Medir la racionalización de los trámites y/o procedimientos en el portal SUIT.</v>
          </cell>
          <cell r="O170" t="str">
            <v>Creciente</v>
          </cell>
          <cell r="P170" t="str">
            <v>Producto</v>
          </cell>
          <cell r="Q170">
            <v>13</v>
          </cell>
          <cell r="R170" t="str">
            <v>Producto</v>
          </cell>
          <cell r="S170" t="str">
            <v>Eficacia</v>
          </cell>
          <cell r="T170">
            <v>3</v>
          </cell>
          <cell r="U170">
            <v>13</v>
          </cell>
          <cell r="V170" t="str">
            <v>Número</v>
          </cell>
          <cell r="W170" t="str">
            <v>Si</v>
          </cell>
          <cell r="X170" t="str">
            <v>No</v>
          </cell>
          <cell r="Y170" t="str">
            <v>No</v>
          </cell>
          <cell r="Z170" t="str">
            <v>No</v>
          </cell>
          <cell r="AA170" t="str">
            <v>Si</v>
          </cell>
          <cell r="AB170" t="str">
            <v>Si</v>
          </cell>
          <cell r="AC170" t="str">
            <v>Numero de trámites y/o procedimientos administrativos  racionalizados y actualizados en el portal SUIT</v>
          </cell>
          <cell r="AD170" t="str">
            <v>Portal SUIT .</v>
          </cell>
          <cell r="AE170" t="str">
            <v>N/A</v>
          </cell>
          <cell r="AF170" t="str">
            <v>N/A</v>
          </cell>
          <cell r="AG170" t="str">
            <v>N° trámites actualizados y racionalizados en el portal SUIT.</v>
          </cell>
          <cell r="AH170" t="str">
            <v>Anual</v>
          </cell>
          <cell r="AI170">
            <v>0</v>
          </cell>
          <cell r="AJ170">
            <v>0</v>
          </cell>
          <cell r="AK170">
            <v>0</v>
          </cell>
          <cell r="AL170">
            <v>0</v>
          </cell>
          <cell r="AM170">
            <v>0</v>
          </cell>
          <cell r="AN170">
            <v>0</v>
          </cell>
          <cell r="AO170">
            <v>0</v>
          </cell>
          <cell r="AP170">
            <v>0</v>
          </cell>
          <cell r="AQ170">
            <v>0</v>
          </cell>
          <cell r="AR170">
            <v>0</v>
          </cell>
          <cell r="AS170">
            <v>0</v>
          </cell>
          <cell r="AT170" t="str">
            <v>x</v>
          </cell>
        </row>
        <row r="171">
          <cell r="B171">
            <v>167</v>
          </cell>
          <cell r="C171" t="str">
            <v>MPE2</v>
          </cell>
          <cell r="D171" t="str">
            <v>Mejoramiento Continuo</v>
          </cell>
          <cell r="E171" t="str">
            <v>N/A</v>
          </cell>
          <cell r="F171" t="str">
            <v>N/A</v>
          </cell>
          <cell r="G171" t="str">
            <v>N/A</v>
          </cell>
          <cell r="H171" t="str">
            <v>N/A</v>
          </cell>
          <cell r="I171">
            <v>0</v>
          </cell>
          <cell r="J171">
            <v>0</v>
          </cell>
          <cell r="K171" t="str">
            <v>Subdirección de Mejoramiento Organizacional</v>
          </cell>
          <cell r="L171" t="str">
            <v>MPE2-04</v>
          </cell>
          <cell r="M171" t="str">
            <v>% de  Macro procesos con evidencia de racionalización de procedimientos.</v>
          </cell>
          <cell r="N171" t="str">
            <v>Optimizar  la operación de los macro proceso/procesos a través de la simplificación, estandarización o eliminación de procedimientos.</v>
          </cell>
          <cell r="O171" t="str">
            <v>Creciente</v>
          </cell>
          <cell r="P171" t="str">
            <v>Gestión</v>
          </cell>
          <cell r="Q171">
            <v>0.71</v>
          </cell>
          <cell r="R171" t="str">
            <v>Gestión</v>
          </cell>
          <cell r="S171" t="str">
            <v>Eficacia</v>
          </cell>
          <cell r="T171">
            <v>1</v>
          </cell>
          <cell r="U171" t="str">
            <v>N/A</v>
          </cell>
          <cell r="V171" t="str">
            <v>Porcentaje</v>
          </cell>
          <cell r="W171" t="str">
            <v>Si</v>
          </cell>
          <cell r="X171" t="str">
            <v>No</v>
          </cell>
          <cell r="Y171" t="str">
            <v>No</v>
          </cell>
          <cell r="Z171" t="str">
            <v>No</v>
          </cell>
          <cell r="AA171" t="str">
            <v>No</v>
          </cell>
          <cell r="AB171" t="str">
            <v>No</v>
          </cell>
          <cell r="AC171" t="str">
            <v>N° Macro procesos con evidencia de racionalización de procedimientos.</v>
          </cell>
          <cell r="AD171" t="str">
            <v>Actualización de la Documentación del SIG mensual  (repositorio SMO)</v>
          </cell>
          <cell r="AE171" t="str">
            <v>N° total número de Macro procesos.</v>
          </cell>
          <cell r="AF171" t="str">
            <v>Mapa de Macro procesos</v>
          </cell>
          <cell r="AG171" t="str">
            <v>N° Macro procesos con evidencia de racionalización de procedimientos /N° total número de macro procesos *100%</v>
          </cell>
          <cell r="AH171" t="str">
            <v>Cuatrimestral</v>
          </cell>
          <cell r="AI171">
            <v>0</v>
          </cell>
          <cell r="AJ171">
            <v>0</v>
          </cell>
          <cell r="AK171">
            <v>0</v>
          </cell>
          <cell r="AL171" t="str">
            <v>x</v>
          </cell>
          <cell r="AM171">
            <v>0</v>
          </cell>
          <cell r="AN171">
            <v>0</v>
          </cell>
          <cell r="AO171">
            <v>0</v>
          </cell>
          <cell r="AP171" t="str">
            <v>x</v>
          </cell>
          <cell r="AQ171">
            <v>0</v>
          </cell>
          <cell r="AR171">
            <v>0</v>
          </cell>
          <cell r="AS171">
            <v>0</v>
          </cell>
          <cell r="AT171" t="str">
            <v>x</v>
          </cell>
        </row>
        <row r="172">
          <cell r="B172">
            <v>168</v>
          </cell>
          <cell r="C172" t="str">
            <v>MPE2</v>
          </cell>
          <cell r="D172" t="str">
            <v>Mejoramiento Continuo</v>
          </cell>
          <cell r="E172" t="str">
            <v>N/A</v>
          </cell>
          <cell r="F172" t="str">
            <v>N/A</v>
          </cell>
          <cell r="G172" t="str">
            <v>N/A</v>
          </cell>
          <cell r="H172" t="str">
            <v>N/A</v>
          </cell>
          <cell r="I172">
            <v>0</v>
          </cell>
          <cell r="J172">
            <v>0</v>
          </cell>
          <cell r="K172" t="str">
            <v>Subdirección de Mejoramiento Organizacional</v>
          </cell>
          <cell r="L172" t="str">
            <v>MPE2-05</v>
          </cell>
          <cell r="M172" t="str">
            <v>Porcentaje de Acciones preventivas eficaces</v>
          </cell>
          <cell r="N172" t="str">
            <v>Medir la eficacia de las acciones Preventivas que  contribuyen  a la mejora de los Macro procesos/procesos</v>
          </cell>
          <cell r="O172" t="str">
            <v>Creciente</v>
          </cell>
          <cell r="P172" t="str">
            <v>Resultado</v>
          </cell>
          <cell r="Q172">
            <v>0.25</v>
          </cell>
          <cell r="R172" t="str">
            <v>Resultado</v>
          </cell>
          <cell r="S172" t="str">
            <v>Eficacia</v>
          </cell>
          <cell r="T172">
            <v>0.85</v>
          </cell>
          <cell r="U172" t="str">
            <v>N/A</v>
          </cell>
          <cell r="V172" t="str">
            <v>Porcentaje</v>
          </cell>
          <cell r="W172" t="str">
            <v>Si</v>
          </cell>
          <cell r="X172" t="str">
            <v>Si</v>
          </cell>
          <cell r="Y172" t="str">
            <v>No</v>
          </cell>
          <cell r="Z172" t="str">
            <v>No</v>
          </cell>
          <cell r="AA172" t="str">
            <v>No</v>
          </cell>
          <cell r="AB172" t="str">
            <v>No</v>
          </cell>
          <cell r="AC172" t="str">
            <v>N° de  acciones  Preventivas cerradas  eficaces</v>
          </cell>
          <cell r="AD172" t="str">
            <v xml:space="preserve">Instrucciones de calculo Numerador:
Aplicativo Isolucion - modulo Mejoramiento 
Paso 1: Ingrese al modulo mejoramiento y seleccione la opción "filtro" en acciones Preventivas
Paso 2: en la columna "Fecha de cierre" en "hasta" seleccione la fecha final del corte, ejemplo mensual comprende del 1 enero  a 31 de enero  entonces  seleccione estas fechas
Paso 3: Ahora seleccione en la columna "Estado" las cerradas
Paso 4: Luego seleccione en la columna "Regional/Centro Zonal" su regional
Paso 5: Verificar y hacer el conteo de las acciones cerradas eficazmente del "total de las cerradas"
</v>
          </cell>
          <cell r="AE172" t="str">
            <v>No de Acciones preventivas  cerradas eficazmente +No de Acciones vencidas a la fecha de corte</v>
          </cell>
          <cell r="AF172" t="str">
            <v>Aplicativo Isolucion - modulo Mejoramiento 
Instrucciones de calculo Denominador:
Paso 1: Ingrese nuevamente al modulo mejoramiento y seleccione la opción "filtro" en acciones Preventivas 
Paso 2: Seleccione en la columna "Estado" las vencidas
Paso 3: Ahora seleccione de la columna "Fecha prevista de cierre" en la opción "Hasta" la ultima fecha del mes, ejemplo: del 1 al 31 de enero
Paso 4: Luego seleccione en la columna "Regional/Centro Zonal" su regional
Paso 5: Realice el conteo de las acciones vencidas 
Paso 6: Ahora sume el  "total de las cerradas" mas las vencidas resultado del paso anterior 
Nota 1: Esto aplica para realizar el calculo del ultimo día del mes, si  se realiza posterior al ultimo día del mes, debe realizar el siguiente filtro:
Paso 6:  seleccione en la columna "  Fecha prevista de cierre"  en "hasta" seleccione la fecha final del corte.
paso 7: seleccione en la columna" Estado "cerradas 
paso 8: seleccione  fecha de cierre " en hasta" seleccione  el día  posterior al corte, estas acciones cerradas posterior a la fecha de corte contaran como vencidas 
Nota 2:  Las acciones preventivas  direccionas a los dueños de macro proceso/ procesos de la (sede) que se encuentra vencidas, no se contaran en  el reporte de la  regional  y estas se incluirán como vencidas  en el reporte del indicador de  la sede.</v>
          </cell>
          <cell r="AG172" t="str">
            <v xml:space="preserve">Nª de  acciones Preventivas  cerradas eficaces /  Nº de Acciones Preventivas vencidas  + N° de  acciones Preventivas cerradas  eficaces en el periodo  </v>
          </cell>
          <cell r="AH172" t="str">
            <v>Mensual</v>
          </cell>
          <cell r="AI172" t="str">
            <v>x</v>
          </cell>
          <cell r="AJ172" t="str">
            <v>x</v>
          </cell>
          <cell r="AK172" t="str">
            <v>x</v>
          </cell>
          <cell r="AL172" t="str">
            <v>x</v>
          </cell>
          <cell r="AM172" t="str">
            <v>x</v>
          </cell>
          <cell r="AN172" t="str">
            <v>x</v>
          </cell>
          <cell r="AO172" t="str">
            <v>x</v>
          </cell>
          <cell r="AP172" t="str">
            <v>x</v>
          </cell>
          <cell r="AQ172" t="str">
            <v>x</v>
          </cell>
          <cell r="AR172" t="str">
            <v>x</v>
          </cell>
          <cell r="AS172" t="str">
            <v>x</v>
          </cell>
          <cell r="AT172" t="str">
            <v>x</v>
          </cell>
        </row>
        <row r="173">
          <cell r="B173">
            <v>169</v>
          </cell>
          <cell r="C173" t="str">
            <v>MPE3</v>
          </cell>
          <cell r="D173" t="str">
            <v>Coordinación y Articulación del SNBF</v>
          </cell>
          <cell r="E173" t="str">
            <v>N/A</v>
          </cell>
          <cell r="F173" t="str">
            <v>N/A</v>
          </cell>
          <cell r="G173" t="str">
            <v>Gestión misional y de Gobierno</v>
          </cell>
          <cell r="H173" t="str">
            <v>Indicadores y metas de gobierno</v>
          </cell>
          <cell r="I173">
            <v>0</v>
          </cell>
          <cell r="J173">
            <v>0</v>
          </cell>
          <cell r="K173" t="str">
            <v>Dirección del Sistema Nacional de Bienestar Familiar</v>
          </cell>
          <cell r="L173" t="str">
            <v>PA-90</v>
          </cell>
          <cell r="M173" t="str">
            <v>Número de Municipios y departamentos asistidos técnicamente en el ciclo de gestión de la Política Pública de primera Infancia, Infancia Adolescencia y fortalecimiento a la Familia</v>
          </cell>
          <cell r="N173" t="str">
            <v>Medir los avances en el fortalecimiento de la capacidad técnica de los agentes del SNBF para la Gestión de Políticas Públicas, de   Primera Infancia, Infancia, Adolescencia y para el fortalecimiento familiar</v>
          </cell>
          <cell r="O173" t="str">
            <v>Estático</v>
          </cell>
          <cell r="P173" t="str">
            <v>Gestión</v>
          </cell>
          <cell r="Q173">
            <v>1134</v>
          </cell>
          <cell r="R173" t="str">
            <v>Gestión</v>
          </cell>
          <cell r="S173" t="str">
            <v>Eficacia</v>
          </cell>
          <cell r="T173">
            <v>1134</v>
          </cell>
          <cell r="U173">
            <v>1134</v>
          </cell>
          <cell r="V173" t="str">
            <v>Número de Departamentos y Municipios</v>
          </cell>
          <cell r="W173" t="str">
            <v>No</v>
          </cell>
          <cell r="X173" t="str">
            <v>Si</v>
          </cell>
          <cell r="Y173" t="str">
            <v>No</v>
          </cell>
          <cell r="Z173" t="str">
            <v>No</v>
          </cell>
          <cell r="AA173" t="str">
            <v>Si</v>
          </cell>
          <cell r="AB173" t="str">
            <v>Si</v>
          </cell>
          <cell r="AC173" t="str">
            <v>(Número Municipios asistidos técnicamente en el ciclo de gestión de la Política Pública de primera Infancia, Infancia Adolescencia y fortalecimiento a la Familia) + (Número Departamentos asistidos técnicamente en el ciclo de gestión de la Política Pública de primera Infancia, Infancia Adolescencia y fortalecimiento a la Familia)</v>
          </cell>
          <cell r="AD173" t="str">
            <v>1. Plan de Asistencia Técnica.
2. Informes de Comisión.
3. Actas y ayuda de memoria de reuniones y/o mesas conjuntas de trabajo.
4. Listados de asistencia o inscripción a procesos de fortalecimiento técnico realizados e informes de implementación de estos procesos.
5. Documentos de política pública territorial construidos.</v>
          </cell>
          <cell r="AE173" t="str">
            <v>N/A</v>
          </cell>
          <cell r="AF173" t="str">
            <v>N/A</v>
          </cell>
          <cell r="AG173" t="str">
            <v>(Número Municipios asistidos técnicamente en el ciclo de gestión de la Política Pública de primera Infancia, Infancia Adolescencia y fortalecimiento a la Familia) + (Número Departamentos asistidos técnicamente en el ciclo de gestión de la Política Pública de primera Infancia, Infancia Adolescencia y fortalecimiento a la Familia)</v>
          </cell>
          <cell r="AH173" t="str">
            <v>Mensual</v>
          </cell>
          <cell r="AI173">
            <v>0</v>
          </cell>
          <cell r="AJ173" t="str">
            <v>x</v>
          </cell>
          <cell r="AK173" t="str">
            <v>x</v>
          </cell>
          <cell r="AL173" t="str">
            <v>x</v>
          </cell>
          <cell r="AM173" t="str">
            <v>x</v>
          </cell>
          <cell r="AN173" t="str">
            <v>x</v>
          </cell>
          <cell r="AO173" t="str">
            <v>x</v>
          </cell>
          <cell r="AP173" t="str">
            <v>x</v>
          </cell>
          <cell r="AQ173" t="str">
            <v>x</v>
          </cell>
          <cell r="AR173" t="str">
            <v>x</v>
          </cell>
          <cell r="AS173" t="str">
            <v>x</v>
          </cell>
          <cell r="AT173" t="str">
            <v>x</v>
          </cell>
        </row>
        <row r="174">
          <cell r="B174">
            <v>170</v>
          </cell>
          <cell r="C174" t="str">
            <v>MPE3</v>
          </cell>
          <cell r="D174" t="str">
            <v>Coordinación y Articulación del SNBF</v>
          </cell>
          <cell r="E174" t="str">
            <v>N/A</v>
          </cell>
          <cell r="F174" t="str">
            <v>N/A</v>
          </cell>
          <cell r="G174" t="str">
            <v>Gestión misional y de Gobierno</v>
          </cell>
          <cell r="H174" t="str">
            <v>Indicadores y metas de gobierno</v>
          </cell>
          <cell r="I174">
            <v>0</v>
          </cell>
          <cell r="J174">
            <v>0</v>
          </cell>
          <cell r="K174" t="str">
            <v>Dirección del Sistema Nacional de Bienestar Familiar</v>
          </cell>
          <cell r="L174" t="str">
            <v>PA-91</v>
          </cell>
          <cell r="M174" t="str">
            <v>Número de Municipios con asistencia técnica para la implementación de la Ruta Integral de Atenciones</v>
          </cell>
          <cell r="N174" t="str">
            <v>Medir los avances en el fortalecimiento de la capacidad técnica de los agentes del SNBF para el diseño y la implementación de la Ruta Integral de Atenciones para la Primera Infancia, acorde con los planteamientos conceptuales y de gestión de la Estrategia de Cero a Siempre.</v>
          </cell>
          <cell r="O174" t="str">
            <v>Estático</v>
          </cell>
          <cell r="P174" t="str">
            <v>Gestión</v>
          </cell>
          <cell r="Q174">
            <v>150</v>
          </cell>
          <cell r="R174" t="str">
            <v>Gestión</v>
          </cell>
          <cell r="S174" t="str">
            <v>Eficacia</v>
          </cell>
          <cell r="T174">
            <v>200</v>
          </cell>
          <cell r="U174">
            <v>400</v>
          </cell>
          <cell r="V174" t="str">
            <v>Número de Municipios</v>
          </cell>
          <cell r="W174" t="str">
            <v>No</v>
          </cell>
          <cell r="X174" t="str">
            <v>Si</v>
          </cell>
          <cell r="Y174" t="str">
            <v>No</v>
          </cell>
          <cell r="Z174" t="str">
            <v>No</v>
          </cell>
          <cell r="AA174" t="str">
            <v>Si</v>
          </cell>
          <cell r="AB174" t="str">
            <v>Si</v>
          </cell>
          <cell r="AC174" t="str">
            <v>Número de Municipios con asistencia técnica para la implementación de la Ruta Integral de Atención</v>
          </cell>
          <cell r="AD174" t="str">
            <v>1. Plan de Asistencia Técnica.
2. Informes de Comisión.
3. Actas y ayuda de memoria de reuniones y/o mesas conjuntas de trabajo.
4. Listados de asistencia o inscripción a procesos de fortalecimiento técnico realizados e informes de implementación de estos procesos.
5. Documentos de política pública territorial construidos.</v>
          </cell>
          <cell r="AE174" t="str">
            <v>N/A</v>
          </cell>
          <cell r="AF174" t="str">
            <v>N/A</v>
          </cell>
          <cell r="AG174" t="str">
            <v>Número de Municipios con asistencia técnica para la implementación de la Ruta Integral de Atención</v>
          </cell>
          <cell r="AH174" t="str">
            <v>Mensual</v>
          </cell>
          <cell r="AI174">
            <v>0</v>
          </cell>
          <cell r="AJ174" t="str">
            <v>x</v>
          </cell>
          <cell r="AK174" t="str">
            <v>x</v>
          </cell>
          <cell r="AL174" t="str">
            <v>x</v>
          </cell>
          <cell r="AM174" t="str">
            <v>x</v>
          </cell>
          <cell r="AN174" t="str">
            <v>x</v>
          </cell>
          <cell r="AO174" t="str">
            <v>x</v>
          </cell>
          <cell r="AP174" t="str">
            <v>x</v>
          </cell>
          <cell r="AQ174" t="str">
            <v>x</v>
          </cell>
          <cell r="AR174" t="str">
            <v>x</v>
          </cell>
          <cell r="AS174" t="str">
            <v>x</v>
          </cell>
          <cell r="AT174" t="str">
            <v>x</v>
          </cell>
        </row>
        <row r="175">
          <cell r="B175">
            <v>171</v>
          </cell>
          <cell r="C175" t="str">
            <v>MPE3</v>
          </cell>
          <cell r="D175" t="str">
            <v>Coordinación y Articulación del SNBF</v>
          </cell>
          <cell r="E175" t="str">
            <v>N/A</v>
          </cell>
          <cell r="F175" t="str">
            <v>N/A</v>
          </cell>
          <cell r="G175" t="str">
            <v>Transparencia, participación y servicio al ciudadano</v>
          </cell>
          <cell r="H175" t="str">
            <v>Participación ciudadana</v>
          </cell>
          <cell r="I175">
            <v>0</v>
          </cell>
          <cell r="J175">
            <v>0</v>
          </cell>
          <cell r="K175" t="str">
            <v>Dirección del Sistema Nacional de Bienestar Familiar</v>
          </cell>
          <cell r="L175" t="str">
            <v>PA-92</v>
          </cell>
          <cell r="M175" t="str">
            <v>Número de Municipios y departamentos monitoreados en la operación de los Consejos de Política Social</v>
          </cell>
          <cell r="N175" t="str">
            <v xml:space="preserve">  Medir los avances en el fortalecimiento en la coordinación de las instancias de decisión, operación, desarrollo técnico y participación del SNBF en los ámbitos nacional y territorial.</v>
          </cell>
          <cell r="O175" t="str">
            <v>Estático</v>
          </cell>
          <cell r="P175" t="str">
            <v>Producto</v>
          </cell>
          <cell r="Q175">
            <v>1134</v>
          </cell>
          <cell r="R175" t="str">
            <v>Producto</v>
          </cell>
          <cell r="S175" t="str">
            <v>Eficacia</v>
          </cell>
          <cell r="T175">
            <v>1134</v>
          </cell>
          <cell r="U175">
            <v>1134</v>
          </cell>
          <cell r="V175" t="str">
            <v>Número de Departamentos y Municipios</v>
          </cell>
          <cell r="W175" t="str">
            <v>No</v>
          </cell>
          <cell r="X175" t="str">
            <v>Si</v>
          </cell>
          <cell r="Y175" t="str">
            <v>No</v>
          </cell>
          <cell r="Z175" t="str">
            <v>No</v>
          </cell>
          <cell r="AA175" t="str">
            <v>Si</v>
          </cell>
          <cell r="AB175" t="str">
            <v>Si</v>
          </cell>
          <cell r="AC175" t="str">
            <v>(Municipios monitoreados en la operación de los Consejos de Política Social) + (Departamentos monitoreados en la operación de los Consejos de Política Social)</v>
          </cell>
          <cell r="AD175" t="str">
            <v>Carta del ICBF enviada al mandatario departamental destacando la importancia de realizar la sesiones de CPS
Matriz de resultados de la aplicanción del esquema de monitoreo.</v>
          </cell>
          <cell r="AE175" t="str">
            <v>N/A</v>
          </cell>
          <cell r="AF175" t="str">
            <v>N/A</v>
          </cell>
          <cell r="AG175" t="str">
            <v>(Municipios monitoreados en la operación de los Consejos de Política Social) + (Departamentos monitoreados en la operación de los Consejos de Política Social)</v>
          </cell>
          <cell r="AH175" t="str">
            <v>Trimestral</v>
          </cell>
          <cell r="AI175">
            <v>0</v>
          </cell>
          <cell r="AJ175">
            <v>0</v>
          </cell>
          <cell r="AK175" t="str">
            <v>x</v>
          </cell>
          <cell r="AL175">
            <v>0</v>
          </cell>
          <cell r="AM175">
            <v>0</v>
          </cell>
          <cell r="AN175" t="str">
            <v>x</v>
          </cell>
          <cell r="AO175">
            <v>0</v>
          </cell>
          <cell r="AP175">
            <v>0</v>
          </cell>
          <cell r="AQ175" t="str">
            <v>x</v>
          </cell>
          <cell r="AR175">
            <v>0</v>
          </cell>
          <cell r="AS175">
            <v>0</v>
          </cell>
          <cell r="AT175" t="str">
            <v>x</v>
          </cell>
        </row>
        <row r="176">
          <cell r="B176">
            <v>172</v>
          </cell>
          <cell r="C176" t="str">
            <v>MPE3</v>
          </cell>
          <cell r="D176" t="str">
            <v>Coordinación y Articulación del SNBF</v>
          </cell>
          <cell r="E176" t="str">
            <v>N/A</v>
          </cell>
          <cell r="F176" t="str">
            <v>N/A</v>
          </cell>
          <cell r="G176" t="str">
            <v>Gestión misional y de Gobierno</v>
          </cell>
          <cell r="H176" t="str">
            <v>Indicadores y metas de gobierno</v>
          </cell>
          <cell r="I176">
            <v>0</v>
          </cell>
          <cell r="J176">
            <v>0</v>
          </cell>
          <cell r="K176" t="str">
            <v>Dirección del Sistema Nacional de Bienestar Familiar</v>
          </cell>
          <cell r="L176" t="str">
            <v>PA-93</v>
          </cell>
          <cell r="M176" t="str">
            <v>Porcentaje del Plan de acción del SNBF 2015 -2018  construido, validado (2015), implementado, monitoreado (2016-2017) y evaluado (2018)</v>
          </cell>
          <cell r="N176" t="str">
            <v>Medir los avances en el proceso de construcción, validación, implementación, monitoreo y evaluación del plan de acción nacional del SNBF para el periodo 2015 - 2018.</v>
          </cell>
          <cell r="O176" t="str">
            <v>Estático</v>
          </cell>
          <cell r="P176" t="str">
            <v>Gestión</v>
          </cell>
          <cell r="Q176">
            <v>0</v>
          </cell>
          <cell r="R176" t="str">
            <v>Gestión</v>
          </cell>
          <cell r="S176" t="str">
            <v>Eficacia</v>
          </cell>
          <cell r="T176">
            <v>0.4</v>
          </cell>
          <cell r="U176">
            <v>1</v>
          </cell>
          <cell r="V176" t="str">
            <v>Porcentaje</v>
          </cell>
          <cell r="W176" t="str">
            <v>Si</v>
          </cell>
          <cell r="X176" t="str">
            <v>No</v>
          </cell>
          <cell r="Y176" t="str">
            <v>No</v>
          </cell>
          <cell r="Z176" t="str">
            <v>No</v>
          </cell>
          <cell r="AA176" t="str">
            <v>Si</v>
          </cell>
          <cell r="AB176" t="str">
            <v>Si</v>
          </cell>
          <cell r="AC176" t="str">
            <v>(Porcentaje de avance en la construcción del Plan de acción del SNBF 2015 -2018 Porcentaje de avance en la validación del Plan de acción del SNBF 2015 -2018)</v>
          </cell>
          <cell r="AD176" t="str">
            <v>Actas de reunión.
Documentos Cosntruidos</v>
          </cell>
          <cell r="AE176">
            <v>1</v>
          </cell>
          <cell r="AF176" t="str">
            <v>No hay información en la HV</v>
          </cell>
          <cell r="AG176" t="str">
            <v>(Porcentaje de avance en la construcción del Plan de acción del SNBF 2015 -2018 Porcentaje de avance en la validación del Plan de acción del SNBF 2015 -2018)/100%</v>
          </cell>
          <cell r="AH176" t="str">
            <v>Semestral</v>
          </cell>
          <cell r="AI176">
            <v>0</v>
          </cell>
          <cell r="AJ176">
            <v>0</v>
          </cell>
          <cell r="AK176">
            <v>0</v>
          </cell>
          <cell r="AL176">
            <v>0</v>
          </cell>
          <cell r="AM176">
            <v>0</v>
          </cell>
          <cell r="AN176" t="str">
            <v>x</v>
          </cell>
          <cell r="AO176">
            <v>0</v>
          </cell>
          <cell r="AP176">
            <v>0</v>
          </cell>
          <cell r="AQ176">
            <v>0</v>
          </cell>
          <cell r="AR176">
            <v>0</v>
          </cell>
          <cell r="AS176">
            <v>0</v>
          </cell>
          <cell r="AT176" t="str">
            <v>x</v>
          </cell>
        </row>
        <row r="177">
          <cell r="B177">
            <v>173</v>
          </cell>
          <cell r="C177" t="str">
            <v>MPE3</v>
          </cell>
          <cell r="D177" t="str">
            <v>Coordinación y Articulación del SNBF</v>
          </cell>
          <cell r="E177" t="str">
            <v>N/A</v>
          </cell>
          <cell r="F177" t="str">
            <v>N/A</v>
          </cell>
          <cell r="G177" t="str">
            <v>Gestión misional y de Gobierno</v>
          </cell>
          <cell r="H177" t="str">
            <v>Indicadores y metas de gobierno</v>
          </cell>
          <cell r="I177">
            <v>0</v>
          </cell>
          <cell r="J177">
            <v>0</v>
          </cell>
          <cell r="K177" t="str">
            <v>Dirección del Sistema Nacional de Bienestar Familiar</v>
          </cell>
          <cell r="L177" t="str">
            <v>PA-94</v>
          </cell>
          <cell r="M177" t="str">
            <v>Porcentaje de indicadores del SUIN con información disponible y actualizada según su hoja de vida.</v>
          </cell>
          <cell r="N177" t="str">
            <v xml:space="preserve"> Medir los avances en Consolidación del Sistema de monitoreo y seguimiento de la situación de los Derechos de Primera Infancia, Infancia, Adolescencia.</v>
          </cell>
          <cell r="O177" t="str">
            <v>Estático</v>
          </cell>
          <cell r="P177" t="str">
            <v>Gestión</v>
          </cell>
          <cell r="Q177">
            <v>0.66</v>
          </cell>
          <cell r="R177" t="str">
            <v>Gestión</v>
          </cell>
          <cell r="S177" t="str">
            <v>Eficacia</v>
          </cell>
          <cell r="T177">
            <v>1</v>
          </cell>
          <cell r="U177">
            <v>1</v>
          </cell>
          <cell r="V177" t="str">
            <v>Porcentaje</v>
          </cell>
          <cell r="W177" t="str">
            <v>Si</v>
          </cell>
          <cell r="X177" t="str">
            <v>No</v>
          </cell>
          <cell r="Y177" t="str">
            <v>No</v>
          </cell>
          <cell r="Z177" t="str">
            <v>No</v>
          </cell>
          <cell r="AA177" t="str">
            <v>Si</v>
          </cell>
          <cell r="AB177" t="str">
            <v>Si</v>
          </cell>
          <cell r="AC177" t="str">
            <v>(Porcentaje de indicadores del SUIN con información disponible + Porcentaje de indicadores del SUIN con información actualizada)</v>
          </cell>
          <cell r="AD177" t="str">
            <v>1. Plataforma virtual SUIN.
2.Informe de la situación de la infancia y la adolescencia en el país.</v>
          </cell>
          <cell r="AE177">
            <v>1</v>
          </cell>
          <cell r="AF177" t="str">
            <v>No hay información en la HV</v>
          </cell>
          <cell r="AG177" t="str">
            <v>(Porcentaje de indicadores del SUIN con información disponible + Porcentaje de indicadores del SUIN con información actualizada)</v>
          </cell>
          <cell r="AH177" t="str">
            <v>Semestral</v>
          </cell>
          <cell r="AI177">
            <v>0</v>
          </cell>
          <cell r="AJ177">
            <v>0</v>
          </cell>
          <cell r="AK177">
            <v>0</v>
          </cell>
          <cell r="AL177">
            <v>0</v>
          </cell>
          <cell r="AM177">
            <v>0</v>
          </cell>
          <cell r="AN177" t="str">
            <v>x</v>
          </cell>
          <cell r="AO177">
            <v>0</v>
          </cell>
          <cell r="AP177">
            <v>0</v>
          </cell>
          <cell r="AQ177">
            <v>0</v>
          </cell>
          <cell r="AR177">
            <v>0</v>
          </cell>
          <cell r="AS177">
            <v>0</v>
          </cell>
          <cell r="AT177" t="str">
            <v>x</v>
          </cell>
        </row>
        <row r="178">
          <cell r="B178">
            <v>174</v>
          </cell>
          <cell r="C178" t="str">
            <v>MPE3</v>
          </cell>
          <cell r="D178" t="str">
            <v>Coordinación y Articulación del SNBF</v>
          </cell>
          <cell r="E178" t="str">
            <v>N/A</v>
          </cell>
          <cell r="F178" t="str">
            <v>N/A</v>
          </cell>
          <cell r="G178" t="str">
            <v>Gestión misional y de Gobierno</v>
          </cell>
          <cell r="H178" t="str">
            <v>Indicadores y metas de gobierno</v>
          </cell>
          <cell r="I178">
            <v>0</v>
          </cell>
          <cell r="J178">
            <v>0</v>
          </cell>
          <cell r="K178" t="str">
            <v>Dirección del Sistema Nacional de Bienestar Familiar</v>
          </cell>
          <cell r="L178" t="str">
            <v>PA-95</v>
          </cell>
          <cell r="M178" t="str">
            <v>Número de proyectos tipo de inversión formulados y socializados con las entidades territoriales con el fin de acceder a recursos del Sistema de Regalias.</v>
          </cell>
          <cell r="N178" t="str">
            <v xml:space="preserve">Medir los avances en la gestión de proyectos de inversión elaborados y socializado con entidades del orden nacional y/o territorial. </v>
          </cell>
          <cell r="O178" t="str">
            <v>Creciente</v>
          </cell>
          <cell r="P178" t="str">
            <v>Producto</v>
          </cell>
          <cell r="Q178">
            <v>0</v>
          </cell>
          <cell r="R178" t="str">
            <v>Producto</v>
          </cell>
          <cell r="S178" t="str">
            <v>Eficacia</v>
          </cell>
          <cell r="T178">
            <v>2</v>
          </cell>
          <cell r="U178">
            <v>6</v>
          </cell>
          <cell r="V178" t="str">
            <v>Numero de Proyectos</v>
          </cell>
          <cell r="W178" t="str">
            <v>Si</v>
          </cell>
          <cell r="X178" t="str">
            <v>No</v>
          </cell>
          <cell r="Y178" t="str">
            <v>No</v>
          </cell>
          <cell r="Z178" t="str">
            <v>No</v>
          </cell>
          <cell r="AA178" t="str">
            <v>Si</v>
          </cell>
          <cell r="AB178" t="str">
            <v>Si</v>
          </cell>
          <cell r="AC178" t="str">
            <v>(Porcentaje de indicadores del SUIN con información disponible + Porcentaje de indicadores del SUIN con información actualizada)</v>
          </cell>
          <cell r="AD178" t="str">
            <v>Matriz de resultados de la aplicanción del esquema de monitoreo.
Actas de reunión.
Documentos Cosntruidos</v>
          </cell>
          <cell r="AE178">
            <v>1</v>
          </cell>
          <cell r="AF178" t="str">
            <v>No hay información en la HV</v>
          </cell>
          <cell r="AG178" t="str">
            <v>(Porcentaje de indicadores del SUIN con información disponible + Porcentaje de indicadores del SUIN con información actualizada)</v>
          </cell>
          <cell r="AH178" t="str">
            <v>Semestral</v>
          </cell>
          <cell r="AI178">
            <v>0</v>
          </cell>
          <cell r="AJ178">
            <v>0</v>
          </cell>
          <cell r="AK178">
            <v>0</v>
          </cell>
          <cell r="AL178">
            <v>0</v>
          </cell>
          <cell r="AM178">
            <v>0</v>
          </cell>
          <cell r="AN178" t="str">
            <v>x</v>
          </cell>
          <cell r="AO178">
            <v>0</v>
          </cell>
          <cell r="AP178">
            <v>0</v>
          </cell>
          <cell r="AQ178">
            <v>0</v>
          </cell>
          <cell r="AR178">
            <v>0</v>
          </cell>
          <cell r="AS178">
            <v>0</v>
          </cell>
          <cell r="AT178" t="str">
            <v>x</v>
          </cell>
        </row>
        <row r="179">
          <cell r="B179">
            <v>175</v>
          </cell>
          <cell r="C179" t="str">
            <v>MPEV1</v>
          </cell>
          <cell r="D179" t="str">
            <v>Evaluación, Monitoreo y Control de la Gestión</v>
          </cell>
          <cell r="E179" t="str">
            <v>MPEV1-P1</v>
          </cell>
          <cell r="F179" t="str">
            <v>Evaluación y Monitoreo de la Gestión</v>
          </cell>
          <cell r="G179" t="str">
            <v>Gestión misional y de Gobierno</v>
          </cell>
          <cell r="H179" t="str">
            <v>Indicadores y metas de gobierno</v>
          </cell>
          <cell r="I179">
            <v>0</v>
          </cell>
          <cell r="J179">
            <v>0</v>
          </cell>
          <cell r="K179" t="str">
            <v xml:space="preserve">Subdirección de Monitoreo y Evaluación </v>
          </cell>
          <cell r="L179" t="str">
            <v>PA-96</v>
          </cell>
          <cell r="M179" t="str">
            <v>Número de Evaluaciones e investigaciones realizadas</v>
          </cell>
          <cell r="N179" t="str">
            <v>Medir la eficacia del proceso de investigaciones y evaluaciones para la vigencia</v>
          </cell>
          <cell r="O179" t="str">
            <v>Creciente</v>
          </cell>
          <cell r="P179" t="str">
            <v>Producto</v>
          </cell>
          <cell r="Q179">
            <v>12</v>
          </cell>
          <cell r="R179" t="str">
            <v>Producto</v>
          </cell>
          <cell r="S179" t="str">
            <v>Eficacia</v>
          </cell>
          <cell r="T179">
            <v>9</v>
          </cell>
          <cell r="U179">
            <v>36</v>
          </cell>
          <cell r="V179" t="str">
            <v>Cantidad</v>
          </cell>
          <cell r="W179" t="str">
            <v>Si</v>
          </cell>
          <cell r="X179" t="str">
            <v>No</v>
          </cell>
          <cell r="Y179" t="str">
            <v>No</v>
          </cell>
          <cell r="Z179" t="str">
            <v>No</v>
          </cell>
          <cell r="AA179" t="str">
            <v>Si</v>
          </cell>
          <cell r="AB179" t="str">
            <v>Si</v>
          </cell>
          <cell r="AC179" t="str">
            <v>Numero de evaluaciones e investigaciones realizadas</v>
          </cell>
          <cell r="AD179" t="str">
            <v>Contratos y convenios suscritos entre el ICBF y la entidad ejecutora (Universidades, Firmas Consultoras, Centros de Investigación y Fundaciones)</v>
          </cell>
          <cell r="AE179" t="str">
            <v>Numero de evaluaciones e investigaciones programadas para la vigencia</v>
          </cell>
          <cell r="AF179" t="str">
            <v>Agenda de Evaluaciones e Investigaciones 2015</v>
          </cell>
          <cell r="AG179" t="str">
            <v>Numero de evaluaciones e investigaciones realizadas / Numero de evaluaciones e investigaciones programadas para la vigencia</v>
          </cell>
          <cell r="AH179" t="str">
            <v>Anual</v>
          </cell>
          <cell r="AI179">
            <v>0</v>
          </cell>
          <cell r="AJ179">
            <v>0</v>
          </cell>
          <cell r="AK179">
            <v>0</v>
          </cell>
          <cell r="AL179">
            <v>0</v>
          </cell>
          <cell r="AM179">
            <v>0</v>
          </cell>
          <cell r="AN179">
            <v>0</v>
          </cell>
          <cell r="AO179">
            <v>0</v>
          </cell>
          <cell r="AP179">
            <v>0</v>
          </cell>
          <cell r="AQ179">
            <v>0</v>
          </cell>
          <cell r="AR179">
            <v>0</v>
          </cell>
          <cell r="AS179">
            <v>0</v>
          </cell>
          <cell r="AT179" t="str">
            <v>x</v>
          </cell>
        </row>
        <row r="180">
          <cell r="B180">
            <v>176</v>
          </cell>
          <cell r="C180" t="str">
            <v>MPEV1</v>
          </cell>
          <cell r="D180" t="str">
            <v>Evaluación, Monitoreo y Control de la Gestión</v>
          </cell>
          <cell r="E180" t="str">
            <v>MPEV1-P1</v>
          </cell>
          <cell r="F180" t="str">
            <v>Evaluación y Monitoreo de la Gestión</v>
          </cell>
          <cell r="G180" t="str">
            <v>Gestión misional y de Gobierno</v>
          </cell>
          <cell r="H180" t="str">
            <v>Indicadores y metas de gobierno</v>
          </cell>
          <cell r="I180">
            <v>0</v>
          </cell>
          <cell r="J180">
            <v>0</v>
          </cell>
          <cell r="K180" t="str">
            <v xml:space="preserve">Subdirección de Monitoreo y Evaluación </v>
          </cell>
          <cell r="L180" t="str">
            <v>PA-97</v>
          </cell>
          <cell r="M180" t="str">
            <v xml:space="preserve">Porcentaje de avance del diseño e implementación de la sistematización del tablero de control </v>
          </cell>
          <cell r="N180" t="str">
            <v>Medir el avance del desarrollo y puesta en marcha del sistema de seguimiento al tablero de control</v>
          </cell>
          <cell r="O180" t="str">
            <v>Creciente</v>
          </cell>
          <cell r="P180" t="str">
            <v>Gestión</v>
          </cell>
          <cell r="Q180">
            <v>0</v>
          </cell>
          <cell r="R180" t="str">
            <v>Gestión</v>
          </cell>
          <cell r="S180" t="str">
            <v>Eficiencia</v>
          </cell>
          <cell r="T180">
            <v>0.5</v>
          </cell>
          <cell r="U180">
            <v>1</v>
          </cell>
          <cell r="V180" t="str">
            <v>Porcentaje</v>
          </cell>
          <cell r="W180" t="str">
            <v>Si</v>
          </cell>
          <cell r="X180" t="str">
            <v>No</v>
          </cell>
          <cell r="Y180" t="str">
            <v>No</v>
          </cell>
          <cell r="Z180" t="str">
            <v>No</v>
          </cell>
          <cell r="AA180" t="str">
            <v>Si</v>
          </cell>
          <cell r="AB180" t="str">
            <v>Si</v>
          </cell>
          <cell r="AC180" t="str">
            <v>Numero de etapas desarrolladas del sistema de seguimiento a tablero de control durante la vigencia</v>
          </cell>
          <cell r="AD180" t="str">
            <v>Módulos implementados en la herramienta de seguimiento a tablero de control (SIMEI)</v>
          </cell>
          <cell r="AE180" t="str">
            <v>Numero de etapas programadas para el desarrollo del sistema de seguimiento a tablero de control durante la vigencia</v>
          </cell>
          <cell r="AF180" t="str">
            <v>Módulos programados a desarrollar en la herramienta de seguimiento a tablero de control (SIMEI)</v>
          </cell>
          <cell r="AG180" t="str">
            <v>Numero de etapas desarrolladas del sistema de seguimiento a tablero de control durante la vigencia / Numero de etapas programadas para el desarrollo del sistema de seguimiento a tablero de control durante la vigencia</v>
          </cell>
          <cell r="AH180" t="str">
            <v>Cuatrimestral</v>
          </cell>
          <cell r="AI180">
            <v>0</v>
          </cell>
          <cell r="AJ180">
            <v>0</v>
          </cell>
          <cell r="AK180">
            <v>0</v>
          </cell>
          <cell r="AL180" t="str">
            <v>x</v>
          </cell>
          <cell r="AM180">
            <v>0</v>
          </cell>
          <cell r="AN180">
            <v>0</v>
          </cell>
          <cell r="AO180">
            <v>0</v>
          </cell>
          <cell r="AP180" t="str">
            <v>x</v>
          </cell>
          <cell r="AQ180">
            <v>0</v>
          </cell>
          <cell r="AR180">
            <v>0</v>
          </cell>
          <cell r="AS180">
            <v>0</v>
          </cell>
          <cell r="AT180" t="str">
            <v>x</v>
          </cell>
        </row>
        <row r="181">
          <cell r="B181">
            <v>177</v>
          </cell>
          <cell r="C181" t="str">
            <v>MPEV1</v>
          </cell>
          <cell r="D181" t="str">
            <v>Evaluación, Monitoreo y Control de la Gestión</v>
          </cell>
          <cell r="E181" t="str">
            <v>MPEV1-P1</v>
          </cell>
          <cell r="F181" t="str">
            <v>Evaluación y Monitoreo de la Gestión</v>
          </cell>
          <cell r="G181" t="str">
            <v>Transparencia, participación y servicio al ciudadano</v>
          </cell>
          <cell r="H181" t="str">
            <v>Rendición de cuentas</v>
          </cell>
          <cell r="I181">
            <v>0</v>
          </cell>
          <cell r="J181">
            <v>0</v>
          </cell>
          <cell r="K181" t="str">
            <v xml:space="preserve">Subdirección de Monitoreo y Evaluación </v>
          </cell>
          <cell r="L181" t="str">
            <v>PA-98</v>
          </cell>
          <cell r="M181" t="str">
            <v>Porcentaje de cumplimiento de compromisos formulados en las mesas publicas y rendición de cuentas</v>
          </cell>
          <cell r="N181" t="str">
            <v>Hacer seguimiento a los compromisos adquiridos en los eventos de rendición de cuentas y mesas públicas con el fin de garantizar que se dé respuestas a los requerimientos y ante todo se incentive verdaderos procesos participativos con incidencia en la cualificación del servicio público de bienestar familiar.</v>
          </cell>
          <cell r="O181" t="str">
            <v>Creciente</v>
          </cell>
          <cell r="P181" t="str">
            <v>Gestión</v>
          </cell>
          <cell r="Q181">
            <v>0</v>
          </cell>
          <cell r="R181" t="str">
            <v>Gestión</v>
          </cell>
          <cell r="S181" t="str">
            <v>Eficiencia</v>
          </cell>
          <cell r="T181">
            <v>1</v>
          </cell>
          <cell r="U181" t="str">
            <v>N/A</v>
          </cell>
          <cell r="V181" t="str">
            <v>Porcentaje</v>
          </cell>
          <cell r="W181" t="str">
            <v>Si</v>
          </cell>
          <cell r="X181" t="str">
            <v>Si</v>
          </cell>
          <cell r="Y181" t="str">
            <v>Si</v>
          </cell>
          <cell r="Z181" t="str">
            <v>No</v>
          </cell>
          <cell r="AA181" t="str">
            <v>No</v>
          </cell>
          <cell r="AB181" t="str">
            <v>Si</v>
          </cell>
          <cell r="AC181" t="str">
            <v>Numero de compromisos realizados que se formularon en mesas publicas y rendición de cuentas</v>
          </cell>
          <cell r="AD181" t="str">
            <v>Guia 3 de cumplimiento a compromisos</v>
          </cell>
          <cell r="AE181" t="str">
            <v>Numero de compromisos formulados en mesas publicas y rendición de cuentas</v>
          </cell>
          <cell r="AF181" t="str">
            <v>Guia 3 de cumplimiento a compromisos</v>
          </cell>
          <cell r="AG181" t="str">
            <v>Numero de compromisos realizados que se formularon en mesas publicas y rendición de cuentas / Numero de compromisos formulados en mesas publicas y rendición de cuentas</v>
          </cell>
          <cell r="AH181" t="str">
            <v>Trimestral</v>
          </cell>
          <cell r="AI181">
            <v>0</v>
          </cell>
          <cell r="AJ181">
            <v>0</v>
          </cell>
          <cell r="AK181" t="str">
            <v>x</v>
          </cell>
          <cell r="AL181">
            <v>0</v>
          </cell>
          <cell r="AM181">
            <v>0</v>
          </cell>
          <cell r="AN181" t="str">
            <v>x</v>
          </cell>
          <cell r="AO181">
            <v>0</v>
          </cell>
          <cell r="AP181">
            <v>0</v>
          </cell>
          <cell r="AQ181" t="str">
            <v>x</v>
          </cell>
          <cell r="AR181">
            <v>0</v>
          </cell>
          <cell r="AS181">
            <v>0</v>
          </cell>
          <cell r="AT181" t="str">
            <v>x</v>
          </cell>
        </row>
        <row r="182">
          <cell r="B182">
            <v>178</v>
          </cell>
          <cell r="C182" t="str">
            <v>MPEV1</v>
          </cell>
          <cell r="D182" t="str">
            <v>Evaluación, Monitoreo y Control de la Gestión</v>
          </cell>
          <cell r="E182" t="str">
            <v>MPEV1-P1</v>
          </cell>
          <cell r="F182" t="str">
            <v>Evaluación y Monitoreo de la Gestión</v>
          </cell>
          <cell r="G182" t="str">
            <v>N/A</v>
          </cell>
          <cell r="H182" t="str">
            <v>N/A</v>
          </cell>
          <cell r="I182">
            <v>0</v>
          </cell>
          <cell r="J182">
            <v>0</v>
          </cell>
          <cell r="K182" t="str">
            <v xml:space="preserve">Subdirección de Monitoreo y Evaluación </v>
          </cell>
          <cell r="L182" t="str">
            <v>MPEV1-P1-01</v>
          </cell>
          <cell r="M182" t="str">
            <v>Porcentaje de avance de las etapas para la realización de evaluaciones e investigaciones a los programas del ICBF</v>
          </cell>
          <cell r="N182" t="str">
            <v>Medir la gestión del proceso de investigaciones y evaluaciones de la vigencia</v>
          </cell>
          <cell r="O182" t="str">
            <v>Creciente</v>
          </cell>
          <cell r="P182" t="str">
            <v>Gestión</v>
          </cell>
          <cell r="Q182">
            <v>0</v>
          </cell>
          <cell r="R182" t="str">
            <v>Gestión</v>
          </cell>
          <cell r="S182" t="str">
            <v>Eficiencia</v>
          </cell>
          <cell r="T182">
            <v>1</v>
          </cell>
          <cell r="U182" t="str">
            <v>N/A</v>
          </cell>
          <cell r="V182" t="str">
            <v>Porcentaje</v>
          </cell>
          <cell r="W182" t="str">
            <v>Si</v>
          </cell>
          <cell r="X182" t="str">
            <v>No</v>
          </cell>
          <cell r="Y182" t="str">
            <v>No</v>
          </cell>
          <cell r="Z182" t="str">
            <v>No</v>
          </cell>
          <cell r="AA182" t="str">
            <v>No</v>
          </cell>
          <cell r="AB182" t="str">
            <v>No</v>
          </cell>
          <cell r="AC182" t="str">
            <v>Numero de etapas para el desarrollo de investigaciones y evaluaciones realizadas</v>
          </cell>
          <cell r="AD182" t="str">
            <v>Contratos y convenios suscritos entre el ICBF y la entidad ejecutora (Universidades, Firmas Consultoras, Centros de Investigación y Fundaciones)</v>
          </cell>
          <cell r="AE182" t="str">
            <v>Numero de etapas para el desarrollo de investigaciones y evaluaciones programadas</v>
          </cell>
          <cell r="AF182" t="str">
            <v>Agenda de Evaluaciones e Investigaciones 2015</v>
          </cell>
          <cell r="AG182" t="str">
            <v>Numero de etapas para el desarrollo de investigaciones y evaluaciones realizadas / Numero de etapas para el desarrollo de investigaciones y evaluaciones programadas</v>
          </cell>
          <cell r="AH182" t="str">
            <v>Trimestral</v>
          </cell>
          <cell r="AI182">
            <v>0</v>
          </cell>
          <cell r="AJ182">
            <v>0</v>
          </cell>
          <cell r="AK182" t="str">
            <v>x</v>
          </cell>
          <cell r="AL182">
            <v>0</v>
          </cell>
          <cell r="AM182">
            <v>0</v>
          </cell>
          <cell r="AN182" t="str">
            <v>x</v>
          </cell>
          <cell r="AO182">
            <v>0</v>
          </cell>
          <cell r="AP182">
            <v>0</v>
          </cell>
          <cell r="AQ182" t="str">
            <v>x</v>
          </cell>
          <cell r="AR182">
            <v>0</v>
          </cell>
          <cell r="AS182">
            <v>0</v>
          </cell>
          <cell r="AT182" t="str">
            <v>x</v>
          </cell>
        </row>
        <row r="183">
          <cell r="B183">
            <v>179</v>
          </cell>
          <cell r="C183" t="str">
            <v>MPEV1</v>
          </cell>
          <cell r="D183" t="str">
            <v>Evaluación, Monitoreo y Control de la Gestión</v>
          </cell>
          <cell r="E183" t="str">
            <v>MPEV1-P1</v>
          </cell>
          <cell r="F183" t="str">
            <v>Evaluación y Monitoreo de la Gestión</v>
          </cell>
          <cell r="G183" t="str">
            <v>N/A</v>
          </cell>
          <cell r="H183" t="str">
            <v>N/A</v>
          </cell>
          <cell r="I183">
            <v>0</v>
          </cell>
          <cell r="J183">
            <v>0</v>
          </cell>
          <cell r="K183" t="str">
            <v xml:space="preserve">Subdirección de Monitoreo y Evaluación </v>
          </cell>
          <cell r="L183" t="str">
            <v>MPEV1-P1-02</v>
          </cell>
          <cell r="M183" t="str">
            <v>Porcentaje de avance de Informes realizados sobre la monitoreo institucional a nivel nacional y regional</v>
          </cell>
          <cell r="N183" t="str">
            <v>Medir el desarrollo de informes de monitoreo institucional generados por la Subdirección de Monitoreo y Evaluación a nivel nacional y regional</v>
          </cell>
          <cell r="O183" t="str">
            <v>Creciente</v>
          </cell>
          <cell r="P183" t="str">
            <v>Gestión</v>
          </cell>
          <cell r="Q183">
            <v>0</v>
          </cell>
          <cell r="R183" t="str">
            <v>Gestión</v>
          </cell>
          <cell r="S183" t="str">
            <v>Eficiencia</v>
          </cell>
          <cell r="T183">
            <v>1</v>
          </cell>
          <cell r="U183" t="str">
            <v>N/A</v>
          </cell>
          <cell r="V183" t="str">
            <v>Porcentaje</v>
          </cell>
          <cell r="W183" t="str">
            <v>Si</v>
          </cell>
          <cell r="X183" t="str">
            <v>No</v>
          </cell>
          <cell r="Y183" t="str">
            <v>No</v>
          </cell>
          <cell r="Z183" t="str">
            <v>No</v>
          </cell>
          <cell r="AA183" t="str">
            <v>No</v>
          </cell>
          <cell r="AB183" t="str">
            <v>No</v>
          </cell>
          <cell r="AC183" t="str">
            <v>Numero de informes de monitoreo realizados a nivel nacional y regional</v>
          </cell>
          <cell r="AD183" t="str">
            <v>Informes de monitoreo publicados en la intranet</v>
          </cell>
          <cell r="AE183" t="str">
            <v>Numero de informes de monitoreo programados a realizar a nivel nacional y regional</v>
          </cell>
          <cell r="AF183" t="str">
            <v>Programación de informes de monitoreo establecida para la vigencia</v>
          </cell>
          <cell r="AG183" t="str">
            <v>Numero de informes de monitoreo realizados a nivel nacional y regional / Numero de informes de monitoreo programados a realizar a nivel nacional y regional</v>
          </cell>
          <cell r="AH183" t="str">
            <v>Trimestral</v>
          </cell>
          <cell r="AI183">
            <v>0</v>
          </cell>
          <cell r="AJ183">
            <v>0</v>
          </cell>
          <cell r="AK183">
            <v>0</v>
          </cell>
          <cell r="AL183">
            <v>0</v>
          </cell>
          <cell r="AM183" t="str">
            <v>x</v>
          </cell>
          <cell r="AN183">
            <v>0</v>
          </cell>
          <cell r="AO183">
            <v>0</v>
          </cell>
          <cell r="AP183" t="str">
            <v>x</v>
          </cell>
          <cell r="AQ183">
            <v>0</v>
          </cell>
          <cell r="AR183">
            <v>0</v>
          </cell>
          <cell r="AS183" t="str">
            <v>x</v>
          </cell>
          <cell r="AT183">
            <v>0</v>
          </cell>
        </row>
        <row r="184">
          <cell r="B184">
            <v>180</v>
          </cell>
          <cell r="C184" t="str">
            <v>MPEV1</v>
          </cell>
          <cell r="D184" t="str">
            <v>Evaluación, Monitoreo y Control de la Gestión</v>
          </cell>
          <cell r="E184" t="str">
            <v>MPEV1-P2</v>
          </cell>
          <cell r="F184" t="str">
            <v>Evaluación Independiente</v>
          </cell>
          <cell r="G184" t="str">
            <v>Gestión misional y de Gobierno</v>
          </cell>
          <cell r="H184" t="str">
            <v>Indicadores y metas de gobierno</v>
          </cell>
          <cell r="I184">
            <v>0</v>
          </cell>
          <cell r="J184">
            <v>0</v>
          </cell>
          <cell r="K184" t="str">
            <v>Oficina de Control Interno</v>
          </cell>
          <cell r="L184" t="str">
            <v>PA-99</v>
          </cell>
          <cell r="M184" t="str">
            <v xml:space="preserve"> Porcentaje de Ejecución de Auditoria del Sistema de Gestión de Calidad a Regionales </v>
          </cell>
          <cell r="N184" t="str">
            <v xml:space="preserve">Establecer el grado de cumplimiento en la ejecución de Auditorias del Sistema de Gestión de Calidad a Regionales. </v>
          </cell>
          <cell r="O184" t="str">
            <v>Creciente</v>
          </cell>
          <cell r="P184" t="str">
            <v>Calidad</v>
          </cell>
          <cell r="Q184">
            <v>0.47</v>
          </cell>
          <cell r="R184" t="str">
            <v>Resultado</v>
          </cell>
          <cell r="S184" t="str">
            <v>Eficacia</v>
          </cell>
          <cell r="T184">
            <v>1</v>
          </cell>
          <cell r="U184">
            <v>1</v>
          </cell>
          <cell r="V184" t="str">
            <v>Porcentaje</v>
          </cell>
          <cell r="W184" t="str">
            <v>Si</v>
          </cell>
          <cell r="X184" t="str">
            <v>No</v>
          </cell>
          <cell r="Y184" t="str">
            <v>No</v>
          </cell>
          <cell r="Z184" t="str">
            <v>No</v>
          </cell>
          <cell r="AA184" t="str">
            <v>Si</v>
          </cell>
          <cell r="AB184" t="str">
            <v>Si</v>
          </cell>
          <cell r="AC184" t="str">
            <v>No. Auditoria Ejecutadas a la fecha de corte a Regionales</v>
          </cell>
          <cell r="AD184" t="str">
            <v>Informes de Auditoria del Sistema de Gestión de Calidad a Regionales</v>
          </cell>
          <cell r="AE184" t="str">
            <v>Total de Auditorias Programadas a Regionales</v>
          </cell>
          <cell r="AF184" t="str">
            <v>Programa de Auditorias Aprobado</v>
          </cell>
          <cell r="AG184" t="str">
            <v xml:space="preserve"> (No. Auditoria Ejecutadas a la fecha de corte a Regionales )/(total de Auditorias Programadas a Regionales) *100 )</v>
          </cell>
          <cell r="AH184" t="str">
            <v>Trimestral</v>
          </cell>
          <cell r="AI184">
            <v>0</v>
          </cell>
          <cell r="AJ184">
            <v>0</v>
          </cell>
          <cell r="AK184" t="str">
            <v>x</v>
          </cell>
          <cell r="AL184">
            <v>0</v>
          </cell>
          <cell r="AM184">
            <v>0</v>
          </cell>
          <cell r="AN184" t="str">
            <v>x</v>
          </cell>
          <cell r="AO184">
            <v>0</v>
          </cell>
          <cell r="AP184">
            <v>0</v>
          </cell>
          <cell r="AQ184" t="str">
            <v>x</v>
          </cell>
          <cell r="AR184">
            <v>0</v>
          </cell>
          <cell r="AS184">
            <v>0</v>
          </cell>
          <cell r="AT184" t="str">
            <v>x</v>
          </cell>
        </row>
        <row r="185">
          <cell r="B185">
            <v>181</v>
          </cell>
          <cell r="C185" t="str">
            <v>MPEV1</v>
          </cell>
          <cell r="D185" t="str">
            <v>Evaluación, Monitoreo y Control de la Gestión</v>
          </cell>
          <cell r="E185" t="str">
            <v>MPEV1-P2</v>
          </cell>
          <cell r="F185" t="str">
            <v>Evaluación Independiente</v>
          </cell>
          <cell r="G185" t="str">
            <v>Gestión misional y de Gobierno</v>
          </cell>
          <cell r="H185" t="str">
            <v>Indicadores y metas de gobierno</v>
          </cell>
          <cell r="I185">
            <v>0</v>
          </cell>
          <cell r="J185">
            <v>0</v>
          </cell>
          <cell r="K185" t="str">
            <v>Oficina de Control Interno</v>
          </cell>
          <cell r="L185" t="str">
            <v>PA-100</v>
          </cell>
          <cell r="M185" t="str">
            <v>Porcentaje de Ejecución de Auditoria del Sistema de Gestión de Calidad a los Macro procesos/procesos de la Sede de la Dirección General.</v>
          </cell>
          <cell r="N185" t="str">
            <v>Establecer el grado de cumplimiento en la ejecución de Auditorias del Sistema de Gestión de Calidad a  los Macro procesos/procesos de la Sede de la Dirección General.</v>
          </cell>
          <cell r="O185" t="str">
            <v>Creciente</v>
          </cell>
          <cell r="P185" t="str">
            <v>Calidad</v>
          </cell>
          <cell r="Q185">
            <v>0.37</v>
          </cell>
          <cell r="R185" t="str">
            <v>Resultado</v>
          </cell>
          <cell r="S185" t="str">
            <v>Eficacia</v>
          </cell>
          <cell r="T185">
            <v>1</v>
          </cell>
          <cell r="U185">
            <v>1</v>
          </cell>
          <cell r="V185" t="str">
            <v>Porcentaje</v>
          </cell>
          <cell r="W185" t="str">
            <v>Si</v>
          </cell>
          <cell r="X185" t="str">
            <v>No</v>
          </cell>
          <cell r="Y185" t="str">
            <v>No</v>
          </cell>
          <cell r="Z185" t="str">
            <v>No</v>
          </cell>
          <cell r="AA185" t="str">
            <v>Si</v>
          </cell>
          <cell r="AB185" t="str">
            <v>Si</v>
          </cell>
          <cell r="AC185" t="str">
            <v xml:space="preserve"> (No. Auditoria Ejecutadas a la fecha de corte a Macro procesos/Procesos de la Sede de la Dirección General </v>
          </cell>
          <cell r="AD185" t="str">
            <v>Informes de Auditoria del Sistema de Gestión de Calidad a Macroprocesos/Procesos de la Sede de la Dirección General</v>
          </cell>
          <cell r="AE185" t="str">
            <v>total de Auditorias Programadas a Macro procesos/Procesos de la Sede de la Dirección General) *100 )</v>
          </cell>
          <cell r="AF185" t="str">
            <v>Programa de Auditorias Aprobado</v>
          </cell>
          <cell r="AG185" t="str">
            <v xml:space="preserve"> (No. Auditoria Ejecutadas a la fecha de corte a Macro procesos/Procesos de la Sede de la Dirección General  )/(total de Auditorias Programadas a Macro procesos/Procesos       de la Sede de la Dirección General) *100 )</v>
          </cell>
          <cell r="AH185" t="str">
            <v>Trimestral</v>
          </cell>
          <cell r="AI185">
            <v>0</v>
          </cell>
          <cell r="AJ185">
            <v>0</v>
          </cell>
          <cell r="AK185">
            <v>0</v>
          </cell>
          <cell r="AL185">
            <v>0</v>
          </cell>
          <cell r="AM185">
            <v>0</v>
          </cell>
          <cell r="AN185">
            <v>0</v>
          </cell>
          <cell r="AO185">
            <v>0</v>
          </cell>
          <cell r="AP185">
            <v>0</v>
          </cell>
          <cell r="AQ185" t="str">
            <v>x</v>
          </cell>
          <cell r="AR185">
            <v>0</v>
          </cell>
          <cell r="AS185">
            <v>0</v>
          </cell>
          <cell r="AT185" t="str">
            <v>x</v>
          </cell>
        </row>
        <row r="186">
          <cell r="B186">
            <v>182</v>
          </cell>
          <cell r="C186" t="str">
            <v>MPEV1</v>
          </cell>
          <cell r="D186" t="str">
            <v>Evaluación, Monitoreo y Control de la Gestión</v>
          </cell>
          <cell r="E186" t="str">
            <v>MPEV1-P2</v>
          </cell>
          <cell r="F186" t="str">
            <v>Evaluación Independiente</v>
          </cell>
          <cell r="G186" t="str">
            <v>Gestión misional y de Gobierno</v>
          </cell>
          <cell r="H186" t="str">
            <v>Indicadores y metas de gobierno</v>
          </cell>
          <cell r="I186">
            <v>0</v>
          </cell>
          <cell r="J186">
            <v>0</v>
          </cell>
          <cell r="K186" t="str">
            <v>Oficina de Control Interno</v>
          </cell>
          <cell r="L186" t="str">
            <v>PA-101</v>
          </cell>
          <cell r="M186" t="str">
            <v>Porcentaje (%) Informes generados en cumplimiento de funciones asignadas por normas internas y externas</v>
          </cell>
          <cell r="N186" t="str">
            <v>Cumplir con los tiempos de entrega de los informes requeridos por normas internas y externas</v>
          </cell>
          <cell r="O186" t="str">
            <v>Estático</v>
          </cell>
          <cell r="P186" t="str">
            <v>Calidad</v>
          </cell>
          <cell r="Q186">
            <v>1</v>
          </cell>
          <cell r="R186" t="str">
            <v>Resultado</v>
          </cell>
          <cell r="S186" t="str">
            <v>Eficacia</v>
          </cell>
          <cell r="T186">
            <v>1</v>
          </cell>
          <cell r="U186">
            <v>1</v>
          </cell>
          <cell r="V186" t="str">
            <v>Porcentaje</v>
          </cell>
          <cell r="W186" t="str">
            <v>Si</v>
          </cell>
          <cell r="X186" t="str">
            <v>No</v>
          </cell>
          <cell r="Y186" t="str">
            <v>No</v>
          </cell>
          <cell r="Z186" t="str">
            <v>No</v>
          </cell>
          <cell r="AA186" t="str">
            <v>Si</v>
          </cell>
          <cell r="AB186" t="str">
            <v>Si</v>
          </cell>
          <cell r="AC186" t="str">
            <v>No. de informes entregados</v>
          </cell>
          <cell r="AD186" t="str">
            <v>Informes de cumplimiento de funciones asignadas por normas internas y externas.</v>
          </cell>
          <cell r="AE186" t="str">
            <v>No. de informes programados a la fecha de corte.</v>
          </cell>
          <cell r="AF186" t="str">
            <v>Informes de cumplimiento de funciones asignadas por normas internas y externas.</v>
          </cell>
          <cell r="AG186" t="str">
            <v>(No. de informes entregados)/(No. de informes programados a la fecha de corte)  *100</v>
          </cell>
          <cell r="AH186" t="str">
            <v>Trimestral</v>
          </cell>
          <cell r="AI186">
            <v>0</v>
          </cell>
          <cell r="AJ186">
            <v>0</v>
          </cell>
          <cell r="AK186" t="str">
            <v>x</v>
          </cell>
          <cell r="AL186">
            <v>0</v>
          </cell>
          <cell r="AM186">
            <v>0</v>
          </cell>
          <cell r="AN186" t="str">
            <v>x</v>
          </cell>
          <cell r="AO186">
            <v>0</v>
          </cell>
          <cell r="AP186">
            <v>0</v>
          </cell>
          <cell r="AQ186" t="str">
            <v>x</v>
          </cell>
          <cell r="AR186">
            <v>0</v>
          </cell>
          <cell r="AS186">
            <v>0</v>
          </cell>
          <cell r="AT186" t="str">
            <v>x</v>
          </cell>
        </row>
        <row r="187">
          <cell r="B187">
            <v>183</v>
          </cell>
          <cell r="C187" t="str">
            <v>MPEV1</v>
          </cell>
          <cell r="D187" t="str">
            <v>Evaluación, Monitoreo y Control de la Gestión</v>
          </cell>
          <cell r="E187" t="str">
            <v>MPEV1-P2</v>
          </cell>
          <cell r="F187" t="str">
            <v>Evaluación Independiente</v>
          </cell>
          <cell r="G187" t="str">
            <v>Gestión misional y de Gobierno</v>
          </cell>
          <cell r="H187" t="str">
            <v>Indicadores y metas de gobierno</v>
          </cell>
          <cell r="I187">
            <v>0</v>
          </cell>
          <cell r="J187">
            <v>0</v>
          </cell>
          <cell r="K187" t="str">
            <v>Oficina de Control Interno</v>
          </cell>
          <cell r="L187" t="str">
            <v>PA-102</v>
          </cell>
          <cell r="M187" t="str">
            <v>% de Avance del Plan de Mejoramiento de la CGR</v>
          </cell>
          <cell r="N187" t="str">
            <v>Evidenciar el avance al plan de mejoramiento suscrito con la CGR de las Regionales y los Macro procesos /Procesos de la Sede de la Dirección General</v>
          </cell>
          <cell r="O187" t="str">
            <v>Creciente</v>
          </cell>
          <cell r="P187" t="str">
            <v>Calidad</v>
          </cell>
          <cell r="Q187" t="str">
            <v>N/A</v>
          </cell>
          <cell r="R187" t="str">
            <v>Resultado</v>
          </cell>
          <cell r="S187" t="str">
            <v>Eficacia</v>
          </cell>
          <cell r="T187">
            <v>1</v>
          </cell>
          <cell r="U187">
            <v>1</v>
          </cell>
          <cell r="V187" t="str">
            <v>Porcentaje</v>
          </cell>
          <cell r="W187" t="str">
            <v>Si</v>
          </cell>
          <cell r="X187" t="str">
            <v>No</v>
          </cell>
          <cell r="Y187" t="str">
            <v>No</v>
          </cell>
          <cell r="Z187" t="str">
            <v>No</v>
          </cell>
          <cell r="AA187" t="str">
            <v>No</v>
          </cell>
          <cell r="AB187" t="str">
            <v>Si</v>
          </cell>
          <cell r="AC187" t="str">
            <v>Total Puntaje logrado por las metas propuestas</v>
          </cell>
          <cell r="AD187" t="str">
            <v>Informe de avance  del Plan de Mejoramiento del Macroproceso /proceso y Regional suscrito con la CGR</v>
          </cell>
          <cell r="AE187" t="str">
            <v>Total tiempo en semanas propuesto</v>
          </cell>
          <cell r="AF187" t="str">
            <v>Informe de avance  del Plan de Mejoramiento del Macroproceso /proceso y Regional suscrito con la CGR</v>
          </cell>
          <cell r="AG187" t="str">
            <v xml:space="preserve">(Total Puntaje logrado por las metas propuestas/Total tiempo en semanas propuesto )* 100   </v>
          </cell>
          <cell r="AH187" t="str">
            <v>Trimestral</v>
          </cell>
          <cell r="AI187">
            <v>0</v>
          </cell>
          <cell r="AJ187">
            <v>0</v>
          </cell>
          <cell r="AK187" t="str">
            <v>x</v>
          </cell>
          <cell r="AL187">
            <v>0</v>
          </cell>
          <cell r="AM187">
            <v>0</v>
          </cell>
          <cell r="AN187" t="str">
            <v>x</v>
          </cell>
          <cell r="AO187">
            <v>0</v>
          </cell>
          <cell r="AP187">
            <v>0</v>
          </cell>
          <cell r="AQ187" t="str">
            <v>x</v>
          </cell>
          <cell r="AR187">
            <v>0</v>
          </cell>
          <cell r="AS187">
            <v>0</v>
          </cell>
          <cell r="AT187" t="str">
            <v>x</v>
          </cell>
        </row>
        <row r="188">
          <cell r="B188">
            <v>184</v>
          </cell>
          <cell r="C188" t="str">
            <v>MPEV2</v>
          </cell>
          <cell r="D188" t="str">
            <v>Aseguramiento de la Calidad de los Servicios Misionales del ICBF</v>
          </cell>
          <cell r="E188" t="str">
            <v>MPEV2-P1</v>
          </cell>
          <cell r="F188" t="str">
            <v>Evaluación de la Calidad de los Servicios Misionales del ICBF</v>
          </cell>
          <cell r="G188" t="str">
            <v>Gestión misional y de Gobierno</v>
          </cell>
          <cell r="H188" t="str">
            <v>Indicadores y metas de gobierno</v>
          </cell>
          <cell r="I188">
            <v>0</v>
          </cell>
          <cell r="J188">
            <v>0</v>
          </cell>
          <cell r="K188" t="str">
            <v>Oficina de Aseguramiento a la calidad</v>
          </cell>
          <cell r="L188" t="str">
            <v>PA-103</v>
          </cell>
          <cell r="M188" t="str">
            <v>Número de  Visitas de Inspección, Vigilancia y Control realizadas a instituciones prestadoras del Servicio Público  de Bienestar Familiar</v>
          </cell>
          <cell r="N188" t="str">
            <v>Verificar la ejecución de Visitas de Inspección, Vigilancia y Control realizadas a instituciones prestadoras del Servicio Público  de Bienestar Familiar de acuerdo con la meta establecida para la vigencia</v>
          </cell>
          <cell r="O188" t="str">
            <v>Creciente</v>
          </cell>
          <cell r="P188" t="str">
            <v>Resultado</v>
          </cell>
          <cell r="Q188" t="str">
            <v>No definida</v>
          </cell>
          <cell r="R188" t="str">
            <v>Resultado</v>
          </cell>
          <cell r="S188" t="str">
            <v>Eficacia</v>
          </cell>
          <cell r="T188">
            <v>70</v>
          </cell>
          <cell r="U188">
            <v>280</v>
          </cell>
          <cell r="V188" t="str">
            <v>Número</v>
          </cell>
          <cell r="W188" t="str">
            <v>Si</v>
          </cell>
          <cell r="X188" t="str">
            <v>No</v>
          </cell>
          <cell r="Y188" t="str">
            <v>No</v>
          </cell>
          <cell r="Z188" t="str">
            <v>No</v>
          </cell>
          <cell r="AA188" t="str">
            <v>Si</v>
          </cell>
          <cell r="AB188" t="str">
            <v>Si</v>
          </cell>
          <cell r="AC188" t="str">
            <v>Ejecución de Visitas de Inspección, Vigilancia y Control realizadas a instituciones prestadoras del Servicio Público  de Bienestar Familiar</v>
          </cell>
          <cell r="AD188" t="str">
            <v>Informes de Inspección, Vigilancia y Control</v>
          </cell>
          <cell r="AE188" t="str">
            <v>N/A</v>
          </cell>
          <cell r="AF188" t="str">
            <v>N/A</v>
          </cell>
          <cell r="AG188" t="str">
            <v>Ejecución de Visitas de Inspección, Vigilancia y Control realizadas a instituciones prestadoras del Servicio Público  de Bienestar Familiar</v>
          </cell>
          <cell r="AH188" t="str">
            <v>Trimestral</v>
          </cell>
          <cell r="AI188">
            <v>0</v>
          </cell>
          <cell r="AJ188">
            <v>0</v>
          </cell>
          <cell r="AK188" t="str">
            <v>x</v>
          </cell>
          <cell r="AL188">
            <v>0</v>
          </cell>
          <cell r="AM188">
            <v>0</v>
          </cell>
          <cell r="AN188" t="str">
            <v>x</v>
          </cell>
          <cell r="AO188">
            <v>0</v>
          </cell>
          <cell r="AP188">
            <v>0</v>
          </cell>
          <cell r="AQ188" t="str">
            <v>x</v>
          </cell>
          <cell r="AR188">
            <v>0</v>
          </cell>
          <cell r="AS188">
            <v>0</v>
          </cell>
          <cell r="AT188" t="str">
            <v>x</v>
          </cell>
        </row>
        <row r="189">
          <cell r="B189">
            <v>185</v>
          </cell>
          <cell r="C189" t="str">
            <v>MPEV2</v>
          </cell>
          <cell r="D189" t="str">
            <v>Aseguramiento de la Calidad de los Servicios Misionales del ICBF</v>
          </cell>
          <cell r="E189" t="str">
            <v>MPEV2-P1</v>
          </cell>
          <cell r="F189" t="str">
            <v>Evaluación de la Calidad de los Servicios Misionales del ICBF</v>
          </cell>
          <cell r="G189" t="str">
            <v>Gestión misional y de Gobierno</v>
          </cell>
          <cell r="H189" t="str">
            <v>Indicadores y metas de gobierno</v>
          </cell>
          <cell r="I189">
            <v>0</v>
          </cell>
          <cell r="J189">
            <v>0</v>
          </cell>
          <cell r="K189" t="str">
            <v>Oficina de Aseguramiento a la calidad</v>
          </cell>
          <cell r="L189" t="str">
            <v>PA-104</v>
          </cell>
          <cell r="M189" t="str">
            <v>Realización de auditorías selectivas de calidad a instituciones prestadoras del Servicio Público  de Bienestar Familiar.</v>
          </cell>
          <cell r="N189" t="str">
            <v xml:space="preserve">
Verificar la ejecución de auditorías selectivas de calidad realizadas a instituciones prestadoras del Servicio Público de Bienestar Familiar de acuerdo con la meta establecida para la vigencia</v>
          </cell>
          <cell r="O189" t="str">
            <v>Creciente</v>
          </cell>
          <cell r="P189" t="str">
            <v>Resultado</v>
          </cell>
          <cell r="Q189" t="str">
            <v>No definida</v>
          </cell>
          <cell r="R189" t="str">
            <v>Resultado</v>
          </cell>
          <cell r="S189" t="str">
            <v>Eficacia</v>
          </cell>
          <cell r="T189">
            <v>80</v>
          </cell>
          <cell r="U189">
            <v>320</v>
          </cell>
          <cell r="V189" t="str">
            <v>Número</v>
          </cell>
          <cell r="W189" t="str">
            <v>Si</v>
          </cell>
          <cell r="X189" t="str">
            <v>No</v>
          </cell>
          <cell r="Y189" t="str">
            <v>No</v>
          </cell>
          <cell r="Z189" t="str">
            <v>No</v>
          </cell>
          <cell r="AA189" t="str">
            <v>Si</v>
          </cell>
          <cell r="AB189" t="str">
            <v>Si</v>
          </cell>
          <cell r="AC189" t="str">
            <v>Total de auditorías selectivas de calidad realizadas a instituciones prestadoras del Servicio Público de Bienestar Familiar durante el trimestre</v>
          </cell>
          <cell r="AD189" t="str">
            <v>Formato "Programa de Auditorias de Calidad"</v>
          </cell>
          <cell r="AE189" t="str">
            <v>Total de auditorías selectivas de calidad proyectadas a realizar a instituciones prestadoras del Servicio Público de Bienestar Familiar durante el trimestre</v>
          </cell>
          <cell r="AF189" t="str">
            <v>Formato "Programa de Auditorias de Calidad"</v>
          </cell>
          <cell r="AG189" t="str">
            <v xml:space="preserve">
(Total de auditorías selectivas de calidad realizadas a instituciones prestadoras del Servicio Público de Bienestar Familiar durante el trimestre)/ (Total de auditorías selectivas de calidad proyectadas a realizar a instituciones prestadoras del Servicio Público de Bienestar Familiar durante el trimestre)*100</v>
          </cell>
          <cell r="AH189" t="str">
            <v>Trimestral</v>
          </cell>
          <cell r="AI189">
            <v>0</v>
          </cell>
          <cell r="AJ189">
            <v>0</v>
          </cell>
          <cell r="AK189" t="str">
            <v>x</v>
          </cell>
          <cell r="AL189">
            <v>0</v>
          </cell>
          <cell r="AM189">
            <v>0</v>
          </cell>
          <cell r="AN189" t="str">
            <v>x</v>
          </cell>
          <cell r="AO189">
            <v>0</v>
          </cell>
          <cell r="AP189">
            <v>0</v>
          </cell>
          <cell r="AQ189" t="str">
            <v>x</v>
          </cell>
          <cell r="AR189">
            <v>0</v>
          </cell>
          <cell r="AS189">
            <v>0</v>
          </cell>
          <cell r="AT189" t="str">
            <v>x</v>
          </cell>
        </row>
        <row r="190">
          <cell r="B190">
            <v>186</v>
          </cell>
          <cell r="C190" t="str">
            <v>MPEV2</v>
          </cell>
          <cell r="D190" t="str">
            <v>Aseguramiento de la Calidad de los Servicios Misionales del ICBF</v>
          </cell>
          <cell r="E190" t="str">
            <v>MPEV2-P1</v>
          </cell>
          <cell r="F190" t="str">
            <v>Evaluación de la Calidad de los Servicios Misionales del ICBF</v>
          </cell>
          <cell r="G190" t="str">
            <v>Gestión misional y de Gobierno</v>
          </cell>
          <cell r="H190" t="str">
            <v>Indicadores y metas de gobierno</v>
          </cell>
          <cell r="I190">
            <v>0</v>
          </cell>
          <cell r="J190">
            <v>0</v>
          </cell>
          <cell r="K190" t="str">
            <v>Oficina de Aseguramiento a la calidad</v>
          </cell>
          <cell r="L190" t="str">
            <v>PA-105</v>
          </cell>
          <cell r="M190" t="str">
            <v>Fortalecimiento a las Regionales en la aplicación  y normatividad vigente para los procedimientos de personerías jurídicas y licencias de funcionamiento</v>
          </cell>
          <cell r="N190" t="str">
            <v>Fortalecer a los equipos interdisciplinarios de las regionales en la verificación de los requisitos establecidos en la normatividad vigente y los procedimientos de personerías jurídicas y licencias de funcionamiento</v>
          </cell>
          <cell r="O190" t="str">
            <v>Creciente</v>
          </cell>
          <cell r="P190" t="str">
            <v>Resultado</v>
          </cell>
          <cell r="Q190" t="str">
            <v>No definida</v>
          </cell>
          <cell r="R190" t="str">
            <v>Resultado</v>
          </cell>
          <cell r="S190" t="str">
            <v>Eficacia</v>
          </cell>
          <cell r="T190">
            <v>1</v>
          </cell>
          <cell r="U190" t="str">
            <v>N/A</v>
          </cell>
          <cell r="V190" t="str">
            <v>Porcentaje</v>
          </cell>
          <cell r="W190" t="str">
            <v>Si</v>
          </cell>
          <cell r="X190" t="str">
            <v>No</v>
          </cell>
          <cell r="Y190" t="str">
            <v>No</v>
          </cell>
          <cell r="Z190" t="str">
            <v>No</v>
          </cell>
          <cell r="AA190" t="str">
            <v>No</v>
          </cell>
          <cell r="AB190" t="str">
            <v>Si</v>
          </cell>
          <cell r="AC190" t="str">
            <v>Σ Total de regionales fortalecidas en la aplicación  de la normatividad vigente para los procedimientos de personerías jurídicas y licencias de funcionamiento</v>
          </cell>
          <cell r="AD190" t="str">
            <v>Acta de memorias de retroalimentaión realizadas en las regionales con los equipos interdisciplinariosencargados de la verificación de requisitos de personerias jurídicas y licencias de funcionamiento</v>
          </cell>
          <cell r="AE190" t="str">
            <v>Total de Regionales ICBF</v>
          </cell>
          <cell r="AF190" t="str">
            <v>N/A</v>
          </cell>
          <cell r="AG190" t="str">
            <v>(Σ Total de regionales fortalecidas en la aplicación  de la normatividad vigente para los procedimientos de personerías jurídicas y licencias de funcionamiento) / (Total de Regionales ICBF)*100</v>
          </cell>
          <cell r="AH190" t="str">
            <v>Trimestral</v>
          </cell>
          <cell r="AI190">
            <v>0</v>
          </cell>
          <cell r="AJ190">
            <v>0</v>
          </cell>
          <cell r="AK190" t="str">
            <v>x</v>
          </cell>
          <cell r="AL190">
            <v>0</v>
          </cell>
          <cell r="AM190">
            <v>0</v>
          </cell>
          <cell r="AN190" t="str">
            <v>x</v>
          </cell>
          <cell r="AO190">
            <v>0</v>
          </cell>
          <cell r="AP190">
            <v>0</v>
          </cell>
          <cell r="AQ190" t="str">
            <v>x</v>
          </cell>
          <cell r="AR190">
            <v>0</v>
          </cell>
          <cell r="AS190">
            <v>0</v>
          </cell>
          <cell r="AT190" t="str">
            <v>x</v>
          </cell>
        </row>
      </sheetData>
      <sheetData sheetId="188">
        <row r="1">
          <cell r="A1" t="str">
            <v>1. Ampliar cobertura y mejorar calidad en la atención integral a la Primera Infancia.</v>
          </cell>
        </row>
        <row r="2">
          <cell r="A2" t="str">
            <v>2. Promover los derechos de los NNA y prevenir los riesgos o amenazas de vulneración de los mismos</v>
          </cell>
        </row>
        <row r="3">
          <cell r="A3" t="str">
            <v>3. Fortalecer en las familias y comunidades étnicas capacidades que promuevan su desarrollo, fortalezcan sus vínculos de cuidado mutuo y prevengan la violencia intrafamiliar y de género.</v>
          </cell>
        </row>
        <row r="4">
          <cell r="A4" t="str">
            <v>4. Promover la seguridad alimentaria y nutricional en el desarrollo de la primera infancia, los NNA y la familia.</v>
          </cell>
        </row>
        <row r="5">
          <cell r="A5" t="str">
            <v>5. Garantizar la protección integral de los NNA en coordinación con las instancias del SNBF.</v>
          </cell>
        </row>
        <row r="6">
          <cell r="A6" t="str">
            <v>6. Lograr una adecuada y eficiente gestión institucional a través de la articulación entre servidores, áreas y niveles territoriales; el apoyo administrativo a los procesos misionales, la apropiación de una cultura de la evaluación y la optimización del uso de los recursos</v>
          </cell>
        </row>
        <row r="9">
          <cell r="A9" t="str">
            <v xml:space="preserve">Gestión para la Atención Integral a la Primera Infancia </v>
          </cell>
          <cell r="B9" t="str">
            <v>MPM1</v>
          </cell>
          <cell r="C9" t="str">
            <v>NA</v>
          </cell>
          <cell r="H9" t="str">
            <v>Gestión</v>
          </cell>
        </row>
        <row r="10">
          <cell r="A10" t="str">
            <v xml:space="preserve">Gestión para la promoción y Prevención para la protección integral de las niñez y la adolescencia </v>
          </cell>
          <cell r="B10" t="str">
            <v>MPM2</v>
          </cell>
          <cell r="C10" t="str">
            <v>NA</v>
          </cell>
          <cell r="H10" t="str">
            <v>Producto</v>
          </cell>
        </row>
        <row r="11">
          <cell r="A11" t="str">
            <v>Gestión para la atención de las familias y comunidades</v>
          </cell>
          <cell r="B11" t="str">
            <v>MPM3</v>
          </cell>
          <cell r="C11" t="str">
            <v>NA</v>
          </cell>
          <cell r="H11" t="str">
            <v>Resultado</v>
          </cell>
        </row>
        <row r="12">
          <cell r="A12" t="str">
            <v>Gestión para la Nutrición</v>
          </cell>
          <cell r="B12" t="str">
            <v>MPM4</v>
          </cell>
          <cell r="C12" t="str">
            <v>NA</v>
          </cell>
          <cell r="H12" t="str">
            <v>Eficacia</v>
          </cell>
        </row>
        <row r="13">
          <cell r="A13" t="str">
            <v>Gestión para la Protección</v>
          </cell>
          <cell r="B13" t="str">
            <v>MPM5</v>
          </cell>
          <cell r="C13" t="str">
            <v>proteccion</v>
          </cell>
          <cell r="H13" t="str">
            <v>Eficiencia</v>
          </cell>
        </row>
        <row r="14">
          <cell r="A14" t="str">
            <v>Gestión Soporte</v>
          </cell>
          <cell r="B14" t="str">
            <v>MPA1</v>
          </cell>
          <cell r="C14" t="str">
            <v>soporte</v>
          </cell>
          <cell r="H14" t="str">
            <v>Efectividad</v>
          </cell>
        </row>
        <row r="15">
          <cell r="A15" t="str">
            <v>Gestión Jurídica</v>
          </cell>
          <cell r="B15" t="str">
            <v>MPA2</v>
          </cell>
          <cell r="C15" t="str">
            <v>NA</v>
          </cell>
          <cell r="H15" t="str">
            <v>Economía</v>
          </cell>
        </row>
        <row r="16">
          <cell r="A16" t="str">
            <v>Gestión Regional</v>
          </cell>
          <cell r="B16" t="str">
            <v>MPA3</v>
          </cell>
          <cell r="C16" t="str">
            <v>NA</v>
          </cell>
          <cell r="H16" t="str">
            <v>Calidad</v>
          </cell>
        </row>
        <row r="17">
          <cell r="A17" t="str">
            <v>Gestión Cooperación</v>
          </cell>
          <cell r="B17" t="str">
            <v>MPA4</v>
          </cell>
          <cell r="C17" t="str">
            <v>NA</v>
          </cell>
          <cell r="H17" t="str">
            <v>Ambiental</v>
          </cell>
        </row>
        <row r="18">
          <cell r="A18" t="str">
            <v>Gestión Servicio y Atención</v>
          </cell>
          <cell r="B18" t="str">
            <v>MPA5</v>
          </cell>
          <cell r="C18" t="str">
            <v>servicio</v>
          </cell>
          <cell r="H18" t="str">
            <v>Equidad</v>
          </cell>
        </row>
        <row r="19">
          <cell r="A19" t="str">
            <v>Gestión Tecnológica</v>
          </cell>
          <cell r="B19" t="str">
            <v>MPA6</v>
          </cell>
          <cell r="C19" t="str">
            <v>NA</v>
          </cell>
          <cell r="H19" t="str">
            <v>Porcentaje</v>
          </cell>
        </row>
        <row r="20">
          <cell r="A20" t="str">
            <v>Gestión Comunicaciones</v>
          </cell>
          <cell r="B20" t="str">
            <v>MPA7</v>
          </cell>
          <cell r="C20" t="str">
            <v>NA</v>
          </cell>
          <cell r="H20" t="str">
            <v>Recursos</v>
          </cell>
        </row>
        <row r="21">
          <cell r="A21" t="str">
            <v>Direccionamiento Estratégico</v>
          </cell>
          <cell r="B21" t="str">
            <v>MPE1</v>
          </cell>
          <cell r="C21" t="str">
            <v>NA</v>
          </cell>
          <cell r="H21" t="str">
            <v>Cantidad</v>
          </cell>
        </row>
        <row r="22">
          <cell r="A22" t="str">
            <v>Mejoramiento Continuo</v>
          </cell>
          <cell r="B22" t="str">
            <v>MPE2</v>
          </cell>
          <cell r="C22" t="str">
            <v>NA</v>
          </cell>
          <cell r="H22" t="str">
            <v>Beneficiarios</v>
          </cell>
        </row>
        <row r="23">
          <cell r="A23" t="str">
            <v>Coordinación y Articulación del SNBF</v>
          </cell>
          <cell r="B23" t="str">
            <v>MPE3</v>
          </cell>
          <cell r="C23" t="str">
            <v>NA</v>
          </cell>
          <cell r="H23" t="str">
            <v>Mensual</v>
          </cell>
          <cell r="I23">
            <v>1</v>
          </cell>
        </row>
        <row r="24">
          <cell r="A24" t="str">
            <v>Evaluación, Monitoreo y Control de la Gestión</v>
          </cell>
          <cell r="B24" t="str">
            <v>MPEV1</v>
          </cell>
          <cell r="C24" t="str">
            <v>evaluacion</v>
          </cell>
          <cell r="H24" t="str">
            <v>Bimestral</v>
          </cell>
          <cell r="I24">
            <v>2</v>
          </cell>
        </row>
        <row r="25">
          <cell r="A25" t="str">
            <v>Aseguramiento de la Calidad de los Servicios Misionales del ICBF</v>
          </cell>
          <cell r="B25" t="str">
            <v>MPEV2</v>
          </cell>
          <cell r="C25" t="str">
            <v>calidad</v>
          </cell>
          <cell r="H25" t="str">
            <v>Trimestral</v>
          </cell>
          <cell r="I25">
            <v>3</v>
          </cell>
        </row>
        <row r="26">
          <cell r="A26" t="str">
            <v>Gestión Restablecimiento de Derechos</v>
          </cell>
          <cell r="B26" t="str">
            <v>MPM5-P1</v>
          </cell>
          <cell r="C26" t="str">
            <v>MPM5</v>
          </cell>
          <cell r="H26" t="str">
            <v>Cuatrimestral</v>
          </cell>
          <cell r="I26">
            <v>4</v>
          </cell>
        </row>
        <row r="27">
          <cell r="A27" t="str">
            <v>Gestión Adopciones</v>
          </cell>
          <cell r="B27" t="str">
            <v>MPM5-P2</v>
          </cell>
          <cell r="C27" t="str">
            <v>MPM5</v>
          </cell>
          <cell r="H27" t="str">
            <v>Semestral</v>
          </cell>
          <cell r="I27">
            <v>6</v>
          </cell>
        </row>
        <row r="28">
          <cell r="A28" t="str">
            <v>Gestión Responsabilidad Penal</v>
          </cell>
          <cell r="B28" t="str">
            <v>MPM5-P3</v>
          </cell>
          <cell r="C28" t="str">
            <v>MPM5</v>
          </cell>
          <cell r="H28" t="str">
            <v>Anual</v>
          </cell>
          <cell r="I28">
            <v>12</v>
          </cell>
        </row>
        <row r="29">
          <cell r="A29" t="str">
            <v>Gestión Humana</v>
          </cell>
          <cell r="B29" t="str">
            <v>MPA1-P1</v>
          </cell>
          <cell r="C29" t="str">
            <v>MPA1</v>
          </cell>
          <cell r="H29" t="str">
            <v>Creciente</v>
          </cell>
        </row>
        <row r="30">
          <cell r="A30" t="str">
            <v>Gestión Financiera</v>
          </cell>
          <cell r="B30" t="str">
            <v>MPA1-P2</v>
          </cell>
          <cell r="C30" t="str">
            <v>MPA1</v>
          </cell>
          <cell r="H30" t="str">
            <v>Decreciente</v>
          </cell>
        </row>
        <row r="31">
          <cell r="A31" t="str">
            <v>Gestión Control interno Disciplinario</v>
          </cell>
          <cell r="B31" t="str">
            <v>MPA1-P3</v>
          </cell>
          <cell r="C31" t="str">
            <v>MPA1</v>
          </cell>
          <cell r="H31" t="str">
            <v>Estático</v>
          </cell>
        </row>
        <row r="32">
          <cell r="A32" t="str">
            <v>Gestión Abastecimiento</v>
          </cell>
          <cell r="B32" t="str">
            <v>MPA1-P4</v>
          </cell>
          <cell r="C32" t="str">
            <v>MPA1</v>
          </cell>
        </row>
        <row r="33">
          <cell r="A33" t="str">
            <v>Gestión Administrativa</v>
          </cell>
          <cell r="B33" t="str">
            <v>MPA1-P5</v>
          </cell>
          <cell r="C33" t="str">
            <v>MPA1</v>
          </cell>
        </row>
        <row r="34">
          <cell r="A34" t="str">
            <v>Gestión Contratación</v>
          </cell>
          <cell r="B34" t="str">
            <v>MPA1-P6</v>
          </cell>
          <cell r="C34" t="str">
            <v>MPA1</v>
          </cell>
        </row>
        <row r="35">
          <cell r="A35" t="str">
            <v>Gestión Servicio a Beneficiarios</v>
          </cell>
          <cell r="B35" t="str">
            <v>MPA5-P1</v>
          </cell>
          <cell r="C35" t="str">
            <v>MPA5</v>
          </cell>
        </row>
        <row r="36">
          <cell r="A36" t="str">
            <v>Gestión Atención PQR y sugerencias</v>
          </cell>
          <cell r="B36" t="str">
            <v>MPA5-P2</v>
          </cell>
          <cell r="C36" t="str">
            <v>MPA5</v>
          </cell>
        </row>
        <row r="37">
          <cell r="A37" t="str">
            <v>Evaluación y Monitoreo de la Gestión</v>
          </cell>
          <cell r="B37" t="str">
            <v>MPEV1-P1</v>
          </cell>
          <cell r="C37" t="str">
            <v>MPEV1</v>
          </cell>
          <cell r="G37" t="str">
            <v>Construccion, remodelacion, mantenimiento, dotacion de sedes administrativas, regionales, centros zonales y unidades de servicio</v>
          </cell>
          <cell r="H37" t="str">
            <v>C-123-300-1</v>
          </cell>
        </row>
        <row r="38">
          <cell r="A38" t="str">
            <v>Evaluación Independiente</v>
          </cell>
          <cell r="B38" t="str">
            <v>MPEV1-P2</v>
          </cell>
          <cell r="C38" t="str">
            <v>MPEV1</v>
          </cell>
          <cell r="G38" t="str">
            <v>Implementacion del plan estrategico de desarrollo informatico y tecnologico del ICBF</v>
          </cell>
          <cell r="H38" t="str">
            <v>C-223-300-1</v>
          </cell>
        </row>
        <row r="39">
          <cell r="A39" t="str">
            <v>Evaluación de la Calidad de los Servicios Misionales del ICBF</v>
          </cell>
          <cell r="B39" t="str">
            <v>MPEV2-P1</v>
          </cell>
          <cell r="C39" t="str">
            <v>MPEV2</v>
          </cell>
          <cell r="G39" t="str">
            <v>Asistencia para el fortalecimiento del SNBF para la prestación del servicio publico de bienestar familiar</v>
          </cell>
          <cell r="H39" t="str">
            <v>C-310-300-2</v>
          </cell>
        </row>
        <row r="40">
          <cell r="A40" t="str">
            <v>Asistencia Técnica a los Actores del Macro Proceso Aseguramiento de la Calidad de los Servicios Misionales del ICBF</v>
          </cell>
          <cell r="B40" t="str">
            <v>MPEV2-P2</v>
          </cell>
          <cell r="C40" t="str">
            <v>MPEV2</v>
          </cell>
          <cell r="G40" t="str">
            <v>Aplicacion de la promocion y fomento para la construccion de una cultura de los derechos de la ninez y la familia</v>
          </cell>
          <cell r="H40" t="str">
            <v>C-320-1504-1</v>
          </cell>
        </row>
        <row r="41">
          <cell r="A41" t="str">
            <v>Gestión misional y de gobierno</v>
          </cell>
          <cell r="B41" t="str">
            <v>LP1</v>
          </cell>
          <cell r="C41" t="str">
            <v>misional</v>
          </cell>
          <cell r="G41" t="str">
            <v>Asistencia a la primera infancia a nivel nacional</v>
          </cell>
          <cell r="H41" t="str">
            <v>C-320-1504-4</v>
          </cell>
        </row>
        <row r="42">
          <cell r="A42" t="str">
            <v>Transparencia, participación y servicio al ciudadano</v>
          </cell>
          <cell r="B42" t="str">
            <v>LP2</v>
          </cell>
          <cell r="C42" t="str">
            <v>transparencia</v>
          </cell>
          <cell r="G42" t="str">
            <v>Apoyo formativo a la familia para ser garante  de derechos a nivel nacional</v>
          </cell>
          <cell r="H42" t="str">
            <v>C-320-1504-6</v>
          </cell>
        </row>
        <row r="43">
          <cell r="A43" t="str">
            <v>Gestión del talento humano</v>
          </cell>
          <cell r="B43" t="str">
            <v>LP3</v>
          </cell>
          <cell r="C43" t="str">
            <v>talento</v>
          </cell>
          <cell r="G43" t="str">
            <v>Protección-acciones para preservar y restituir el ejercicio integral de los derechos de la niñez y la familia</v>
          </cell>
          <cell r="H43" t="str">
            <v>C-320-1504-7</v>
          </cell>
        </row>
        <row r="44">
          <cell r="A44" t="str">
            <v>Eficiencia administrativa</v>
          </cell>
          <cell r="B44" t="str">
            <v>LP4</v>
          </cell>
          <cell r="C44" t="str">
            <v>admon</v>
          </cell>
          <cell r="G44" t="str">
            <v>Prevencion y promocion para la proteccion integral de los derechos de la niñez y adolescencia al nivel nacional</v>
          </cell>
          <cell r="H44" t="str">
            <v>C-320-1504-11</v>
          </cell>
        </row>
        <row r="45">
          <cell r="A45" t="str">
            <v>Gestión financiera</v>
          </cell>
          <cell r="B45" t="str">
            <v>LP5</v>
          </cell>
          <cell r="C45" t="str">
            <v>financiera</v>
          </cell>
          <cell r="G45" t="str">
            <v>Desarrollar acciones de promoción y prevención en el marco de la política de seguridad alimentaria y nutricional en el territorio nacional</v>
          </cell>
          <cell r="H45" t="str">
            <v>C-320-1504-13</v>
          </cell>
        </row>
        <row r="46">
          <cell r="A46" t="str">
            <v>Indicadores y metas de Gobierno</v>
          </cell>
          <cell r="B46" t="str">
            <v>LP1-C1</v>
          </cell>
          <cell r="C46" t="str">
            <v>LP1</v>
          </cell>
          <cell r="G46" t="str">
            <v>Atención alimentaria en la transición a las familias víctimas del conflicto armado en condición de desplazamiento a nivel nacional</v>
          </cell>
          <cell r="H46" t="str">
            <v>C-320-1507-1</v>
          </cell>
        </row>
        <row r="47">
          <cell r="A47" t="str">
            <v>Transparencia y Acceso a la Información Pública</v>
          </cell>
          <cell r="B47" t="str">
            <v>LP2-C1</v>
          </cell>
          <cell r="C47" t="str">
            <v>LP2</v>
          </cell>
          <cell r="G47" t="str">
            <v>Estudios sociales operativos y administrativos para mejorar la gestion institucional</v>
          </cell>
          <cell r="H47" t="str">
            <v>C-410-300-6</v>
          </cell>
        </row>
        <row r="48">
          <cell r="A48" t="str">
            <v>Plan Anticorrupción y de Atención al Ciudadano</v>
          </cell>
          <cell r="B48" t="str">
            <v>LP2-C2</v>
          </cell>
          <cell r="C48" t="str">
            <v>LP2</v>
          </cell>
        </row>
        <row r="49">
          <cell r="A49" t="str">
            <v>Participación Ciudadana en la Gestión</v>
          </cell>
          <cell r="B49" t="str">
            <v>LP2-C3</v>
          </cell>
          <cell r="C49" t="str">
            <v>LP2</v>
          </cell>
        </row>
        <row r="50">
          <cell r="A50" t="str">
            <v>Rendición de Cuentas</v>
          </cell>
          <cell r="B50" t="str">
            <v>LP2-C4</v>
          </cell>
          <cell r="C50" t="str">
            <v>LP2</v>
          </cell>
        </row>
        <row r="51">
          <cell r="A51" t="str">
            <v>Servicio al Ciudadano</v>
          </cell>
          <cell r="B51" t="str">
            <v>LP2-C5</v>
          </cell>
          <cell r="C51" t="str">
            <v>LP2</v>
          </cell>
        </row>
        <row r="52">
          <cell r="A52" t="str">
            <v>Plan Estratégico de Recursos Humanos</v>
          </cell>
          <cell r="B52" t="str">
            <v>LP3-C1</v>
          </cell>
          <cell r="C52" t="str">
            <v>LP3</v>
          </cell>
        </row>
        <row r="53">
          <cell r="A53" t="str">
            <v>Plan Anual de Vacantes</v>
          </cell>
          <cell r="B53" t="str">
            <v>LP3-C2</v>
          </cell>
          <cell r="C53" t="str">
            <v>LP3</v>
          </cell>
        </row>
        <row r="54">
          <cell r="A54" t="str">
            <v>Capacitación</v>
          </cell>
          <cell r="B54" t="str">
            <v>LP3-C3</v>
          </cell>
          <cell r="C54" t="str">
            <v>LP3</v>
          </cell>
        </row>
        <row r="55">
          <cell r="A55" t="str">
            <v>Bienestar e Incentivos</v>
          </cell>
          <cell r="B55" t="str">
            <v>LP3-C4</v>
          </cell>
          <cell r="C55" t="str">
            <v>LP3</v>
          </cell>
        </row>
        <row r="56">
          <cell r="A56" t="str">
            <v>Gestión de la Calidad</v>
          </cell>
          <cell r="B56" t="str">
            <v>LP4-C1</v>
          </cell>
          <cell r="C56" t="str">
            <v>LP4</v>
          </cell>
        </row>
        <row r="57">
          <cell r="A57" t="str">
            <v>Eficiencia Administrativa y Cero Papel</v>
          </cell>
          <cell r="B57" t="str">
            <v>LP4-C2</v>
          </cell>
          <cell r="C57" t="str">
            <v>LP4</v>
          </cell>
        </row>
        <row r="58">
          <cell r="A58" t="str">
            <v>Racionalización de Trámites</v>
          </cell>
          <cell r="B58" t="str">
            <v>LP4-C3</v>
          </cell>
          <cell r="C58" t="str">
            <v>LP4</v>
          </cell>
        </row>
        <row r="59">
          <cell r="A59" t="str">
            <v>Modernización Institucional</v>
          </cell>
          <cell r="B59" t="str">
            <v>LP4-C4</v>
          </cell>
          <cell r="C59" t="str">
            <v>LP4</v>
          </cell>
        </row>
        <row r="60">
          <cell r="A60" t="str">
            <v>Gestión de Tecnologías de información</v>
          </cell>
          <cell r="B60" t="str">
            <v>LP4-C5</v>
          </cell>
          <cell r="C60" t="str">
            <v>LP4</v>
          </cell>
        </row>
        <row r="61">
          <cell r="A61" t="str">
            <v>Gestión Documental</v>
          </cell>
          <cell r="B61" t="str">
            <v>LP4-C6</v>
          </cell>
          <cell r="C61" t="str">
            <v>LP4</v>
          </cell>
        </row>
        <row r="62">
          <cell r="A62" t="str">
            <v>Soporte Institucional</v>
          </cell>
          <cell r="B62" t="str">
            <v>LP4-C7</v>
          </cell>
          <cell r="C62" t="str">
            <v>LP4</v>
          </cell>
        </row>
        <row r="63">
          <cell r="A63" t="str">
            <v>Programación y Ejecución Presupuestal</v>
          </cell>
          <cell r="B63" t="str">
            <v>LP5-C1</v>
          </cell>
          <cell r="C63" t="str">
            <v>LP5</v>
          </cell>
        </row>
        <row r="64">
          <cell r="A64" t="str">
            <v>Programa Anual Mensualizado de Caja – PAC</v>
          </cell>
          <cell r="B64" t="str">
            <v>LP5-C2</v>
          </cell>
          <cell r="C64" t="str">
            <v>LP5</v>
          </cell>
        </row>
        <row r="65">
          <cell r="A65" t="str">
            <v>Formulación y seguimiento a Proyectos de Inversión</v>
          </cell>
          <cell r="B65" t="str">
            <v>LP5-C3</v>
          </cell>
          <cell r="C65" t="str">
            <v>LP5</v>
          </cell>
        </row>
        <row r="66">
          <cell r="A66" t="str">
            <v>Plan Anual de Adquisiciones (PAA)</v>
          </cell>
          <cell r="B66" t="str">
            <v>LP5-C4</v>
          </cell>
          <cell r="C66" t="str">
            <v>LP5</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01"/>
      <sheetName val="PA-02"/>
      <sheetName val="PA-03"/>
      <sheetName val="PA-04"/>
      <sheetName val="PA-05"/>
      <sheetName val="PA-06"/>
      <sheetName val="PA-07"/>
      <sheetName val="PA-08"/>
      <sheetName val="PA-09"/>
      <sheetName val="PA-10"/>
      <sheetName val="MPM1-01"/>
      <sheetName val="MPM1-02"/>
      <sheetName val="MPM1-03"/>
      <sheetName val="MPM1-04"/>
      <sheetName val="MPM1-05"/>
      <sheetName val="MPM1-06"/>
      <sheetName val="MPM1-07"/>
      <sheetName val="MPM1-08"/>
      <sheetName val="MPM1-09"/>
      <sheetName val="PA-11"/>
      <sheetName val="PA-12"/>
      <sheetName val="PA-13"/>
      <sheetName val="PA-14"/>
      <sheetName val="PA-15"/>
      <sheetName val="PA-16"/>
      <sheetName val="MPM2-01"/>
      <sheetName val="PA-17"/>
      <sheetName val="MPM2-02"/>
      <sheetName val="MPM2-03"/>
      <sheetName val="MPM2-04"/>
      <sheetName val="PA-18"/>
      <sheetName val="PA-19"/>
      <sheetName val="PA-20"/>
      <sheetName val="PA-21"/>
      <sheetName val="PA-22"/>
      <sheetName val="PA-23"/>
      <sheetName val="PA-24"/>
      <sheetName val="PA-25"/>
      <sheetName val="MPM4-01"/>
      <sheetName val="MPM4-02"/>
      <sheetName val="MPM4-03"/>
      <sheetName val="MPM4-04"/>
      <sheetName val="MPM4-05"/>
      <sheetName val="MPM4-06"/>
      <sheetName val="MPM4-07"/>
      <sheetName val="PA-26"/>
      <sheetName val="PA-27"/>
      <sheetName val="PA-28"/>
      <sheetName val="PA-29"/>
      <sheetName val="PA-30"/>
      <sheetName val="PA-31"/>
      <sheetName val="PA-32"/>
      <sheetName val="PA-33"/>
      <sheetName val="PA-34"/>
      <sheetName val="MPM5-P1-01"/>
      <sheetName val="MPM5-P1-02"/>
      <sheetName val="MPM5-P1-03"/>
      <sheetName val="MPM5-P1-04"/>
      <sheetName val="MPM5-P1-05"/>
      <sheetName val="PA-35"/>
      <sheetName val="MPM5-P1-06"/>
      <sheetName val="MPM5-P1-07"/>
      <sheetName val="MPM5-P1-08"/>
      <sheetName val="PA-36"/>
      <sheetName val="PA-37"/>
      <sheetName val="MPM5-P1-09"/>
      <sheetName val="PA-38"/>
      <sheetName val="PA-39"/>
      <sheetName val="PA-40"/>
      <sheetName val="PA-41"/>
      <sheetName val="MPM5-P2-01"/>
      <sheetName val="PA-42"/>
      <sheetName val="PA-43"/>
      <sheetName val="PA-44"/>
      <sheetName val="MPM5-P3-01"/>
      <sheetName val="PA-45"/>
      <sheetName val="MPA1-P1-01"/>
      <sheetName val="MPA1-P1-02"/>
      <sheetName val="MPA1-P1-03"/>
      <sheetName val="PA-46"/>
      <sheetName val="PA-47"/>
      <sheetName val="PA-48"/>
      <sheetName val="MPA1-P1-04"/>
      <sheetName val="PA-49"/>
      <sheetName val="MPA1-P1-05"/>
      <sheetName val="MPA1-P1-06"/>
      <sheetName val="MPA1-P1-07"/>
      <sheetName val="MPA1-P1-08"/>
      <sheetName val="MPA1-P1-09"/>
      <sheetName val="MPA1-P2-01"/>
      <sheetName val="PA-50"/>
      <sheetName val="PA-51"/>
      <sheetName val="MPA1-P2-02"/>
      <sheetName val="MPA1-P2-03"/>
      <sheetName val="MPA1-P3-01"/>
      <sheetName val="MPA1-P3-02"/>
      <sheetName val="PA-52"/>
      <sheetName val="MPA1-P3-03"/>
      <sheetName val="MPA1-P3-04"/>
      <sheetName val="PA-53"/>
      <sheetName val="PA-54"/>
      <sheetName val="MPA1-P4-01"/>
      <sheetName val="MPA1-P4-02"/>
      <sheetName val="MPA1-P4-03"/>
      <sheetName val="MPA1-P4-04"/>
      <sheetName val="PA-55"/>
      <sheetName val="MPA1-P4-05"/>
      <sheetName val="MPA1-P4-06"/>
      <sheetName val="MPA1-P4-07"/>
      <sheetName val="PA-56"/>
      <sheetName val="PA-57"/>
      <sheetName val="MPA1-P5-01"/>
      <sheetName val="PA-58"/>
      <sheetName val="PA-59"/>
      <sheetName val="MPA1-P5-02"/>
      <sheetName val="MPA1-P5-03"/>
      <sheetName val="MPA1-P5-04"/>
      <sheetName val="MPA1-P5-05"/>
      <sheetName val="MPA1-P5-06"/>
      <sheetName val="PA-60"/>
      <sheetName val="PA-61"/>
      <sheetName val="MPA1-P5-07"/>
      <sheetName val="MPA1-P5-08"/>
      <sheetName val="MPA1-P5-09"/>
      <sheetName val="PA-62"/>
      <sheetName val="MPA1-P5-10"/>
      <sheetName val="MPA1-P5-11"/>
      <sheetName val="PA-63"/>
      <sheetName val="PA-64"/>
      <sheetName val="MPA2-01"/>
      <sheetName val="MPA2-02"/>
      <sheetName val="MPA2-03"/>
      <sheetName val="PA-65"/>
      <sheetName val="PA-66"/>
      <sheetName val="PA-67"/>
      <sheetName val="PA-68"/>
      <sheetName val="PA-69"/>
      <sheetName val="PA-70"/>
      <sheetName val="PA-71"/>
      <sheetName val="PA-72"/>
      <sheetName val="PA-73"/>
      <sheetName val="PA-74"/>
      <sheetName val="MPA5-P2-01"/>
      <sheetName val="MPA5-P2-02"/>
      <sheetName val="PA-75"/>
      <sheetName val="PA-76"/>
      <sheetName val="MPA6-01"/>
      <sheetName val="MPA6-02"/>
      <sheetName val="MPA6-03"/>
      <sheetName val="MPA6-04"/>
      <sheetName val="PA-77"/>
      <sheetName val="PA-78"/>
      <sheetName val="PA-79"/>
      <sheetName val="PA-80"/>
      <sheetName val="PA-81"/>
      <sheetName val="PA-82"/>
      <sheetName val="PA-83"/>
      <sheetName val="PA-84"/>
      <sheetName val="PA-85"/>
      <sheetName val="MPE2-01"/>
      <sheetName val="PA-86"/>
      <sheetName val="PA-87"/>
      <sheetName val="PA-88"/>
      <sheetName val="MPE2-02"/>
      <sheetName val="MPE2-03"/>
      <sheetName val="PA-89"/>
      <sheetName val="MPE2-04"/>
      <sheetName val="MPE2-05"/>
      <sheetName val="PA-90"/>
      <sheetName val="PA-91"/>
      <sheetName val="PA-92"/>
      <sheetName val="PA-93"/>
      <sheetName val="PA-94"/>
      <sheetName val="PA-95"/>
      <sheetName val="PA-96"/>
      <sheetName val="PA-97"/>
      <sheetName val="PA-98"/>
      <sheetName val="MPEV1-P1-01"/>
      <sheetName val="MPEV1-P1-02"/>
      <sheetName val="PA-99"/>
      <sheetName val="PA-100"/>
      <sheetName val="PA-101"/>
      <sheetName val="PA-102"/>
      <sheetName val="PA-103"/>
      <sheetName val="PA-104"/>
      <sheetName val="PA-105"/>
      <sheetName val="PA-105 (3)"/>
      <sheetName val="Hoja1"/>
      <sheetName val="bas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row r="29">
          <cell r="H29" t="str">
            <v>Creciente</v>
          </cell>
        </row>
        <row r="30">
          <cell r="H30" t="str">
            <v>Decreciente</v>
          </cell>
        </row>
        <row r="31">
          <cell r="H31" t="str">
            <v>Estático</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 resumen"/>
      <sheetName val="Hoja1"/>
      <sheetName val="tablero"/>
      <sheetName val="base"/>
      <sheetName val="PA-01"/>
      <sheetName val="PA-02"/>
      <sheetName val="PA-03"/>
      <sheetName val="PA-04"/>
      <sheetName val="PA-05"/>
      <sheetName val="PA-06"/>
      <sheetName val="PA-07"/>
      <sheetName val="PA-08"/>
      <sheetName val="PA-09"/>
      <sheetName val="PA-10"/>
      <sheetName val="MPM1-01"/>
      <sheetName val="MPM1-02"/>
      <sheetName val="MPM1-03"/>
      <sheetName val="MPM1-04"/>
      <sheetName val="MPM1-05"/>
      <sheetName val="MPM1-06"/>
      <sheetName val="MPM1-07"/>
      <sheetName val="MPM1-08"/>
      <sheetName val="MPM1-09"/>
      <sheetName val="MPM1-10"/>
      <sheetName val="PA-11"/>
      <sheetName val="PA-12"/>
      <sheetName val="PA-13"/>
      <sheetName val="PA-14"/>
      <sheetName val="PA-15"/>
      <sheetName val="PA-16"/>
      <sheetName val="PA-17"/>
      <sheetName val="MPM2-01"/>
      <sheetName val="MPM2-02"/>
      <sheetName val="MPM2-03"/>
      <sheetName val="MPM2-04"/>
      <sheetName val="MPM2-05"/>
      <sheetName val="PA-18"/>
      <sheetName val="PA-19"/>
      <sheetName val="PA-20"/>
      <sheetName val="PA-21"/>
      <sheetName val="MPM3-01"/>
      <sheetName val="PA-22"/>
      <sheetName val="PA-23"/>
      <sheetName val="PA-24"/>
      <sheetName val="PA-25"/>
      <sheetName val="PA-26"/>
      <sheetName val="PA-27"/>
      <sheetName val="PA-28"/>
      <sheetName val="PA-29"/>
      <sheetName val="PA-30"/>
      <sheetName val="MPM4-01"/>
      <sheetName val="MPM4-02"/>
      <sheetName val="MPM4-03"/>
      <sheetName val="MPM4-04"/>
      <sheetName val="MPM4-05"/>
      <sheetName val="MPM4-06"/>
      <sheetName val="MPM4-07"/>
      <sheetName val="MPM4-08"/>
      <sheetName val="MPM4-09"/>
      <sheetName val="PA-31"/>
      <sheetName val="PA-32"/>
      <sheetName val="PA-33"/>
      <sheetName val="PA-34"/>
      <sheetName val="PA-35"/>
      <sheetName val="PA-36"/>
      <sheetName val="PA-37"/>
      <sheetName val="PA-38"/>
      <sheetName val="MPM5-P1-01"/>
      <sheetName val="MPM5-P1-02"/>
      <sheetName val="MPM5-P1-03"/>
      <sheetName val="MPM5-P1-04"/>
      <sheetName val="MPM5-P1-05"/>
      <sheetName val="MPM5-P1-06"/>
      <sheetName val="MPM5-P1-07"/>
      <sheetName val="MPM5-P1-08"/>
      <sheetName val="MPM5-P1-09"/>
      <sheetName val="MPM5-P1-10"/>
      <sheetName val="PA-39"/>
      <sheetName val="PA-40"/>
      <sheetName val="PA-41"/>
      <sheetName val="MPM5-P2-01"/>
      <sheetName val="PA-42"/>
      <sheetName val="PA-43"/>
      <sheetName val="PA-44"/>
      <sheetName val="PA-45"/>
      <sheetName val="MPM5-P3-01"/>
      <sheetName val="PA-46"/>
      <sheetName val="PA-47"/>
      <sheetName val="PA-48"/>
      <sheetName val="PA-49"/>
      <sheetName val="MPA1-P1-01"/>
      <sheetName val="MPA1-P1-02"/>
      <sheetName val="MPA1-P1-03"/>
      <sheetName val="MPA1-P1-04"/>
      <sheetName val="MPA1-P1-05"/>
      <sheetName val="MPA1-P1-06"/>
      <sheetName val="MPA1-P1-07"/>
      <sheetName val="MPA1-P1-08"/>
      <sheetName val="MPA1-P1-09"/>
      <sheetName val="MPA1-P1-10"/>
      <sheetName val="PA-50"/>
      <sheetName val="PA-51"/>
      <sheetName val="MPA1-P2-01"/>
      <sheetName val="MPA1-P2-02"/>
      <sheetName val="MPA1-P2-03"/>
      <sheetName val="PA-52"/>
      <sheetName val="MPA1-P3-01"/>
      <sheetName val="MPA1-P3-02"/>
      <sheetName val="MPA1-P3-03"/>
      <sheetName val="MPA1-P3-04"/>
      <sheetName val="PA-53"/>
      <sheetName val="PA-54"/>
      <sheetName val="PA-55"/>
      <sheetName val="MPA1-P4-01"/>
      <sheetName val="MPA1-P4-02"/>
      <sheetName val="MPA1-P4-03"/>
      <sheetName val="MPA1-P4-04"/>
      <sheetName val="PA-56"/>
      <sheetName val="PA-57"/>
      <sheetName val="PA-58"/>
      <sheetName val="PA-59"/>
      <sheetName val="PA-60"/>
      <sheetName val="PA-61"/>
      <sheetName val="PA-62"/>
      <sheetName val="MPA1-P5-01"/>
      <sheetName val="MPA1-P5-02"/>
      <sheetName val="MPA1-P5-03"/>
      <sheetName val="MPA1-P5-04"/>
      <sheetName val="MPA1-P5-05"/>
      <sheetName val="MPA1-P5-06"/>
      <sheetName val="MPA1-P5-07"/>
      <sheetName val="MPA1-P5-08"/>
      <sheetName val="MPA1-P5-09"/>
      <sheetName val="MPA1-P5-10"/>
      <sheetName val="MPA1-P5-11"/>
      <sheetName val="MPA1-P5-12"/>
      <sheetName val="PA-63"/>
      <sheetName val="PA-64"/>
      <sheetName val="PA-65"/>
      <sheetName val="MPA2-01"/>
      <sheetName val="MPA2-02"/>
      <sheetName val="MPA2-03"/>
      <sheetName val="PA-66"/>
      <sheetName val="PA-67"/>
      <sheetName val="PA-68"/>
      <sheetName val="PA-69"/>
      <sheetName val="PA-70"/>
      <sheetName val="PA-71"/>
      <sheetName val="MPA4-01"/>
      <sheetName val="PA-72"/>
      <sheetName val="PA-73"/>
      <sheetName val="PA-74"/>
      <sheetName val="MPA5-P2-01"/>
      <sheetName val="MPA5-P2-02"/>
      <sheetName val="MPA5-P2-03"/>
      <sheetName val="PA-75"/>
      <sheetName val="PA-76"/>
      <sheetName val="MPA6-01"/>
      <sheetName val="MPA6-02"/>
      <sheetName val="MPA6-03"/>
      <sheetName val="MPA6-04"/>
      <sheetName val="MPA6-05"/>
      <sheetName val="PA-77"/>
      <sheetName val="PA-78"/>
      <sheetName val="PA-79"/>
      <sheetName val="MPA7-01"/>
      <sheetName val="PA-80"/>
      <sheetName val="PA-81"/>
      <sheetName val="PA-82"/>
      <sheetName val="PA-83"/>
      <sheetName val="PA-84"/>
      <sheetName val="PA-85"/>
      <sheetName val="MPE1-01"/>
      <sheetName val="MPE1-02"/>
      <sheetName val="PA-86"/>
      <sheetName val="PA-87"/>
      <sheetName val="PA-88"/>
      <sheetName val="PA-89"/>
      <sheetName val="MPE2-01"/>
      <sheetName val="MPE2-02"/>
      <sheetName val="MPE2-03"/>
      <sheetName val="MPE2-04"/>
      <sheetName val="MPE2-05"/>
      <sheetName val="MPE2-06"/>
      <sheetName val="PA-90"/>
      <sheetName val="PA-91"/>
      <sheetName val="PA-92"/>
      <sheetName val="PA-93"/>
      <sheetName val="PA-94"/>
      <sheetName val="PA-95"/>
      <sheetName val="MPE3-01"/>
      <sheetName val="PA-96"/>
      <sheetName val="PA-97"/>
      <sheetName val="PA-98"/>
      <sheetName val="MPEV1-P1-01"/>
      <sheetName val="MPEV1-P1-02"/>
      <sheetName val="PA-99"/>
      <sheetName val="PA-100"/>
      <sheetName val="PA-101"/>
      <sheetName val="PA-102"/>
      <sheetName val="PA-103"/>
      <sheetName val="PA-104"/>
      <sheetName val="PA-105"/>
      <sheetName val="MPEV2-P1-01"/>
      <sheetName val="PA-106"/>
    </sheetNames>
    <sheetDataSet>
      <sheetData sheetId="0"/>
      <sheetData sheetId="1"/>
      <sheetData sheetId="2"/>
      <sheetData sheetId="3">
        <row r="1">
          <cell r="A1" t="str">
            <v>Mensual</v>
          </cell>
          <cell r="B1">
            <v>1</v>
          </cell>
        </row>
        <row r="2">
          <cell r="A2" t="str">
            <v>Bimestral</v>
          </cell>
          <cell r="B2">
            <v>2</v>
          </cell>
        </row>
        <row r="3">
          <cell r="A3" t="str">
            <v>Trimestral</v>
          </cell>
          <cell r="B3">
            <v>3</v>
          </cell>
        </row>
        <row r="4">
          <cell r="A4" t="str">
            <v>Cuatrimestral</v>
          </cell>
          <cell r="B4">
            <v>4</v>
          </cell>
        </row>
        <row r="5">
          <cell r="A5" t="str">
            <v>Semestral</v>
          </cell>
          <cell r="B5">
            <v>6</v>
          </cell>
        </row>
        <row r="6">
          <cell r="A6" t="str">
            <v>Anual</v>
          </cell>
          <cell r="B6">
            <v>12</v>
          </cell>
        </row>
        <row r="9">
          <cell r="A9" t="str">
            <v xml:space="preserve">Gestión para la Atención Integral a la Primera Infancia </v>
          </cell>
          <cell r="B9" t="str">
            <v>MPM1</v>
          </cell>
          <cell r="C9" t="str">
            <v>NA</v>
          </cell>
        </row>
        <row r="10">
          <cell r="A10" t="str">
            <v xml:space="preserve">Gestión para la promoción y Prevención para la protección integral de las niñez y la adolescencia </v>
          </cell>
          <cell r="B10" t="str">
            <v>MPM2</v>
          </cell>
          <cell r="C10" t="str">
            <v>NA</v>
          </cell>
        </row>
        <row r="11">
          <cell r="A11" t="str">
            <v>Gestión para la atención de las familias y comunidades</v>
          </cell>
          <cell r="B11" t="str">
            <v>MPM3</v>
          </cell>
          <cell r="C11" t="str">
            <v>NA</v>
          </cell>
        </row>
        <row r="12">
          <cell r="A12" t="str">
            <v>Gestión para la Nutrición</v>
          </cell>
          <cell r="B12" t="str">
            <v>MPM4</v>
          </cell>
          <cell r="C12" t="str">
            <v>NA</v>
          </cell>
        </row>
        <row r="13">
          <cell r="A13" t="str">
            <v>Gestión para la Protección</v>
          </cell>
          <cell r="B13" t="str">
            <v>MPM5</v>
          </cell>
          <cell r="C13" t="str">
            <v>proteccion</v>
          </cell>
        </row>
        <row r="14">
          <cell r="A14" t="str">
            <v>Gestión Soporte</v>
          </cell>
          <cell r="B14" t="str">
            <v>MPA1</v>
          </cell>
          <cell r="C14" t="str">
            <v>soporte</v>
          </cell>
        </row>
        <row r="15">
          <cell r="A15" t="str">
            <v>Gestión Jurídica</v>
          </cell>
          <cell r="B15" t="str">
            <v>MPA2</v>
          </cell>
          <cell r="C15" t="str">
            <v>NA</v>
          </cell>
        </row>
        <row r="16">
          <cell r="A16" t="str">
            <v>Gestión Regional</v>
          </cell>
          <cell r="B16" t="str">
            <v>MPA3</v>
          </cell>
          <cell r="C16" t="str">
            <v>NA</v>
          </cell>
        </row>
        <row r="17">
          <cell r="A17" t="str">
            <v>Gestión Cooperación</v>
          </cell>
          <cell r="B17" t="str">
            <v>MPA4</v>
          </cell>
          <cell r="C17" t="str">
            <v>NA</v>
          </cell>
        </row>
        <row r="18">
          <cell r="A18" t="str">
            <v>Gestión Servicio y Atención</v>
          </cell>
          <cell r="B18" t="str">
            <v>MPA5</v>
          </cell>
          <cell r="C18" t="str">
            <v>servicio</v>
          </cell>
        </row>
        <row r="19">
          <cell r="A19" t="str">
            <v>Gestión Tecnológica</v>
          </cell>
          <cell r="B19" t="str">
            <v>MPA6</v>
          </cell>
          <cell r="C19" t="str">
            <v>NA</v>
          </cell>
        </row>
        <row r="20">
          <cell r="A20" t="str">
            <v>Gestión Comunicaciones</v>
          </cell>
          <cell r="B20" t="str">
            <v>MPA7</v>
          </cell>
          <cell r="C20" t="str">
            <v>NA</v>
          </cell>
        </row>
        <row r="21">
          <cell r="A21" t="str">
            <v>Direccionamiento Estratégico</v>
          </cell>
          <cell r="B21" t="str">
            <v>MPE1</v>
          </cell>
          <cell r="C21" t="str">
            <v>NA</v>
          </cell>
        </row>
        <row r="22">
          <cell r="A22" t="str">
            <v>Mejoramiento Continuo</v>
          </cell>
          <cell r="B22" t="str">
            <v>MPE2</v>
          </cell>
          <cell r="C22" t="str">
            <v>NA</v>
          </cell>
        </row>
        <row r="23">
          <cell r="A23" t="str">
            <v>Coordinación y Articulación del SNBF</v>
          </cell>
          <cell r="B23" t="str">
            <v>MPE3</v>
          </cell>
          <cell r="C23" t="str">
            <v>NA</v>
          </cell>
        </row>
        <row r="24">
          <cell r="A24" t="str">
            <v>Evaluación, Monitoreo y Control de la Gestión</v>
          </cell>
          <cell r="B24" t="str">
            <v>MPEV1</v>
          </cell>
          <cell r="C24" t="str">
            <v>evaluacion</v>
          </cell>
        </row>
        <row r="25">
          <cell r="A25" t="str">
            <v>Aseguramiento de la Calidad de los Servicios Misionales del ICBF</v>
          </cell>
          <cell r="B25" t="str">
            <v>MPEV2</v>
          </cell>
          <cell r="C25" t="str">
            <v>calidad</v>
          </cell>
        </row>
        <row r="26">
          <cell r="A26" t="str">
            <v>Gestión Restablecimiento de Derechos</v>
          </cell>
          <cell r="B26" t="str">
            <v>MPM5-P1</v>
          </cell>
          <cell r="C26" t="str">
            <v>MPM5</v>
          </cell>
        </row>
        <row r="27">
          <cell r="A27" t="str">
            <v>Gestión Adopciones</v>
          </cell>
          <cell r="B27" t="str">
            <v>MPM5-P2</v>
          </cell>
          <cell r="C27" t="str">
            <v>MPM5</v>
          </cell>
        </row>
        <row r="28">
          <cell r="A28" t="str">
            <v>Gestión Responsabilidad Penal</v>
          </cell>
          <cell r="B28" t="str">
            <v>MPM5-P3</v>
          </cell>
          <cell r="C28" t="str">
            <v>MPM5</v>
          </cell>
        </row>
        <row r="29">
          <cell r="A29" t="str">
            <v>Gestión Humana</v>
          </cell>
          <cell r="B29" t="str">
            <v>MPA1-P1</v>
          </cell>
          <cell r="C29" t="str">
            <v>MPA1</v>
          </cell>
        </row>
        <row r="30">
          <cell r="A30" t="str">
            <v>Gestión Financiera</v>
          </cell>
          <cell r="B30" t="str">
            <v>MPA1-P2</v>
          </cell>
          <cell r="C30" t="str">
            <v>MPA1</v>
          </cell>
        </row>
        <row r="31">
          <cell r="A31" t="str">
            <v>Gestión Control interno Disciplinario</v>
          </cell>
          <cell r="B31" t="str">
            <v>MPA1-P3</v>
          </cell>
          <cell r="C31" t="str">
            <v>MPA1</v>
          </cell>
        </row>
        <row r="32">
          <cell r="A32" t="str">
            <v>Gestión Abastecimiento</v>
          </cell>
          <cell r="B32" t="str">
            <v>MPA1-P4</v>
          </cell>
          <cell r="C32" t="str">
            <v>MPA1</v>
          </cell>
        </row>
        <row r="33">
          <cell r="A33" t="str">
            <v>Gestión Administrativa</v>
          </cell>
          <cell r="B33" t="str">
            <v>MPA1-P5</v>
          </cell>
          <cell r="C33" t="str">
            <v>MPA1</v>
          </cell>
        </row>
        <row r="34">
          <cell r="A34" t="str">
            <v>Gestión Contratación</v>
          </cell>
          <cell r="B34" t="str">
            <v>MPA1-P6</v>
          </cell>
          <cell r="C34" t="str">
            <v>MPA1</v>
          </cell>
        </row>
        <row r="35">
          <cell r="A35" t="str">
            <v>Gestión Servicio a Beneficiarios</v>
          </cell>
          <cell r="B35" t="str">
            <v>MPA5-P1</v>
          </cell>
          <cell r="C35" t="str">
            <v>MPA5</v>
          </cell>
        </row>
        <row r="36">
          <cell r="A36" t="str">
            <v>Gestión Atención PQR y sugerencias</v>
          </cell>
          <cell r="B36" t="str">
            <v>MPA5-P2</v>
          </cell>
          <cell r="C36" t="str">
            <v>MPA5</v>
          </cell>
        </row>
        <row r="37">
          <cell r="A37" t="str">
            <v>Evaluación y Monitoreo de la Gestión</v>
          </cell>
          <cell r="B37" t="str">
            <v>MPEV1-P1</v>
          </cell>
          <cell r="C37" t="str">
            <v>MPEV1</v>
          </cell>
        </row>
        <row r="38">
          <cell r="A38" t="str">
            <v>Evaluación Independiente</v>
          </cell>
          <cell r="B38" t="str">
            <v>MPEV1-P2</v>
          </cell>
          <cell r="C38" t="str">
            <v>MPEV1</v>
          </cell>
        </row>
        <row r="39">
          <cell r="A39" t="str">
            <v>Evaluación de la Calidad de los Servicios Misionales del ICBF</v>
          </cell>
          <cell r="B39" t="str">
            <v>MPEV2-P1</v>
          </cell>
          <cell r="C39" t="str">
            <v>MPEV2</v>
          </cell>
        </row>
        <row r="40">
          <cell r="A40" t="str">
            <v>Asistencia Técnica a los Actores del Macro Proceso Aseguramiento de la Calidad de los Servicios Misionales del ICBF</v>
          </cell>
          <cell r="B40" t="str">
            <v>MPEV2-P2</v>
          </cell>
          <cell r="C40" t="str">
            <v>MPEV2</v>
          </cell>
        </row>
        <row r="41">
          <cell r="A41" t="str">
            <v>Gestión misional y de gobierno</v>
          </cell>
          <cell r="B41" t="str">
            <v>LP1</v>
          </cell>
          <cell r="C41" t="str">
            <v>misional</v>
          </cell>
        </row>
        <row r="42">
          <cell r="A42" t="str">
            <v>Transparencia, participación y servicio al ciudadano</v>
          </cell>
          <cell r="B42" t="str">
            <v>LP2</v>
          </cell>
          <cell r="C42" t="str">
            <v>transparencia</v>
          </cell>
        </row>
        <row r="43">
          <cell r="A43" t="str">
            <v>Gestión del talento humano</v>
          </cell>
          <cell r="B43" t="str">
            <v>LP3</v>
          </cell>
          <cell r="C43" t="str">
            <v>talento</v>
          </cell>
        </row>
        <row r="44">
          <cell r="A44" t="str">
            <v>Eficiencia administrativa</v>
          </cell>
          <cell r="B44" t="str">
            <v>LP4</v>
          </cell>
          <cell r="C44" t="str">
            <v>admon</v>
          </cell>
        </row>
        <row r="45">
          <cell r="A45" t="str">
            <v>Gestión financiera</v>
          </cell>
          <cell r="B45" t="str">
            <v>LP5</v>
          </cell>
          <cell r="C45" t="str">
            <v>financiera</v>
          </cell>
        </row>
        <row r="46">
          <cell r="A46" t="str">
            <v>Indicadores y metas de Gobierno</v>
          </cell>
          <cell r="B46" t="str">
            <v>LP1-C1</v>
          </cell>
          <cell r="C46" t="str">
            <v>LP1</v>
          </cell>
        </row>
        <row r="47">
          <cell r="A47" t="str">
            <v>Transparencia y Acceso a la Información Pública</v>
          </cell>
          <cell r="B47" t="str">
            <v>LP2-C1</v>
          </cell>
          <cell r="C47" t="str">
            <v>LP2</v>
          </cell>
        </row>
        <row r="48">
          <cell r="A48" t="str">
            <v>Plan Anticorrupción y de Atención al Ciudadano</v>
          </cell>
          <cell r="B48" t="str">
            <v>LP2-C2</v>
          </cell>
          <cell r="C48" t="str">
            <v>LP2</v>
          </cell>
        </row>
        <row r="49">
          <cell r="A49" t="str">
            <v>Participación Ciudadana en la Gestión</v>
          </cell>
          <cell r="B49" t="str">
            <v>LP2-C3</v>
          </cell>
          <cell r="C49" t="str">
            <v>LP2</v>
          </cell>
        </row>
        <row r="50">
          <cell r="A50" t="str">
            <v>Rendición de Cuentas</v>
          </cell>
          <cell r="B50" t="str">
            <v>LP2-C4</v>
          </cell>
          <cell r="C50" t="str">
            <v>LP2</v>
          </cell>
        </row>
        <row r="51">
          <cell r="A51" t="str">
            <v>Servicio al Ciudadano</v>
          </cell>
          <cell r="B51" t="str">
            <v>LP2-C5</v>
          </cell>
          <cell r="C51" t="str">
            <v>LP2</v>
          </cell>
        </row>
        <row r="52">
          <cell r="A52" t="str">
            <v>Plan Estratégico de Recursos Humanos</v>
          </cell>
          <cell r="B52" t="str">
            <v>LP3-C1</v>
          </cell>
          <cell r="C52" t="str">
            <v>LP3</v>
          </cell>
        </row>
        <row r="53">
          <cell r="A53" t="str">
            <v>Plan Anual de Vacantes</v>
          </cell>
          <cell r="B53" t="str">
            <v>LP3-C2</v>
          </cell>
          <cell r="C53" t="str">
            <v>LP3</v>
          </cell>
        </row>
        <row r="54">
          <cell r="A54" t="str">
            <v>Capacitación</v>
          </cell>
          <cell r="B54" t="str">
            <v>LP3-C3</v>
          </cell>
          <cell r="C54" t="str">
            <v>LP3</v>
          </cell>
        </row>
        <row r="55">
          <cell r="A55" t="str">
            <v>Bienestar e Incentivos</v>
          </cell>
          <cell r="B55" t="str">
            <v>LP3-C4</v>
          </cell>
          <cell r="C55" t="str">
            <v>LP3</v>
          </cell>
        </row>
        <row r="56">
          <cell r="A56" t="str">
            <v>Gestión de la Calidad</v>
          </cell>
          <cell r="B56" t="str">
            <v>LP4-C1</v>
          </cell>
          <cell r="C56" t="str">
            <v>LP4</v>
          </cell>
        </row>
        <row r="57">
          <cell r="A57" t="str">
            <v>Eficiencia Administrativa y Cero Papel</v>
          </cell>
          <cell r="B57" t="str">
            <v>LP4-C2</v>
          </cell>
          <cell r="C57" t="str">
            <v>LP4</v>
          </cell>
        </row>
        <row r="58">
          <cell r="A58" t="str">
            <v>Racionalización de Trámites</v>
          </cell>
          <cell r="B58" t="str">
            <v>LP4-C3</v>
          </cell>
          <cell r="C58" t="str">
            <v>LP4</v>
          </cell>
        </row>
        <row r="59">
          <cell r="A59" t="str">
            <v>Modernización Institucional</v>
          </cell>
          <cell r="B59" t="str">
            <v>LP4-C4</v>
          </cell>
          <cell r="C59" t="str">
            <v>LP4</v>
          </cell>
        </row>
        <row r="60">
          <cell r="A60" t="str">
            <v>Gestión de Tecnologías de información</v>
          </cell>
          <cell r="B60" t="str">
            <v>LP4-C5</v>
          </cell>
          <cell r="C60" t="str">
            <v>LP4</v>
          </cell>
        </row>
        <row r="61">
          <cell r="A61" t="str">
            <v>Gestión Documental</v>
          </cell>
          <cell r="B61" t="str">
            <v>LP4-C6</v>
          </cell>
          <cell r="C61" t="str">
            <v>LP4</v>
          </cell>
        </row>
        <row r="62">
          <cell r="A62" t="str">
            <v>Soporte Institucional</v>
          </cell>
          <cell r="B62" t="str">
            <v>LP4-C7</v>
          </cell>
          <cell r="C62" t="str">
            <v>LP4</v>
          </cell>
        </row>
        <row r="63">
          <cell r="A63" t="str">
            <v>Programación y Ejecución Presupuestal</v>
          </cell>
          <cell r="B63" t="str">
            <v>LP5-C1</v>
          </cell>
          <cell r="C63" t="str">
            <v>LP5</v>
          </cell>
        </row>
        <row r="64">
          <cell r="A64" t="str">
            <v>Programa Anual Mensualizado de Caja – PAC</v>
          </cell>
          <cell r="B64" t="str">
            <v>LP5-C2</v>
          </cell>
          <cell r="C64" t="str">
            <v>LP5</v>
          </cell>
        </row>
        <row r="65">
          <cell r="A65" t="str">
            <v>Formulación y seguimiento a Proyectos de Inversión</v>
          </cell>
          <cell r="B65" t="str">
            <v>LP5-C3</v>
          </cell>
          <cell r="C65" t="str">
            <v>LP5</v>
          </cell>
        </row>
        <row r="66">
          <cell r="A66" t="str">
            <v>Plan Anual de Adquisiciones (PAA)</v>
          </cell>
          <cell r="B66" t="str">
            <v>LP5-C4</v>
          </cell>
          <cell r="C66" t="str">
            <v>LP5</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PA-01"/>
      <sheetName val="PA-02"/>
      <sheetName val="PA-03"/>
      <sheetName val="PA-04"/>
      <sheetName val="PA-05"/>
      <sheetName val="PA-06"/>
      <sheetName val="PA-07"/>
      <sheetName val="PA-08"/>
      <sheetName val="PA-09"/>
      <sheetName val="PA-10"/>
      <sheetName val="MPM1-01"/>
      <sheetName val="MPM1-02"/>
      <sheetName val="MPM1-03"/>
      <sheetName val="MPM1-04"/>
      <sheetName val="MPM1-05"/>
      <sheetName val="MPM1-06"/>
      <sheetName val="MPM1-07"/>
      <sheetName val="MPM1-08"/>
      <sheetName val="MPM1-09"/>
      <sheetName val="PA-11"/>
      <sheetName val="PA-12"/>
      <sheetName val="PA-13"/>
      <sheetName val="PA-14"/>
      <sheetName val="PA-15"/>
      <sheetName val="PA-16"/>
      <sheetName val="MPM2-01"/>
      <sheetName val="PA-17"/>
      <sheetName val="MPM2-02"/>
      <sheetName val="MPM2-03"/>
      <sheetName val="MPM2-04"/>
      <sheetName val="PA-18"/>
      <sheetName val="PA-19"/>
      <sheetName val="PA-20"/>
      <sheetName val="PA-21"/>
      <sheetName val="PA-22"/>
      <sheetName val="PA-23"/>
      <sheetName val="PA-24"/>
      <sheetName val="PA-25"/>
      <sheetName val="MPM4-01"/>
      <sheetName val="MPM4-02"/>
      <sheetName val="MPM4-03"/>
      <sheetName val="MPM4-04"/>
      <sheetName val="MPM4-05"/>
      <sheetName val="MPM4-06"/>
      <sheetName val="MPM4-07"/>
      <sheetName val="PA-26"/>
      <sheetName val="PA-27"/>
      <sheetName val="PA-28"/>
      <sheetName val="PA-29"/>
      <sheetName val="PA-30"/>
      <sheetName val="PA-31"/>
      <sheetName val="PA-32"/>
      <sheetName val="PA-33"/>
      <sheetName val="PA-34"/>
      <sheetName val="PA-35"/>
      <sheetName val="MPM5-P1-01"/>
      <sheetName val="MPM5-P1-02"/>
      <sheetName val="MPM5-P1-03"/>
      <sheetName val="MPM5-P1-04"/>
      <sheetName val="MPM5-P1-05"/>
      <sheetName val="MPM5-P1-06"/>
      <sheetName val="MPM5-P1-07"/>
      <sheetName val="MPM5-P1-08"/>
      <sheetName val="MPM5-P1-09"/>
      <sheetName val="PA-36"/>
      <sheetName val="PA-37"/>
      <sheetName val="PA-38"/>
      <sheetName val="PA-39"/>
      <sheetName val="PA-40"/>
      <sheetName val="PA-41"/>
      <sheetName val="MPM5-P2-01"/>
      <sheetName val="PA-42"/>
      <sheetName val="PA-43"/>
      <sheetName val="PA-44"/>
      <sheetName val="PA-45"/>
      <sheetName val="MPM5-P3-01"/>
      <sheetName val="MPA1-P1-01"/>
      <sheetName val="MPA1-P1-02"/>
      <sheetName val="MPA1-P1-03"/>
      <sheetName val="PA-46"/>
      <sheetName val="PA-47"/>
      <sheetName val="PA-48"/>
      <sheetName val="MPA1-P1-04"/>
      <sheetName val="PA-49"/>
      <sheetName val="MPA1-P1-05"/>
      <sheetName val="MPA1-P1-06"/>
      <sheetName val="MPA1-P1-07"/>
      <sheetName val="MPA1-P1-08"/>
      <sheetName val="MPA1-P1-09"/>
      <sheetName val="MPA1-P2-01"/>
      <sheetName val="PA-50"/>
      <sheetName val="PA-51"/>
      <sheetName val="MPA1-P2-02"/>
      <sheetName val="MPA1-P2-03"/>
      <sheetName val="MPA1-P3-01"/>
      <sheetName val="MPA1-P3-02"/>
      <sheetName val="PA-52"/>
      <sheetName val="MPA1-P3-03"/>
      <sheetName val="MPA1-P3-04"/>
      <sheetName val="PA-53"/>
      <sheetName val="Hoja3"/>
      <sheetName val="Hoja2"/>
      <sheetName val="bas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Nestor Julio Yaselga Lopez" refreshedDate="42200.67902546296" createdVersion="5" refreshedVersion="5" minRefreshableVersion="3" recordCount="195">
  <cacheSource type="worksheet">
    <worksheetSource ref="D4:AI201" sheet="tablero"/>
  </cacheSource>
  <cacheFields count="32">
    <cacheField name="Cod" numFmtId="0">
      <sharedItems count="17">
        <s v="MPM1"/>
        <s v="MPM2"/>
        <s v="MPM3"/>
        <s v="MPM4"/>
        <s v="MPM5"/>
        <s v="MPA1"/>
        <s v="MPA2"/>
        <s v="MPA3"/>
        <s v="MPA4"/>
        <s v="MPA5"/>
        <s v="MPA6"/>
        <s v="MPA7"/>
        <s v="MPE1"/>
        <s v="MPE2"/>
        <s v="MPE3"/>
        <s v="MPEV1"/>
        <s v="MPEV2"/>
      </sharedItems>
    </cacheField>
    <cacheField name="Macroproceso" numFmtId="0">
      <sharedItems count="17">
        <s v="Gestión para la Atención Integral a la Primera Infancia "/>
        <s v="Gestión para la promoción y Prevención para la protección integral de las niñez y la adolescencia "/>
        <s v="Gestión para la atención de las familias y comunidades"/>
        <s v="Gestión para la Nutrición"/>
        <s v="Gestión para la Protección"/>
        <s v="Gestión Soporte"/>
        <s v="Gestión Jurídica"/>
        <s v="Gestión Regional"/>
        <s v="Gestión Cooperación"/>
        <s v="Gestión Servicio y Atención"/>
        <s v="Gestión Tecnológica"/>
        <s v="Gestión Comunicaciones"/>
        <s v="Direccionamiento Estratégico"/>
        <s v="Mejoramiento Continuo"/>
        <s v="Coordinación y Articulación del SNBF"/>
        <s v="Evaluación, Monitoreo y Control de la Gestión"/>
        <s v="Aseguramiento de la Calidad de los Servicios Misionales del ICBF"/>
      </sharedItems>
    </cacheField>
    <cacheField name="Cod2" numFmtId="0">
      <sharedItems/>
    </cacheField>
    <cacheField name="Proceso" numFmtId="0">
      <sharedItems/>
    </cacheField>
    <cacheField name="-" numFmtId="0">
      <sharedItems containsNonDate="0" containsString="0" containsBlank="1"/>
    </cacheField>
    <cacheField name="Cod3" numFmtId="0">
      <sharedItems/>
    </cacheField>
    <cacheField name="Objetivo SIGE" numFmtId="0">
      <sharedItems longText="1"/>
    </cacheField>
    <cacheField name="-2" numFmtId="0">
      <sharedItems containsNonDate="0" containsString="0" containsBlank="1"/>
    </cacheField>
    <cacheField name="Cod4" numFmtId="0">
      <sharedItems count="6">
        <s v="LP1"/>
        <s v="N/A"/>
        <s v="LP3"/>
        <s v="LP5"/>
        <s v="LP4"/>
        <s v="LP2"/>
      </sharedItems>
    </cacheField>
    <cacheField name="Linea Politica" numFmtId="0">
      <sharedItems count="6">
        <s v="Gestión misional y de gobierno"/>
        <s v="N/A"/>
        <s v="Gestión del talento humano"/>
        <s v="Gestión Financiera"/>
        <s v="Eficiencia administrativa"/>
        <s v="Transparencia, participación y servicio al ciudadano"/>
      </sharedItems>
    </cacheField>
    <cacheField name="Cod5" numFmtId="0">
      <sharedItems/>
    </cacheField>
    <cacheField name="Componente" numFmtId="0">
      <sharedItems/>
    </cacheField>
    <cacheField name="-3" numFmtId="0">
      <sharedItems/>
    </cacheField>
    <cacheField name="Área responsable" numFmtId="0">
      <sharedItems count="26">
        <s v="Dirección de Primera Infancia "/>
        <s v="Dirección de Niñez y Adolescencia "/>
        <s v="Dirección de Familia y Comunidades"/>
        <s v="Dirección de Nutrición"/>
        <s v="Subdirección de Restablecimiento de Derechos "/>
        <s v="Subdirección de Adopciones"/>
        <s v="Subdirección de Responsabilidad penal"/>
        <s v="Dirección de Gestión Humana"/>
        <s v="Dirección Financiera "/>
        <s v="Oficina de Control Interno Disciplinario"/>
        <s v="Dirección de Abastecimiento"/>
        <s v="Dirección Administrativa"/>
        <s v="Dirección de Contratación"/>
        <s v="Oficina Asesora Jurídica"/>
        <s v="Oficina de Gestión Regional"/>
        <s v="Oficina de Cooperación y Convenios "/>
        <s v="Dirección de Servicio y Atención"/>
        <s v="Dirección de Información y Tecnología "/>
        <s v="Oficina Asesora de Comunicaciones"/>
        <s v="Subdirección de Programación"/>
        <s v="Subdirección General"/>
        <s v="Subdirección de Mejoramiento Organizacional"/>
        <s v="Dirección del Sistema Nacional de Bienestar Familiar"/>
        <s v="Subdirección de Monitoreo y Evaluación "/>
        <s v="Oficina de Control Interno"/>
        <s v="Oficina de Aseguramiento a la calidad"/>
      </sharedItems>
    </cacheField>
    <cacheField name="-4" numFmtId="0">
      <sharedItems/>
    </cacheField>
    <cacheField name="Cod6" numFmtId="0">
      <sharedItems count="202">
        <s v="PA-01"/>
        <s v="PA-02"/>
        <s v="PA-03"/>
        <s v="PA-04"/>
        <s v="PA-05"/>
        <s v="PA-06"/>
        <s v="PA-07"/>
        <s v="PA-08"/>
        <s v="PA-10"/>
        <s v="MPM1-01"/>
        <s v="MPM1-02"/>
        <s v="MPM1-03"/>
        <s v="MPM1-04"/>
        <s v="MPM1-05"/>
        <s v="MPM1-06"/>
        <s v="MPM1-07"/>
        <s v="MPM1-08"/>
        <s v="MPM1-09"/>
        <s v="MPM1-10"/>
        <s v="PA-11"/>
        <s v="PA-12"/>
        <s v="PA-13"/>
        <s v="PA-14"/>
        <s v="PA-15"/>
        <s v="PA-16"/>
        <s v="PA-17"/>
        <s v="MPM2-01"/>
        <s v="MPM2-02"/>
        <s v="MPM2-03"/>
        <s v="MPM2-04"/>
        <s v="MPM2-05"/>
        <s v="PA-18"/>
        <s v="PA-19"/>
        <s v="PA-20"/>
        <s v="PA-21"/>
        <s v="MPM3-01"/>
        <s v="PA-22"/>
        <s v="PA-23"/>
        <s v="PA-24"/>
        <s v="PA-25"/>
        <s v="PA-26"/>
        <s v="PA-27"/>
        <s v="PA-28"/>
        <s v="PA-29"/>
        <s v="PA-30"/>
        <s v="MPM4-01"/>
        <s v="MPM4-02"/>
        <s v="MPM4-04"/>
        <s v="MPM4-07"/>
        <s v="MPM4-08"/>
        <s v="MPM4-09"/>
        <s v="PA-31"/>
        <s v="PA-32"/>
        <s v="PA-33"/>
        <s v="PA-34"/>
        <s v="PA-35"/>
        <s v="PA-36"/>
        <s v="PA-37"/>
        <s v="PA-38"/>
        <s v="MPM5-P1-01"/>
        <s v="MPM5-P1-02"/>
        <s v="MPM5-P1-03"/>
        <s v="MPM5-P1-04"/>
        <s v="MPM5-P1-05"/>
        <s v="MPM5-P1-06"/>
        <s v="MPM5-P1-07"/>
        <s v="MPM5-P1-08"/>
        <s v="MPM5-P1-09"/>
        <s v="MPM5-P1-10"/>
        <s v="PA-39"/>
        <s v="PA-40"/>
        <s v="PA-41"/>
        <s v="MPM5-P2-01"/>
        <s v="PA-42"/>
        <s v="PA-43"/>
        <s v="PA-44"/>
        <s v="PA-45"/>
        <s v="MPM5-P3-01"/>
        <s v="PA-46"/>
        <s v="PA-47"/>
        <s v="PA-48"/>
        <s v="PA-49"/>
        <s v="MPA1-P1-01"/>
        <s v="MPA1-P1-02"/>
        <s v="MPA1-P1-03"/>
        <s v="MPA1-P1-04"/>
        <s v="MPA1-P1-05"/>
        <s v="MPA1-P1-07"/>
        <s v="MPA1-P1-08"/>
        <s v="MPA1-P1-09"/>
        <s v="MPA1-P1-10"/>
        <s v="PA-50"/>
        <s v="PA-51"/>
        <s v="MPA1-P2-01"/>
        <s v="MPA1-P2-02"/>
        <s v="MPA1-P2-03"/>
        <s v="PA-52"/>
        <s v="MPA1-P3-01"/>
        <s v="MPA1-P3-02"/>
        <s v="MPA1-P3-03"/>
        <s v="MPA1-P3-04"/>
        <s v="PA-53"/>
        <s v="PA-54"/>
        <s v="PA-55"/>
        <s v="MPA1-P4-01"/>
        <s v="MPA1-P4-02"/>
        <s v="MPA1-P4-03"/>
        <s v="MPA1-P4-04"/>
        <s v="PA-56"/>
        <s v="PA-57"/>
        <s v="PA-58"/>
        <s v="PA-59"/>
        <s v="PA-60"/>
        <s v="PA-61"/>
        <s v="PA-62"/>
        <s v="MPA1-P5-01"/>
        <s v="MPA1-P5-02"/>
        <s v="MPA1-P5-03"/>
        <s v="MPA1-P5-04"/>
        <s v="MPA1-P5-05"/>
        <s v="MPA1-P5-06"/>
        <s v="MPA1-P5-07"/>
        <s v="MPA1-P5-08"/>
        <s v="MPA1-P5-09"/>
        <s v="MPA1-P5-10"/>
        <s v="MPA1-P5-11"/>
        <s v="MPA1-P5-12"/>
        <s v="PA-63"/>
        <s v="PA-64"/>
        <s v="PA-65"/>
        <s v="MPA2-01"/>
        <s v="MPA2-02"/>
        <s v="MPA2-03"/>
        <s v="PA-66"/>
        <s v="PA-67"/>
        <s v="PA-68"/>
        <s v="PA-69"/>
        <s v="PA-70"/>
        <s v="PA-71"/>
        <s v="MPA4-01"/>
        <s v="PA-72"/>
        <s v="PA-73"/>
        <s v="PA-74"/>
        <s v="MPA5-P2-01"/>
        <s v="MPA5-P2-02"/>
        <s v="MPA5-P2-03"/>
        <s v="PA-75"/>
        <s v="PA-76"/>
        <s v="MPA6-01"/>
        <s v="MPA6-02"/>
        <s v="MPA6-03"/>
        <s v="MPA6-04"/>
        <s v="MPA6-05"/>
        <s v="PA-77"/>
        <s v="PA-78"/>
        <s v="PA-79"/>
        <s v="MPA7-01"/>
        <s v="PA-80"/>
        <s v="PA-81"/>
        <s v="PA-82"/>
        <s v="PA-83"/>
        <s v="PA-84"/>
        <s v="PA-85"/>
        <s v="MPE1-01"/>
        <s v="MPE1-02"/>
        <s v="PA-86"/>
        <s v="PA-87"/>
        <s v="PA-88"/>
        <s v="PA-89"/>
        <s v="MPE2-01"/>
        <s v="MPE2-02"/>
        <s v="MPE2-03"/>
        <s v="MPE2-04"/>
        <s v="MPE2-05"/>
        <s v="MPE2-06"/>
        <s v="PA-90"/>
        <s v="PA-91"/>
        <s v="PA-92"/>
        <s v="PA-93"/>
        <s v="PA-94"/>
        <s v="PA-95"/>
        <s v="MPE3-01"/>
        <s v="PA-96"/>
        <s v="PA-97"/>
        <s v="PA-98"/>
        <s v="MPEV1-P1-01"/>
        <s v="MPEV1-P1-02"/>
        <s v="PA-99"/>
        <s v="PA-100"/>
        <s v="PA-101"/>
        <s v="PA-102"/>
        <s v="PA-103"/>
        <s v="PA-104"/>
        <s v="PA-105"/>
        <s v="PA-106"/>
        <s v="MPM4-03" u="1"/>
        <s v="MPM4-05" u="1"/>
        <s v="MPM4-06" u="1"/>
        <s v="MPA1-P1-06" u="1"/>
        <s v="MPA2-04" u="1"/>
        <s v="MPEV2-P1-01" u="1"/>
        <s v="PA-09" u="1"/>
      </sharedItems>
    </cacheField>
    <cacheField name="Indicador" numFmtId="0">
      <sharedItems longText="1"/>
    </cacheField>
    <cacheField name="Meta 2015" numFmtId="0">
      <sharedItems containsSemiMixedTypes="0" containsString="0" containsNumber="1" minValue="0" maxValue="3698145"/>
    </cacheField>
    <cacheField name="Ponderación" numFmtId="165">
      <sharedItems containsSemiMixedTypes="0" containsString="0" containsNumber="1" minValue="1.276595744680851E-3" maxValue="9.3023255813953487E-3"/>
    </cacheField>
    <cacheField name="-5" numFmtId="0">
      <sharedItems containsNonDate="0" containsString="0" containsBlank="1"/>
    </cacheField>
    <cacheField name="N" numFmtId="0">
      <sharedItems count="1">
        <s v="x"/>
      </sharedItems>
    </cacheField>
    <cacheField name="R" numFmtId="0">
      <sharedItems containsBlank="1" count="2">
        <s v="x"/>
        <m/>
      </sharedItems>
    </cacheField>
    <cacheField name="Z" numFmtId="0">
      <sharedItems containsBlank="1"/>
    </cacheField>
    <cacheField name="PA" numFmtId="0">
      <sharedItems containsBlank="1" count="3">
        <s v="x"/>
        <m/>
        <s v="" u="1"/>
      </sharedItems>
    </cacheField>
    <cacheField name="PI" numFmtId="0">
      <sharedItems containsBlank="1" count="3">
        <s v="x"/>
        <m/>
        <s v="" u="1"/>
      </sharedItems>
    </cacheField>
    <cacheField name="PND" numFmtId="0">
      <sharedItems containsBlank="1" count="3">
        <s v="x"/>
        <m/>
        <s v="" u="1"/>
      </sharedItems>
    </cacheField>
    <cacheField name="SIN" numFmtId="0">
      <sharedItems containsBlank="1"/>
    </cacheField>
    <cacheField name="-6" numFmtId="0">
      <sharedItems containsNonDate="0" containsString="0" containsBlank="1"/>
    </cacheField>
    <cacheField name="Dimensión" numFmtId="0">
      <sharedItems count="2">
        <s v="Eficacia"/>
        <s v="Eficiencia"/>
      </sharedItems>
    </cacheField>
    <cacheField name="Ambito" numFmtId="0">
      <sharedItems count="8">
        <s v="Producto"/>
        <s v="Gestión"/>
        <s v="Resultado"/>
        <s v="Impacto" u="1"/>
        <s v="Resultado " u="1"/>
        <s v="Producto " u="1"/>
        <s v="Gestión " u="1"/>
        <s v="Gestión  " u="1"/>
      </sharedItems>
    </cacheField>
    <cacheField name="Periodicidad" numFmtId="0">
      <sharedItems/>
    </cacheField>
    <cacheField name="Mes inicio"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95">
  <r>
    <x v="0"/>
    <x v="0"/>
    <s v="N/A"/>
    <s v="N/A"/>
    <m/>
    <s v="SIGE1"/>
    <s v="Ampliar cobertura y mejorar calidad en la atención integral a la Primera Infancia."/>
    <m/>
    <x v="0"/>
    <x v="0"/>
    <s v="LP1-C1"/>
    <s v="Indicadores y metas de gobierno"/>
    <s v="PA-01"/>
    <x v="0"/>
    <s v="Director(a) Primera Infancia "/>
    <x v="0"/>
    <s v="Número de niños y niñas atendidos en el marco de la Atención Integral."/>
    <n v="1150000"/>
    <n v="8.4210526315789489E-3"/>
    <m/>
    <x v="0"/>
    <x v="0"/>
    <s v="x"/>
    <x v="0"/>
    <x v="0"/>
    <x v="0"/>
    <s v="x"/>
    <m/>
    <x v="0"/>
    <x v="0"/>
    <s v="Mensual"/>
    <s v="Febrero"/>
  </r>
  <r>
    <x v="0"/>
    <x v="0"/>
    <s v="N/A"/>
    <s v="N/A"/>
    <m/>
    <s v="SIGE1"/>
    <s v="Ampliar cobertura y mejorar calidad en la atención integral a la Primera Infancia."/>
    <m/>
    <x v="0"/>
    <x v="0"/>
    <s v="LP1-C1"/>
    <s v="Indicadores y metas de gobierno"/>
    <s v="PA-02"/>
    <x v="0"/>
    <s v="Director(a) Primera Infancia "/>
    <x v="1"/>
    <s v="Porcentaje de niños y niñas atendidos en Hogares Comunitarios transitados a las Modalidades de Atención Integral"/>
    <n v="0.09"/>
    <n v="8.4210526315789489E-3"/>
    <m/>
    <x v="0"/>
    <x v="1"/>
    <m/>
    <x v="0"/>
    <x v="0"/>
    <x v="1"/>
    <m/>
    <m/>
    <x v="0"/>
    <x v="0"/>
    <s v="Mensual"/>
    <s v="Septiembre"/>
  </r>
  <r>
    <x v="0"/>
    <x v="0"/>
    <s v="N/A"/>
    <s v="N/A"/>
    <m/>
    <s v="SIGE1"/>
    <s v="Ampliar cobertura y mejorar calidad en la atención integral a la Primera Infancia."/>
    <m/>
    <x v="0"/>
    <x v="0"/>
    <s v="LP1-C1"/>
    <s v="Indicadores y metas de gobierno"/>
    <s v="PA-03"/>
    <x v="0"/>
    <s v="Director(a) Primera Infancia "/>
    <x v="2"/>
    <s v="Porcentaje de niños y niñas de las modalidades de Primera Infancia, reportados al Ministerio de Educación para la matricula al sistema educativo."/>
    <n v="0.8"/>
    <n v="5.5813953488372094E-3"/>
    <m/>
    <x v="0"/>
    <x v="1"/>
    <m/>
    <x v="0"/>
    <x v="0"/>
    <x v="1"/>
    <s v="x"/>
    <m/>
    <x v="0"/>
    <x v="1"/>
    <s v="Trimestral"/>
    <s v="Septiembre"/>
  </r>
  <r>
    <x v="0"/>
    <x v="0"/>
    <s v="N/A"/>
    <s v="N/A"/>
    <m/>
    <s v="SIGE1"/>
    <s v="Ampliar cobertura y mejorar calidad en la atención integral a la Primera Infancia."/>
    <m/>
    <x v="0"/>
    <x v="0"/>
    <s v="LP1-C1"/>
    <s v="Indicadores y metas de gobierno"/>
    <s v="PA-04"/>
    <x v="0"/>
    <s v="Director(a) Primera Infancia "/>
    <x v="3"/>
    <s v="Porcentaje de Hogares Comunitarios que cumplen los estándares de la estrategia de Cero a Siempre."/>
    <n v="0.2"/>
    <n v="8.4210526315789489E-3"/>
    <m/>
    <x v="0"/>
    <x v="1"/>
    <m/>
    <x v="0"/>
    <x v="0"/>
    <x v="0"/>
    <s v="x"/>
    <m/>
    <x v="0"/>
    <x v="0"/>
    <s v="Mensual"/>
    <s v="Septiembre"/>
  </r>
  <r>
    <x v="0"/>
    <x v="0"/>
    <s v="N/A"/>
    <s v="N/A"/>
    <m/>
    <s v="SIGE1"/>
    <s v="Ampliar cobertura y mejorar calidad en la atención integral a la Primera Infancia."/>
    <m/>
    <x v="0"/>
    <x v="0"/>
    <s v="LP1-C1"/>
    <s v="Indicadores y metas de gobierno"/>
    <s v="PA-05"/>
    <x v="0"/>
    <s v="Director(a) Primera Infancia "/>
    <x v="4"/>
    <s v="Número de agentes educativos en proceso de formación y/o cualificación en Atención Integral a la Primera Infancia. "/>
    <n v="20000"/>
    <n v="8.4210526315789489E-3"/>
    <m/>
    <x v="0"/>
    <x v="1"/>
    <m/>
    <x v="0"/>
    <x v="0"/>
    <x v="0"/>
    <s v="x"/>
    <m/>
    <x v="0"/>
    <x v="0"/>
    <s v="Mensual"/>
    <s v="Abril"/>
  </r>
  <r>
    <x v="0"/>
    <x v="0"/>
    <s v="N/A"/>
    <s v="N/A"/>
    <m/>
    <s v="SIGE1"/>
    <s v="Ampliar cobertura y mejorar calidad en la atención integral a la Primera Infancia."/>
    <m/>
    <x v="0"/>
    <x v="0"/>
    <s v="LP1-C1"/>
    <s v="Indicadores y metas de gobierno"/>
    <s v="PA-06"/>
    <x v="0"/>
    <s v="Director(a) Primera Infancia "/>
    <x v="5"/>
    <s v="Número de CDIs entregados para operación de la modalidades de Atención Integral a la Primera Infancia"/>
    <n v="50"/>
    <n v="8.4210526315789489E-3"/>
    <m/>
    <x v="0"/>
    <x v="1"/>
    <m/>
    <x v="0"/>
    <x v="0"/>
    <x v="1"/>
    <m/>
    <m/>
    <x v="0"/>
    <x v="0"/>
    <s v="Trimestral"/>
    <s v="Junio"/>
  </r>
  <r>
    <x v="0"/>
    <x v="0"/>
    <s v="N/A"/>
    <s v="N/A"/>
    <m/>
    <s v="SIGE1"/>
    <s v="Ampliar cobertura y mejorar calidad en la atención integral a la Primera Infancia."/>
    <m/>
    <x v="0"/>
    <x v="0"/>
    <s v="LP1-C1"/>
    <s v="Indicadores y metas de gobierno"/>
    <s v="PA-07"/>
    <x v="0"/>
    <s v="Director(a) Primera Infancia "/>
    <x v="6"/>
    <s v="Número de Unidades de servicio con planes de implementación para salas de lectura "/>
    <n v="70"/>
    <n v="5.5813953488372094E-3"/>
    <m/>
    <x v="0"/>
    <x v="1"/>
    <m/>
    <x v="0"/>
    <x v="0"/>
    <x v="0"/>
    <s v="x"/>
    <m/>
    <x v="0"/>
    <x v="1"/>
    <s v="Mensual"/>
    <s v="Marzo"/>
  </r>
  <r>
    <x v="0"/>
    <x v="0"/>
    <s v="N/A"/>
    <s v="N/A"/>
    <m/>
    <s v="SIGE1"/>
    <s v="Ampliar cobertura y mejorar calidad en la atención integral a la Primera Infancia."/>
    <m/>
    <x v="0"/>
    <x v="0"/>
    <s v="LP1-C1"/>
    <s v="Indicadores y metas de gobierno"/>
    <s v="PA-08"/>
    <x v="0"/>
    <s v="Director(a) Primera Infancia "/>
    <x v="7"/>
    <s v="Porcentaje de EAS de atención a la primera infancia con esquemas de fortalecimiento que generen capacidades para gestionar procesos de calidad."/>
    <n v="0.5"/>
    <n v="5.5813953488372094E-3"/>
    <m/>
    <x v="0"/>
    <x v="1"/>
    <m/>
    <x v="0"/>
    <x v="0"/>
    <x v="0"/>
    <s v="x"/>
    <m/>
    <x v="0"/>
    <x v="1"/>
    <s v="Mensual"/>
    <s v="Marzo"/>
  </r>
  <r>
    <x v="0"/>
    <x v="0"/>
    <s v="N/A"/>
    <s v="N/A"/>
    <m/>
    <s v="SIGE1"/>
    <s v="Ampliar cobertura y mejorar calidad en la atención integral a la Primera Infancia."/>
    <m/>
    <x v="0"/>
    <x v="0"/>
    <s v="LP1-C1"/>
    <s v="Indicadores y metas de gobierno"/>
    <s v="PA-10"/>
    <x v="0"/>
    <s v="Director(a) Primera Infancia "/>
    <x v="8"/>
    <s v="Número de visitas de supervisión realizadas a las modalidades de Primera Infancia."/>
    <n v="54000"/>
    <n v="8.4210526315789489E-3"/>
    <m/>
    <x v="0"/>
    <x v="0"/>
    <m/>
    <x v="0"/>
    <x v="0"/>
    <x v="1"/>
    <m/>
    <m/>
    <x v="0"/>
    <x v="0"/>
    <s v="Mensual"/>
    <s v="Mayo"/>
  </r>
  <r>
    <x v="0"/>
    <x v="0"/>
    <s v="N/A"/>
    <s v="N/A"/>
    <m/>
    <s v="SIGE1"/>
    <s v="Ampliar cobertura y mejorar calidad en la atención integral a la Primera Infancia."/>
    <m/>
    <x v="1"/>
    <x v="1"/>
    <s v="N/A"/>
    <s v="N/A"/>
    <s v="MPM1-01"/>
    <x v="0"/>
    <s v="Director(a) Primera Infancia "/>
    <x v="9"/>
    <s v="Número de niños y niñas atendidos en Hogares Comunitarios de Bienestar Tradicionales."/>
    <n v="777706"/>
    <n v="1.8181818181818186E-3"/>
    <m/>
    <x v="0"/>
    <x v="0"/>
    <s v="x"/>
    <x v="1"/>
    <x v="1"/>
    <x v="1"/>
    <m/>
    <m/>
    <x v="0"/>
    <x v="0"/>
    <s v="Mensual"/>
    <s v="Febrero"/>
  </r>
  <r>
    <x v="0"/>
    <x v="0"/>
    <s v="N/A"/>
    <s v="N/A"/>
    <m/>
    <s v="SIGE1"/>
    <s v="Ampliar cobertura y mejorar calidad en la atención integral a la Primera Infancia."/>
    <m/>
    <x v="1"/>
    <x v="1"/>
    <s v="N/A"/>
    <s v="N/A"/>
    <s v="MPM1-02"/>
    <x v="0"/>
    <s v="Director(a) Primera Infancia "/>
    <x v="10"/>
    <s v="Número de niños y niñas con atención a la primera infancia con valoración y seguimiento nutricional."/>
    <n v="2236658"/>
    <n v="1.8181818181818186E-3"/>
    <m/>
    <x v="0"/>
    <x v="0"/>
    <m/>
    <x v="1"/>
    <x v="1"/>
    <x v="1"/>
    <m/>
    <m/>
    <x v="0"/>
    <x v="0"/>
    <s v="Trimestral"/>
    <s v="Mayo"/>
  </r>
  <r>
    <x v="0"/>
    <x v="0"/>
    <s v="N/A"/>
    <s v="N/A"/>
    <m/>
    <s v="SIGE1"/>
    <s v="Ampliar cobertura y mejorar calidad en la atención integral a la Primera Infancia."/>
    <m/>
    <x v="1"/>
    <x v="1"/>
    <s v="N/A"/>
    <s v="N/A"/>
    <s v="MPM1-03"/>
    <x v="0"/>
    <s v="Director(a) Primera Infancia "/>
    <x v="11"/>
    <s v="Número de niños y niñas atendidos integralmente que cuentan con registro civil "/>
    <n v="1150000"/>
    <n v="1.8181818181818186E-3"/>
    <m/>
    <x v="0"/>
    <x v="0"/>
    <m/>
    <x v="1"/>
    <x v="1"/>
    <x v="1"/>
    <m/>
    <m/>
    <x v="0"/>
    <x v="0"/>
    <s v="Mensual"/>
    <s v="Mayo"/>
  </r>
  <r>
    <x v="0"/>
    <x v="0"/>
    <s v="N/A"/>
    <s v="N/A"/>
    <m/>
    <s v="SIGE1"/>
    <s v="Ampliar cobertura y mejorar calidad en la atención integral a la Primera Infancia."/>
    <m/>
    <x v="1"/>
    <x v="1"/>
    <s v="N/A"/>
    <s v="N/A"/>
    <s v="MPM1-04"/>
    <x v="0"/>
    <s v="Director(a) Primera Infancia "/>
    <x v="12"/>
    <s v="Número de niños y niñas atendidos integralmente que cuentan con esquema de vacunación completo"/>
    <n v="1150000"/>
    <n v="1.8181818181818186E-3"/>
    <m/>
    <x v="0"/>
    <x v="0"/>
    <m/>
    <x v="1"/>
    <x v="1"/>
    <x v="1"/>
    <m/>
    <m/>
    <x v="0"/>
    <x v="0"/>
    <s v="Mensual"/>
    <s v="Mayo"/>
  </r>
  <r>
    <x v="0"/>
    <x v="0"/>
    <s v="N/A"/>
    <s v="N/A"/>
    <m/>
    <s v="SIGE1"/>
    <s v="Ampliar cobertura y mejorar calidad en la atención integral a la Primera Infancia."/>
    <m/>
    <x v="1"/>
    <x v="1"/>
    <s v="N/A"/>
    <s v="N/A"/>
    <s v="MPM1-05"/>
    <x v="0"/>
    <s v="Director(a) Primera Infancia "/>
    <x v="13"/>
    <s v="Porcentaje de niños y niñas que durante la atención alcanzan tres de las realizaciones en el marco de la Estrategia de Cero a Siempre"/>
    <n v="1"/>
    <n v="3.7499999999999999E-3"/>
    <m/>
    <x v="0"/>
    <x v="0"/>
    <m/>
    <x v="1"/>
    <x v="1"/>
    <x v="1"/>
    <m/>
    <m/>
    <x v="1"/>
    <x v="2"/>
    <s v="Semestral"/>
    <s v="Junio"/>
  </r>
  <r>
    <x v="0"/>
    <x v="0"/>
    <s v="N/A"/>
    <s v="N/A"/>
    <m/>
    <s v="SIGE1"/>
    <s v="Ampliar cobertura y mejorar calidad en la atención integral a la Primera Infancia."/>
    <m/>
    <x v="1"/>
    <x v="1"/>
    <s v="N/A"/>
    <s v="N/A"/>
    <s v="MPM1-06"/>
    <x v="0"/>
    <s v="Director(a) Primera Infancia "/>
    <x v="14"/>
    <s v="Número de niños y niñas atendidos por el programa de complementación nutricional &quot;-DIA-&quot;"/>
    <n v="426000"/>
    <n v="1.8181818181818186E-3"/>
    <m/>
    <x v="0"/>
    <x v="0"/>
    <m/>
    <x v="1"/>
    <x v="1"/>
    <x v="1"/>
    <m/>
    <m/>
    <x v="0"/>
    <x v="0"/>
    <s v="Mensual"/>
    <s v="Junio"/>
  </r>
  <r>
    <x v="0"/>
    <x v="0"/>
    <s v="N/A"/>
    <s v="N/A"/>
    <m/>
    <s v="SIGE1"/>
    <s v="Ampliar cobertura y mejorar calidad en la atención integral a la Primera Infancia."/>
    <m/>
    <x v="1"/>
    <x v="1"/>
    <s v="N/A"/>
    <s v="N/A"/>
    <s v="MPM1-07"/>
    <x v="0"/>
    <s v="Director(a) Primera Infancia "/>
    <x v="15"/>
    <s v="Número de niños y niñas en primera infancia cuyos padres o cuidadores participan en procesos de formación."/>
    <n v="1150000"/>
    <n v="1.8181818181818186E-3"/>
    <m/>
    <x v="0"/>
    <x v="0"/>
    <s v="x"/>
    <x v="1"/>
    <x v="1"/>
    <x v="1"/>
    <m/>
    <m/>
    <x v="0"/>
    <x v="0"/>
    <s v="Mensual"/>
    <s v="Junio"/>
  </r>
  <r>
    <x v="0"/>
    <x v="0"/>
    <s v="N/A"/>
    <s v="N/A"/>
    <m/>
    <s v="SIGE1"/>
    <s v="Ampliar cobertura y mejorar calidad en la atención integral a la Primera Infancia."/>
    <m/>
    <x v="1"/>
    <x v="1"/>
    <s v="N/A"/>
    <s v="N/A"/>
    <s v="MPM1-08"/>
    <x v="0"/>
    <s v="Director(a) Primera Infancia "/>
    <x v="16"/>
    <s v="Número de niños y niñas de la Red Unidos con Atención a la Primera Infancia - de acuerdo a criterios ANSPE de atención integral "/>
    <n v="117698"/>
    <n v="1.8181818181818186E-3"/>
    <m/>
    <x v="0"/>
    <x v="0"/>
    <s v="x"/>
    <x v="1"/>
    <x v="1"/>
    <x v="1"/>
    <m/>
    <m/>
    <x v="0"/>
    <x v="0"/>
    <s v="Bimestral"/>
    <s v="Abril"/>
  </r>
  <r>
    <x v="0"/>
    <x v="0"/>
    <s v="N/A"/>
    <s v="N/A"/>
    <m/>
    <s v="SIGE1"/>
    <s v="Ampliar cobertura y mejorar calidad en la atención integral a la Primera Infancia."/>
    <m/>
    <x v="1"/>
    <x v="1"/>
    <s v="N/A"/>
    <s v="N/A"/>
    <s v="MPM1-09"/>
    <x v="0"/>
    <s v="Director(a) Primera Infancia "/>
    <x v="17"/>
    <s v="Número de niños y niñas víctimas de conflicto armado atendidos en las diferentes modalidades de Atención a la Primera Infancia."/>
    <n v="221734"/>
    <n v="1.8181818181818186E-3"/>
    <m/>
    <x v="0"/>
    <x v="0"/>
    <m/>
    <x v="1"/>
    <x v="1"/>
    <x v="1"/>
    <m/>
    <m/>
    <x v="0"/>
    <x v="0"/>
    <s v="Bimestral"/>
    <s v="Abril"/>
  </r>
  <r>
    <x v="0"/>
    <x v="0"/>
    <s v="N/A"/>
    <s v="N/A"/>
    <m/>
    <s v="SIGE1"/>
    <s v="Ampliar cobertura y mejorar calidad en la atención integral a la Primera Infancia."/>
    <m/>
    <x v="1"/>
    <x v="1"/>
    <s v="N/A"/>
    <s v="N/A"/>
    <s v="MPM1-10"/>
    <x v="0"/>
    <s v="Director(a) Primera Infancia "/>
    <x v="18"/>
    <s v="Porcentaje de cumplimiento a la proyección de ejecución presupuestal de compromisos"/>
    <n v="1"/>
    <n v="1.276595744680851E-3"/>
    <m/>
    <x v="0"/>
    <x v="1"/>
    <m/>
    <x v="1"/>
    <x v="1"/>
    <x v="1"/>
    <m/>
    <m/>
    <x v="1"/>
    <x v="1"/>
    <s v="Mensual"/>
    <s v="Marzo"/>
  </r>
  <r>
    <x v="1"/>
    <x v="1"/>
    <s v="N/A"/>
    <s v="N/A"/>
    <m/>
    <s v="SIGE2"/>
    <s v="Promover los derechos de los NNA y prevenir los riesgos o amenazas de vulneración de los mismos"/>
    <m/>
    <x v="0"/>
    <x v="0"/>
    <s v="LP1-C1"/>
    <s v="Indicadores y metas de gobierno"/>
    <s v="PA-11"/>
    <x v="1"/>
    <s v="Director(a) Niñez y Adolescencia "/>
    <x v="19"/>
    <s v="Porcentaje del  diseño e implementación de la ruta integral de atenciones de infancia y adolescencia."/>
    <n v="0.3"/>
    <n v="5.5813953488372094E-3"/>
    <m/>
    <x v="0"/>
    <x v="1"/>
    <m/>
    <x v="0"/>
    <x v="0"/>
    <x v="1"/>
    <m/>
    <m/>
    <x v="0"/>
    <x v="1"/>
    <s v="Trimestral"/>
    <s v="Septiembre"/>
  </r>
  <r>
    <x v="1"/>
    <x v="1"/>
    <s v="N/A"/>
    <s v="N/A"/>
    <m/>
    <s v="SIGE2"/>
    <s v="Promover los derechos de los NNA y prevenir los riesgos o amenazas de vulneración de los mismos"/>
    <m/>
    <x v="0"/>
    <x v="0"/>
    <s v="LP1-C1"/>
    <s v="Indicadores y metas de gobierno"/>
    <s v="PA-12"/>
    <x v="1"/>
    <s v="Director(a) Niñez y Adolescencia "/>
    <x v="20"/>
    <s v="Porcentaje del diseño e implementación de la política pública integral de infancia y adolescencia."/>
    <n v="0.3"/>
    <n v="5.5813953488372094E-3"/>
    <m/>
    <x v="0"/>
    <x v="1"/>
    <m/>
    <x v="0"/>
    <x v="0"/>
    <x v="1"/>
    <m/>
    <m/>
    <x v="0"/>
    <x v="1"/>
    <s v="Trimestral"/>
    <s v="Septiembre"/>
  </r>
  <r>
    <x v="1"/>
    <x v="1"/>
    <s v="N/A"/>
    <s v="N/A"/>
    <m/>
    <s v="SIGE2"/>
    <s v="Promover los derechos de los NNA y prevenir los riesgos o amenazas de vulneración de los mismos"/>
    <m/>
    <x v="0"/>
    <x v="0"/>
    <s v="LP1-C1"/>
    <s v="Indicadores y metas de gobierno"/>
    <s v="PA-13"/>
    <x v="1"/>
    <s v="Director(a) Niñez y Adolescencia "/>
    <x v="21"/>
    <s v="Número de departamentos con la estrategia de prevención de embarazo en la adolescencia implementada "/>
    <n v="6"/>
    <n v="9.3023255813953487E-3"/>
    <m/>
    <x v="0"/>
    <x v="1"/>
    <m/>
    <x v="0"/>
    <x v="0"/>
    <x v="1"/>
    <m/>
    <m/>
    <x v="0"/>
    <x v="2"/>
    <s v="Trimestral"/>
    <s v="Septiembre"/>
  </r>
  <r>
    <x v="1"/>
    <x v="1"/>
    <s v="N/A"/>
    <s v="N/A"/>
    <m/>
    <s v="SIGE2"/>
    <s v="Promover los derechos de los NNA y prevenir los riesgos o amenazas de vulneración de los mismos"/>
    <m/>
    <x v="0"/>
    <x v="0"/>
    <s v="LP1-C1"/>
    <s v="Indicadores y metas de gobierno"/>
    <s v="PA-14"/>
    <x v="1"/>
    <s v="Director(a) Niñez y Adolescencia "/>
    <x v="22"/>
    <s v="Número de Municipios priorizados  con la implementación de la estrategia de prevención de embarazo en la adolescencia"/>
    <n v="75"/>
    <n v="9.3023255813953487E-3"/>
    <m/>
    <x v="0"/>
    <x v="1"/>
    <m/>
    <x v="0"/>
    <x v="0"/>
    <x v="0"/>
    <s v="x"/>
    <m/>
    <x v="0"/>
    <x v="2"/>
    <s v="Trimestral"/>
    <s v="Septiembre"/>
  </r>
  <r>
    <x v="1"/>
    <x v="1"/>
    <s v="N/A"/>
    <s v="N/A"/>
    <m/>
    <s v="SIGE2"/>
    <s v="Promover los derechos de los NNA y prevenir los riesgos o amenazas de vulneración de los mismos"/>
    <m/>
    <x v="0"/>
    <x v="0"/>
    <s v="LP1-C1"/>
    <s v="Indicadores y metas de gobierno"/>
    <s v="PA-15"/>
    <x v="1"/>
    <s v="Director(a) Niñez y Adolescencia "/>
    <x v="23"/>
    <s v="Número de  Agentes educativos, institucionales y comunitarios de Programas del ICBF formados en derechos sexuales y reproductivos y prevención del embarazo en la adolescencia"/>
    <n v="4000"/>
    <n v="8.4210526315789489E-3"/>
    <m/>
    <x v="0"/>
    <x v="0"/>
    <m/>
    <x v="0"/>
    <x v="0"/>
    <x v="1"/>
    <m/>
    <m/>
    <x v="0"/>
    <x v="0"/>
    <s v="Trimestral"/>
    <s v="Septiembre"/>
  </r>
  <r>
    <x v="1"/>
    <x v="1"/>
    <s v="N/A"/>
    <s v="N/A"/>
    <m/>
    <s v="SIGE2"/>
    <s v="Promover los derechos de los NNA y prevenir los riesgos o amenazas de vulneración de los mismos"/>
    <m/>
    <x v="0"/>
    <x v="0"/>
    <s v="LP1-C1"/>
    <s v="Indicadores y metas de gobierno"/>
    <s v="PA-16"/>
    <x v="1"/>
    <s v="Director(a) Niñez y Adolescencia "/>
    <x v="24"/>
    <s v="Número de niños, niñas y adolescentes participantes en programas de prevención "/>
    <n v="250000"/>
    <n v="8.4210526315789489E-3"/>
    <m/>
    <x v="0"/>
    <x v="0"/>
    <s v="x"/>
    <x v="0"/>
    <x v="0"/>
    <x v="1"/>
    <s v="x"/>
    <m/>
    <x v="0"/>
    <x v="0"/>
    <s v="Mensual"/>
    <s v="Marzo"/>
  </r>
  <r>
    <x v="1"/>
    <x v="1"/>
    <s v="N/A"/>
    <s v="N/A"/>
    <m/>
    <s v="SIGE2"/>
    <s v="Promover los derechos de los NNA y prevenir los riesgos o amenazas de vulneración de los mismos"/>
    <m/>
    <x v="0"/>
    <x v="0"/>
    <s v="LP1-C1"/>
    <s v="Indicadores y metas de gobierno"/>
    <s v="PA-17"/>
    <x v="1"/>
    <s v="Director(a) Niñez y Adolescencia "/>
    <x v="25"/>
    <s v="Número de ejercicios de promoción de la participación significativa de niños, niñas y adolescentes  en políticas, programas, proyectos y estrategias desarrollados en los territorios."/>
    <n v="436"/>
    <n v="5.5813953488372094E-3"/>
    <m/>
    <x v="0"/>
    <x v="1"/>
    <m/>
    <x v="0"/>
    <x v="0"/>
    <x v="1"/>
    <m/>
    <m/>
    <x v="1"/>
    <x v="1"/>
    <s v="Semestral"/>
    <s v="Junio"/>
  </r>
  <r>
    <x v="1"/>
    <x v="1"/>
    <s v="N/A"/>
    <s v="N/A"/>
    <m/>
    <s v="SIGE2"/>
    <s v="Promover los derechos de los NNA y prevenir los riesgos o amenazas de vulneración de los mismos"/>
    <m/>
    <x v="1"/>
    <x v="1"/>
    <s v="N/A"/>
    <s v="N/A"/>
    <s v="MPM2-01"/>
    <x v="1"/>
    <s v="Director(a) Niñez y Adolescencia "/>
    <x v="26"/>
    <s v="Numero de victimas NNA vinculados a Programas de Prevención "/>
    <n v="81900"/>
    <n v="1.8181818181818186E-3"/>
    <m/>
    <x v="0"/>
    <x v="0"/>
    <m/>
    <x v="1"/>
    <x v="1"/>
    <x v="1"/>
    <m/>
    <m/>
    <x v="0"/>
    <x v="0"/>
    <s v="Mensual"/>
    <s v="Marzo"/>
  </r>
  <r>
    <x v="1"/>
    <x v="1"/>
    <s v="N/A"/>
    <s v="N/A"/>
    <m/>
    <s v="SIGE2"/>
    <s v="Promover los derechos de los NNA y prevenir los riesgos o amenazas de vulneración de los mismos"/>
    <m/>
    <x v="1"/>
    <x v="1"/>
    <s v="N/A"/>
    <s v="N/A"/>
    <s v="MPM2-02"/>
    <x v="1"/>
    <s v="Director(a) Niñez y Adolescencia "/>
    <x v="27"/>
    <s v="Numero de horas de encuentros vivenciales realizados por el  Programa de Promoción y Prevención para la Protección Integral de los niños, niñas y adolescentes &quot;Generaciones con Bienestar&quot;  "/>
    <n v="1123089"/>
    <n v="1.8181818181818186E-3"/>
    <m/>
    <x v="0"/>
    <x v="0"/>
    <m/>
    <x v="1"/>
    <x v="1"/>
    <x v="1"/>
    <m/>
    <m/>
    <x v="0"/>
    <x v="0"/>
    <s v="Mensual"/>
    <s v="Marzo"/>
  </r>
  <r>
    <x v="1"/>
    <x v="1"/>
    <s v="N/A"/>
    <s v="N/A"/>
    <m/>
    <s v="SIGE2"/>
    <s v="Promover los derechos de los NNA y prevenir los riesgos o amenazas de vulneración de los mismos"/>
    <m/>
    <x v="1"/>
    <x v="1"/>
    <s v="N/A"/>
    <s v="N/A"/>
    <s v="MPM2-03"/>
    <x v="1"/>
    <s v="Director(a) Niñez y Adolescencia "/>
    <x v="28"/>
    <s v="Porcentaje de respuesta efectivas  a las  gestiones  realizadas por el operador para la activación de la ruta de restablecimiento derechos. "/>
    <n v="0.9"/>
    <n v="1.276595744680851E-3"/>
    <m/>
    <x v="0"/>
    <x v="0"/>
    <m/>
    <x v="1"/>
    <x v="1"/>
    <x v="1"/>
    <m/>
    <m/>
    <x v="0"/>
    <x v="1"/>
    <s v="Mensual"/>
    <s v="Julio"/>
  </r>
  <r>
    <x v="1"/>
    <x v="1"/>
    <s v="N/A"/>
    <s v="N/A"/>
    <m/>
    <s v="SIGE2"/>
    <s v="Promover los derechos de los NNA y prevenir los riesgos o amenazas de vulneración de los mismos"/>
    <m/>
    <x v="1"/>
    <x v="1"/>
    <s v="N/A"/>
    <s v="N/A"/>
    <s v="MPM2-04"/>
    <x v="1"/>
    <s v="Director(a) Niñez y Adolescencia "/>
    <x v="29"/>
    <s v="Porcentaje de casos de vulneración, amenaza o in observancia de derechos identificados por diagnostico de derechos, con gestiones realizadas por el operador para la activación de ruta de restablecimiento "/>
    <n v="0.9"/>
    <n v="1.276595744680851E-3"/>
    <m/>
    <x v="0"/>
    <x v="0"/>
    <m/>
    <x v="1"/>
    <x v="1"/>
    <x v="1"/>
    <m/>
    <m/>
    <x v="1"/>
    <x v="1"/>
    <s v="Mensual"/>
    <s v="Julio"/>
  </r>
  <r>
    <x v="1"/>
    <x v="1"/>
    <s v="N/A"/>
    <s v="N/A"/>
    <m/>
    <s v="SIGE2"/>
    <s v="Promover los derechos de los NNA y prevenir los riesgos o amenazas de vulneración de los mismos"/>
    <m/>
    <x v="1"/>
    <x v="1"/>
    <s v="N/A"/>
    <s v="N/A"/>
    <s v="MPM2-05"/>
    <x v="1"/>
    <s v="Director(a) Niñez y Adolescencia "/>
    <x v="30"/>
    <s v="Porcentaje de cumplimiento a la proyección de ejecución presupuestal de compromisos"/>
    <n v="1"/>
    <n v="1.276595744680851E-3"/>
    <m/>
    <x v="0"/>
    <x v="1"/>
    <m/>
    <x v="1"/>
    <x v="1"/>
    <x v="1"/>
    <m/>
    <m/>
    <x v="1"/>
    <x v="1"/>
    <s v="Mensual"/>
    <s v="Marzo"/>
  </r>
  <r>
    <x v="2"/>
    <x v="2"/>
    <s v="N/A"/>
    <s v="N/A"/>
    <m/>
    <s v="SIGE3"/>
    <s v="Fortalecer en las familias y comunidades étnicas capacidades que promuevan su desarrollo, fortalezcan sus vínculos de cuidado mutuo y prevengan la violencia intrafamiliar y de género."/>
    <m/>
    <x v="0"/>
    <x v="0"/>
    <s v="LP1-C1"/>
    <s v="Indicadores y metas de gobierno"/>
    <s v="PA-18"/>
    <x v="2"/>
    <s v="Director(a) Familia y Comunidades"/>
    <x v="31"/>
    <s v="Número de Familias atendidas por  la modalidad &quot;Familias con bienestar&quot;"/>
    <n v="105488"/>
    <n v="8.4210526315789489E-3"/>
    <m/>
    <x v="0"/>
    <x v="0"/>
    <s v="x"/>
    <x v="0"/>
    <x v="0"/>
    <x v="0"/>
    <s v="x"/>
    <m/>
    <x v="0"/>
    <x v="0"/>
    <s v="Mensual"/>
    <s v="Julio"/>
  </r>
  <r>
    <x v="2"/>
    <x v="2"/>
    <s v="N/A"/>
    <s v="N/A"/>
    <m/>
    <s v="SIGE3"/>
    <s v="Fortalecer en las familias y comunidades étnicas capacidades que promuevan su desarrollo, fortalezcan sus vínculos de cuidado mutuo y prevengan la violencia intrafamiliar y de género."/>
    <m/>
    <x v="0"/>
    <x v="0"/>
    <s v="LP1-C1"/>
    <s v="Indicadores y metas de gobierno"/>
    <s v="PA-19"/>
    <x v="2"/>
    <s v="Director(a) Familia y Comunidades"/>
    <x v="32"/>
    <s v="Número de Familias de grupos étnicos atendidas por la modalidad &quot;Territorios Étnicos con Bienestar&quot;."/>
    <n v="22000"/>
    <n v="8.4210526315789489E-3"/>
    <m/>
    <x v="0"/>
    <x v="1"/>
    <m/>
    <x v="0"/>
    <x v="0"/>
    <x v="1"/>
    <s v="x"/>
    <m/>
    <x v="0"/>
    <x v="0"/>
    <s v="Mensual"/>
    <s v="Julio"/>
  </r>
  <r>
    <x v="2"/>
    <x v="2"/>
    <s v="N/A"/>
    <s v="N/A"/>
    <m/>
    <s v="SIGE3"/>
    <s v="Fortalecer en las familias y comunidades étnicas capacidades que promuevan su desarrollo, fortalezcan sus vínculos de cuidado mutuo y prevengan la violencia intrafamiliar y de género."/>
    <m/>
    <x v="0"/>
    <x v="0"/>
    <s v="LP1-C1"/>
    <s v="Indicadores y metas de gobierno"/>
    <s v="PA-20"/>
    <x v="2"/>
    <s v="Director(a) Familia y Comunidades"/>
    <x v="33"/>
    <s v="Porcentaje de avance en el diseño e implementación de un modelo de enfoque conceptual de inclusión y atención a las familias con las áreas misionales"/>
    <n v="0.2"/>
    <n v="8.4210526315789489E-3"/>
    <m/>
    <x v="0"/>
    <x v="1"/>
    <m/>
    <x v="0"/>
    <x v="0"/>
    <x v="1"/>
    <m/>
    <m/>
    <x v="1"/>
    <x v="0"/>
    <s v="Trimestral"/>
    <s v="Marzo"/>
  </r>
  <r>
    <x v="2"/>
    <x v="2"/>
    <s v="N/A"/>
    <s v="N/A"/>
    <m/>
    <s v="SIGE3"/>
    <s v="Fortalecer en las familias y comunidades étnicas capacidades que promuevan su desarrollo, fortalezcan sus vínculos de cuidado mutuo y prevengan la violencia intrafamiliar y de género."/>
    <m/>
    <x v="0"/>
    <x v="0"/>
    <s v="LP1-C1"/>
    <s v="Indicadores y metas de gobierno"/>
    <s v="PA-21"/>
    <x v="2"/>
    <s v="Director(a) Familia y Comunidades"/>
    <x v="34"/>
    <s v="Número de Familias atendidas mediante formas innovadoras de intervención"/>
    <n v="500"/>
    <n v="9.3023255813953487E-3"/>
    <m/>
    <x v="0"/>
    <x v="1"/>
    <m/>
    <x v="0"/>
    <x v="0"/>
    <x v="1"/>
    <m/>
    <m/>
    <x v="0"/>
    <x v="2"/>
    <s v="Bimestral"/>
    <s v="Agosto"/>
  </r>
  <r>
    <x v="2"/>
    <x v="2"/>
    <s v="N/A"/>
    <s v="N/A"/>
    <m/>
    <s v="SIGE3"/>
    <s v="Fortalecer en las familias y comunidades étnicas capacidades que promuevan su desarrollo, fortalezcan sus vínculos de cuidado mutuo y prevengan la violencia intrafamiliar y de género."/>
    <m/>
    <x v="1"/>
    <x v="1"/>
    <s v="N/A"/>
    <s v="N/A"/>
    <s v="MPM3-01"/>
    <x v="2"/>
    <s v="Director(a) Familia y Comunidades"/>
    <x v="35"/>
    <s v="Porcentaje de cumplimiento a la proyección de ejecución presupuestal de compromisos"/>
    <n v="1"/>
    <n v="1.276595744680851E-3"/>
    <m/>
    <x v="0"/>
    <x v="1"/>
    <m/>
    <x v="1"/>
    <x v="1"/>
    <x v="1"/>
    <m/>
    <m/>
    <x v="1"/>
    <x v="1"/>
    <s v="Mensual"/>
    <s v="Marzo"/>
  </r>
  <r>
    <x v="3"/>
    <x v="3"/>
    <s v="N/A"/>
    <s v="N/A"/>
    <m/>
    <s v="SIGE4"/>
    <s v="Promover la seguridad alimentaria y nutricional en el desarrollo de la primera infancia, los NNA y la familia."/>
    <m/>
    <x v="0"/>
    <x v="0"/>
    <s v="LP1-C1"/>
    <s v="Indicadores y metas de gobierno"/>
    <s v="PA-22"/>
    <x v="3"/>
    <s v="Director(a) Nutrición"/>
    <x v="36"/>
    <s v="Porcentaje de niños y niñas entre dos y cinco años reportados al Sistema de Seguimiento Nutricional (excluyendo FAMI, RN) con desnutrición aguda que mejoraron su estado Nutricional."/>
    <n v="0.8"/>
    <n v="9.3023255813953487E-3"/>
    <m/>
    <x v="0"/>
    <x v="0"/>
    <s v="x"/>
    <x v="0"/>
    <x v="1"/>
    <x v="1"/>
    <m/>
    <m/>
    <x v="0"/>
    <x v="2"/>
    <s v="Semestral"/>
    <s v="Junio"/>
  </r>
  <r>
    <x v="3"/>
    <x v="3"/>
    <s v="N/A"/>
    <s v="N/A"/>
    <m/>
    <s v="SIGE4"/>
    <s v="Promover la seguridad alimentaria y nutricional en el desarrollo de la primera infancia, los NNA y la familia."/>
    <m/>
    <x v="0"/>
    <x v="0"/>
    <s v="LP1-C1"/>
    <s v="Indicadores y metas de gobierno"/>
    <s v="PA-23"/>
    <x v="3"/>
    <s v="Director(a) Nutrición"/>
    <x v="37"/>
    <s v="Porcentaje de niños y niñas que mejoraron su estado Nutricional que se encuentran en la modalidad Recuperación Nutricional con Enfoque Comunitario - RNEC"/>
    <n v="0.8"/>
    <n v="9.3023255813953487E-3"/>
    <m/>
    <x v="0"/>
    <x v="0"/>
    <s v="x"/>
    <x v="0"/>
    <x v="1"/>
    <x v="1"/>
    <m/>
    <m/>
    <x v="0"/>
    <x v="2"/>
    <s v="Semestral"/>
    <s v="Junio"/>
  </r>
  <r>
    <x v="3"/>
    <x v="3"/>
    <s v="N/A"/>
    <s v="N/A"/>
    <m/>
    <s v="SIGE4"/>
    <s v="Promover la seguridad alimentaria y nutricional en el desarrollo de la primera infancia, los NNA y la familia."/>
    <m/>
    <x v="0"/>
    <x v="0"/>
    <s v="LP1-C1"/>
    <s v="Indicadores y metas de gobierno"/>
    <s v="PA-24"/>
    <x v="3"/>
    <s v="Director(a) Nutrición"/>
    <x v="38"/>
    <s v="Numero de Toneladas distribuidas de Bienestarina"/>
    <n v="22000"/>
    <n v="5.5813953488372094E-3"/>
    <m/>
    <x v="0"/>
    <x v="1"/>
    <m/>
    <x v="0"/>
    <x v="0"/>
    <x v="1"/>
    <m/>
    <m/>
    <x v="1"/>
    <x v="1"/>
    <s v="Mensual"/>
    <s v="Enero"/>
  </r>
  <r>
    <x v="3"/>
    <x v="3"/>
    <s v="N/A"/>
    <s v="N/A"/>
    <m/>
    <s v="SIGE4"/>
    <s v="Promover la seguridad alimentaria y nutricional en el desarrollo de la primera infancia, los NNA y la familia."/>
    <m/>
    <x v="0"/>
    <x v="0"/>
    <s v="LP1-C1"/>
    <s v="Indicadores y metas de gobierno"/>
    <s v="PA-25"/>
    <x v="3"/>
    <s v="Director(a) Nutrición"/>
    <x v="39"/>
    <s v="Numero de Toneladas producidas de Bienestarina"/>
    <n v="22000"/>
    <n v="5.5813953488372094E-3"/>
    <m/>
    <x v="0"/>
    <x v="1"/>
    <m/>
    <x v="0"/>
    <x v="0"/>
    <x v="1"/>
    <m/>
    <m/>
    <x v="1"/>
    <x v="1"/>
    <s v="Mensual"/>
    <s v="Febrero"/>
  </r>
  <r>
    <x v="3"/>
    <x v="3"/>
    <s v="N/A"/>
    <s v="N/A"/>
    <m/>
    <s v="SIGE4"/>
    <s v="Promover la seguridad alimentaria y nutricional en el desarrollo de la primera infancia, los NNA y la familia."/>
    <m/>
    <x v="0"/>
    <x v="0"/>
    <s v="LP1-C1"/>
    <s v="Indicadores y metas de gobierno"/>
    <s v="PA-26"/>
    <x v="3"/>
    <s v="Director(a) Nutrición"/>
    <x v="40"/>
    <s v="Porcentaje de Mujeres en periodo de Gestación y Madres en periodo de Lactancia con bajo peso atendidas mediante la modalidad de Recuperación Nutricional con Énfasis en los Primeros 1.000 días que mejoran su estado nutricional."/>
    <n v="0.7"/>
    <n v="9.3023255813953487E-3"/>
    <m/>
    <x v="0"/>
    <x v="0"/>
    <s v="x"/>
    <x v="0"/>
    <x v="0"/>
    <x v="1"/>
    <m/>
    <m/>
    <x v="0"/>
    <x v="2"/>
    <s v="Semestral"/>
    <s v="Junio"/>
  </r>
  <r>
    <x v="3"/>
    <x v="3"/>
    <s v="N/A"/>
    <s v="N/A"/>
    <m/>
    <s v="SIGE4"/>
    <s v="Promover la seguridad alimentaria y nutricional en el desarrollo de la primera infancia, los NNA y la familia."/>
    <m/>
    <x v="0"/>
    <x v="0"/>
    <s v="LP1-C1"/>
    <s v="Indicadores y metas de gobierno"/>
    <s v="PA-27"/>
    <x v="3"/>
    <s v="Director(a) Nutrición"/>
    <x v="41"/>
    <s v="Porcentaje de niños y niñas que fueron atendidos en las modalidades de la Estrategia de Recuperación Nutricional y mejoraron su estado nutricional"/>
    <n v="0.8"/>
    <n v="9.3023255813953487E-3"/>
    <m/>
    <x v="0"/>
    <x v="0"/>
    <s v="x"/>
    <x v="0"/>
    <x v="0"/>
    <x v="1"/>
    <m/>
    <m/>
    <x v="0"/>
    <x v="2"/>
    <s v="Semestral"/>
    <s v="Junio"/>
  </r>
  <r>
    <x v="3"/>
    <x v="3"/>
    <s v="N/A"/>
    <s v="N/A"/>
    <m/>
    <s v="SIGE4"/>
    <s v="Promover la seguridad alimentaria y nutricional en el desarrollo de la primera infancia, los NNA y la familia."/>
    <m/>
    <x v="0"/>
    <x v="0"/>
    <s v="LP1-C1"/>
    <s v="Indicadores y metas de gobierno"/>
    <s v="PA-28"/>
    <x v="3"/>
    <s v="Director(a) Nutrición"/>
    <x v="42"/>
    <s v="Numero de Entes Territoriales asesorados en las acciones propias de la Política de Seguridad Alimentaria y Nutricional"/>
    <n v="16"/>
    <n v="8.4210526315789489E-3"/>
    <m/>
    <x v="0"/>
    <x v="1"/>
    <m/>
    <x v="0"/>
    <x v="0"/>
    <x v="1"/>
    <m/>
    <m/>
    <x v="0"/>
    <x v="0"/>
    <s v="Semestral"/>
    <s v="Junio"/>
  </r>
  <r>
    <x v="3"/>
    <x v="3"/>
    <s v="N/A"/>
    <s v="N/A"/>
    <m/>
    <s v="SIGE4"/>
    <s v="Promover la seguridad alimentaria y nutricional en el desarrollo de la primera infancia, los NNA y la familia."/>
    <m/>
    <x v="0"/>
    <x v="0"/>
    <s v="LP1-C1"/>
    <s v="Indicadores y metas de gobierno"/>
    <s v="PA-29"/>
    <x v="3"/>
    <s v="Director(a) Nutrición"/>
    <x v="43"/>
    <s v="Numero de capacitaciones a Servidores Públicos, contratistas y Agentes del Sistema Nacional de Bienestar Familiar en las acciones propias de la Política de Seguridad Alimentaria y Nutricional"/>
    <n v="1050"/>
    <n v="8.4210526315789489E-3"/>
    <m/>
    <x v="0"/>
    <x v="1"/>
    <m/>
    <x v="0"/>
    <x v="0"/>
    <x v="1"/>
    <m/>
    <m/>
    <x v="0"/>
    <x v="0"/>
    <s v="Semestral"/>
    <s v="Junio"/>
  </r>
  <r>
    <x v="3"/>
    <x v="3"/>
    <s v="N/A"/>
    <s v="N/A"/>
    <m/>
    <s v="SIGE4"/>
    <s v="Promover la seguridad alimentaria y nutricional en el desarrollo de la primera infancia, los NNA y la familia."/>
    <m/>
    <x v="0"/>
    <x v="0"/>
    <s v="LP1-C1"/>
    <s v="Indicadores y metas de gobierno"/>
    <s v="PA-30"/>
    <x v="3"/>
    <s v="Director(a) Nutrición"/>
    <x v="44"/>
    <s v="Numero de niñas y niños menores de 5 años y mujeres gestantes microfocalizados en el marco del el Plan de Mitigación y Riesgo de Desnutrición"/>
    <n v="40000"/>
    <n v="8.4210526315789489E-3"/>
    <m/>
    <x v="0"/>
    <x v="1"/>
    <m/>
    <x v="0"/>
    <x v="0"/>
    <x v="1"/>
    <s v="x"/>
    <m/>
    <x v="0"/>
    <x v="0"/>
    <s v="Semestral"/>
    <s v="Junio"/>
  </r>
  <r>
    <x v="3"/>
    <x v="3"/>
    <s v="N/A"/>
    <s v="N/A"/>
    <m/>
    <s v="SIGE4"/>
    <s v="Promover la seguridad alimentaria y nutricional en el desarrollo de la primera infancia, los NNA y la familia."/>
    <m/>
    <x v="1"/>
    <x v="1"/>
    <s v="N/A"/>
    <s v="N/A"/>
    <s v="MPM4-01"/>
    <x v="3"/>
    <s v="Director(a) Nutrición"/>
    <x v="45"/>
    <s v="Porcentaje de niños y niñas que recuperaron su estado Nutricional que se encuentran en la modalidad de Centros de Recuperación Nutricional - CRN"/>
    <n v="0.8"/>
    <n v="3.7499999999999999E-3"/>
    <m/>
    <x v="0"/>
    <x v="0"/>
    <s v="x"/>
    <x v="1"/>
    <x v="1"/>
    <x v="1"/>
    <m/>
    <m/>
    <x v="0"/>
    <x v="2"/>
    <s v="Semestral"/>
    <s v="Junio"/>
  </r>
  <r>
    <x v="3"/>
    <x v="3"/>
    <s v="N/A"/>
    <s v="N/A"/>
    <m/>
    <s v="SIGE4"/>
    <s v="Promover la seguridad alimentaria y nutricional en el desarrollo de la primera infancia, los NNA y la familia."/>
    <m/>
    <x v="1"/>
    <x v="1"/>
    <s v="N/A"/>
    <s v="N/A"/>
    <s v="MPM4-02"/>
    <x v="3"/>
    <s v="Director(a) Nutrición"/>
    <x v="46"/>
    <s v="Porcentaje de niños de 6  meses  a 2 años reportados al Sistema de Seguimiento Nutricional – SSN pertenecientes al programa FAMI y CDI Modalidad Familiar, con desnutrición global  que mejoran su estado nutricional."/>
    <n v="0.75"/>
    <n v="3.7499999999999999E-3"/>
    <m/>
    <x v="0"/>
    <x v="0"/>
    <s v="x"/>
    <x v="1"/>
    <x v="1"/>
    <x v="1"/>
    <m/>
    <m/>
    <x v="0"/>
    <x v="2"/>
    <s v="Semestral"/>
    <s v="Junio"/>
  </r>
  <r>
    <x v="3"/>
    <x v="3"/>
    <s v="N/A"/>
    <s v="N/A"/>
    <m/>
    <s v="SIGE4"/>
    <s v="Promover la seguridad alimentaria y nutricional en el desarrollo de la primera infancia, los NNA y la familia."/>
    <m/>
    <x v="1"/>
    <x v="1"/>
    <s v="N/A"/>
    <s v="N/A"/>
    <s v="MPM4-04"/>
    <x v="3"/>
    <s v="Director(a) Nutrición"/>
    <x v="47"/>
    <s v="Porcentaje de niños y niñas reportados al Sistema de Seguimiento Nutricional –SSN en HI, CDI  y HCB (excluyendo FAMI y menores de 2 años) que permanecieron con  Obesidad"/>
    <n v="0.4"/>
    <n v="3.7499999999999999E-3"/>
    <m/>
    <x v="0"/>
    <x v="0"/>
    <s v="x"/>
    <x v="1"/>
    <x v="1"/>
    <x v="1"/>
    <m/>
    <m/>
    <x v="0"/>
    <x v="2"/>
    <s v="Semestral"/>
    <s v="Junio"/>
  </r>
  <r>
    <x v="3"/>
    <x v="3"/>
    <s v="N/A"/>
    <s v="N/A"/>
    <m/>
    <s v="SIGE4"/>
    <s v="Promover la seguridad alimentaria y nutricional en el desarrollo de la primera infancia, los NNA y la familia."/>
    <m/>
    <x v="1"/>
    <x v="1"/>
    <s v="N/A"/>
    <s v="N/A"/>
    <s v="MPM4-07"/>
    <x v="3"/>
    <s v="Director(a) Nutrición"/>
    <x v="48"/>
    <s v="Porcentaje de niños y niñas que mejoraron su estado Nutricional que se encuentran en la modalidad Recuperación Nutricional con Énfasis en los Primeros 1.000 Días - RN1.000"/>
    <n v="0.8"/>
    <n v="3.7499999999999999E-3"/>
    <m/>
    <x v="0"/>
    <x v="0"/>
    <s v="x"/>
    <x v="1"/>
    <x v="1"/>
    <x v="1"/>
    <m/>
    <m/>
    <x v="0"/>
    <x v="2"/>
    <s v="Semestral"/>
    <s v="Junio"/>
  </r>
  <r>
    <x v="3"/>
    <x v="3"/>
    <s v="N/A"/>
    <s v="N/A"/>
    <m/>
    <s v="SIGE4"/>
    <s v="Promover la seguridad alimentaria y nutricional en el desarrollo de la primera infancia, los NNA y la familia."/>
    <m/>
    <x v="1"/>
    <x v="1"/>
    <s v="N/A"/>
    <s v="N/A"/>
    <s v="MPM4-08"/>
    <x v="3"/>
    <s v="Director(a) Nutrición"/>
    <x v="49"/>
    <s v="Porcentaje de niños y niñas que nacen con peso adecuado para la edad gestacional, hijos de mujeres con bajo peso durante la gestación que recibieron atención en la modalidad de Recuperación Nutricional con Énfasis en los Primeros 1.000 días. "/>
    <n v="0.8"/>
    <n v="3.7499999999999999E-3"/>
    <m/>
    <x v="0"/>
    <x v="0"/>
    <s v="x"/>
    <x v="1"/>
    <x v="1"/>
    <x v="1"/>
    <m/>
    <m/>
    <x v="0"/>
    <x v="2"/>
    <s v="Semestral"/>
    <s v="Junio"/>
  </r>
  <r>
    <x v="3"/>
    <x v="3"/>
    <s v="N/A"/>
    <s v="N/A"/>
    <m/>
    <s v="SIGE4"/>
    <s v="Promover la seguridad alimentaria y nutricional en el desarrollo de la primera infancia, los NNA y la familia."/>
    <m/>
    <x v="1"/>
    <x v="1"/>
    <s v="N/A"/>
    <s v="N/A"/>
    <s v="MPM4-09"/>
    <x v="3"/>
    <s v="Director(a) Nutrición"/>
    <x v="50"/>
    <s v="Porcentaje de cumplimiento a la proyección de ejecución presupuestal de compromisos"/>
    <n v="1"/>
    <n v="1.276595744680851E-3"/>
    <m/>
    <x v="0"/>
    <x v="1"/>
    <m/>
    <x v="1"/>
    <x v="1"/>
    <x v="1"/>
    <m/>
    <m/>
    <x v="1"/>
    <x v="1"/>
    <s v="Mensual"/>
    <s v="Marzo"/>
  </r>
  <r>
    <x v="4"/>
    <x v="4"/>
    <s v="MPM5-P1"/>
    <s v="Gestión Restablecimiento de Derechos"/>
    <m/>
    <s v="SIGE5"/>
    <s v="Garantizar la protección integral de los NNA en coordinación con las instancias del SNBF."/>
    <m/>
    <x v="0"/>
    <x v="0"/>
    <s v="LP1-C1"/>
    <s v="Indicadores y metas de gobierno"/>
    <s v="PA-31"/>
    <x v="4"/>
    <s v="Subdirector(a) Restablecimiento de Derechos "/>
    <x v="51"/>
    <s v="Porcentaje de adolescentes y jóvenes sin discapacidad  mayores de 15 años, con declaratoria de adoptabilidad, desvinculados  de los grupos organizados al margen de la ley y/o vinculados al SRPA , con estudios de bachillerato terminado que estén vinculados a procesos de formación. "/>
    <n v="1"/>
    <n v="9.3023255813953487E-3"/>
    <m/>
    <x v="0"/>
    <x v="0"/>
    <s v="x"/>
    <x v="0"/>
    <x v="1"/>
    <x v="1"/>
    <m/>
    <m/>
    <x v="0"/>
    <x v="2"/>
    <s v="Trimestral"/>
    <s v="Marzo"/>
  </r>
  <r>
    <x v="4"/>
    <x v="4"/>
    <s v="MPM5-P1"/>
    <s v="Gestión Restablecimiento de Derechos"/>
    <m/>
    <s v="SIGE5"/>
    <s v="Garantizar la protección integral de los NNA en coordinación con las instancias del SNBF."/>
    <m/>
    <x v="0"/>
    <x v="0"/>
    <s v="LP1-C1"/>
    <s v="Indicadores y metas de gobierno"/>
    <s v="PA-32"/>
    <x v="4"/>
    <s v="Subdirector(a) Restablecimiento de Derechos "/>
    <x v="52"/>
    <s v="Porcentaje de niños, niñas y adolescentes menores de 18 años en protección con auto de apertura de investigación con situación legal dentro de los 120 días definidos por la ley."/>
    <n v="1"/>
    <n v="9.3023255813953487E-3"/>
    <m/>
    <x v="0"/>
    <x v="0"/>
    <s v="x"/>
    <x v="0"/>
    <x v="1"/>
    <x v="1"/>
    <m/>
    <m/>
    <x v="0"/>
    <x v="2"/>
    <s v="Mensual"/>
    <s v="Enero"/>
  </r>
  <r>
    <x v="4"/>
    <x v="4"/>
    <s v="MPM5-P1"/>
    <s v="Gestión Restablecimiento de Derechos"/>
    <m/>
    <s v="SIGE5"/>
    <s v="Garantizar la protección integral de los NNA en coordinación con las instancias del SNBF."/>
    <m/>
    <x v="0"/>
    <x v="0"/>
    <s v="LP1-C1"/>
    <s v="Indicadores y metas de gobierno"/>
    <s v="PA-33"/>
    <x v="4"/>
    <s v="Subdirector(a) Restablecimiento de Derechos "/>
    <x v="53"/>
    <s v="Porcentaje de niños, niñas, adolescentes y jóvenes víctimas de reclutamiento ilícito que se desvinculan de los grupos armados organizados al margen de la ley, que egresan del programa especializado cumpliendo los objetivos del mismo."/>
    <n v="0.65"/>
    <n v="9.3023255813953487E-3"/>
    <m/>
    <x v="0"/>
    <x v="1"/>
    <m/>
    <x v="0"/>
    <x v="1"/>
    <x v="1"/>
    <m/>
    <m/>
    <x v="0"/>
    <x v="2"/>
    <s v="Mensual"/>
    <s v="Febrero"/>
  </r>
  <r>
    <x v="4"/>
    <x v="4"/>
    <s v="MPM5-P1"/>
    <s v="Gestión Restablecimiento de Derechos"/>
    <m/>
    <s v="SIGE5"/>
    <s v="Garantizar la protección integral de los NNA en coordinación con las instancias del SNBF."/>
    <m/>
    <x v="0"/>
    <x v="0"/>
    <s v="LP1-C1"/>
    <s v="Indicadores y metas de gobierno"/>
    <s v="PA-34"/>
    <x v="4"/>
    <s v="Subdirector(a) Restablecimiento de Derechos "/>
    <x v="54"/>
    <s v="Porcentaje de niños, niñas y adolescente víctimas del desplazamiento forzado con proceso de acompañamiento familiar por las unidades móviles para contribuir a la atención, asistencia, reparación integral y al restablecimiento de sus derechos."/>
    <n v="1"/>
    <n v="5.5813953488372094E-3"/>
    <m/>
    <x v="0"/>
    <x v="0"/>
    <m/>
    <x v="0"/>
    <x v="1"/>
    <x v="1"/>
    <m/>
    <m/>
    <x v="0"/>
    <x v="1"/>
    <s v="Mensual"/>
    <s v="Mayo"/>
  </r>
  <r>
    <x v="4"/>
    <x v="4"/>
    <s v="MPM5-P1"/>
    <s v="Gestión Restablecimiento de Derechos"/>
    <m/>
    <s v="SIGE5"/>
    <s v="Garantizar la protección integral de los NNA en coordinación con las instancias del SNBF."/>
    <m/>
    <x v="0"/>
    <x v="0"/>
    <s v="LP1-C1"/>
    <s v="Indicadores y metas de gobierno"/>
    <s v="PA-35"/>
    <x v="4"/>
    <s v="Subdirector(a) Restablecimiento de Derechos "/>
    <x v="55"/>
    <s v="Porcentaje de solicitudes de atención humanitaria cobradas en efectivo del programa de alimentación en la transición para hogares desplazados. "/>
    <n v="0.8"/>
    <n v="5.5813953488372094E-3"/>
    <m/>
    <x v="0"/>
    <x v="1"/>
    <m/>
    <x v="0"/>
    <x v="1"/>
    <x v="1"/>
    <m/>
    <m/>
    <x v="0"/>
    <x v="1"/>
    <s v="Trimestral"/>
    <s v="Marzo"/>
  </r>
  <r>
    <x v="4"/>
    <x v="4"/>
    <s v="MPM5-P1"/>
    <s v="Gestión Restablecimiento de Derechos"/>
    <m/>
    <s v="SIGE5"/>
    <s v="Garantizar la protección integral de los NNA en coordinación con las instancias del SNBF."/>
    <m/>
    <x v="0"/>
    <x v="0"/>
    <s v="LP1-C1"/>
    <s v="Indicadores y metas de gobierno"/>
    <s v="PA-36"/>
    <x v="4"/>
    <s v="Subdirector(a) Restablecimiento de Derechos "/>
    <x v="56"/>
    <s v="Porcentaje de Autoridades Administrativas y Equipos Técnicos Interdisciplinarios, capacitados en el proceso Administrativo de Restablecimiento de Derechos y temáticas afines."/>
    <n v="0.44"/>
    <n v="5.5813953488372094E-3"/>
    <m/>
    <x v="0"/>
    <x v="1"/>
    <m/>
    <x v="0"/>
    <x v="0"/>
    <x v="1"/>
    <m/>
    <m/>
    <x v="0"/>
    <x v="1"/>
    <s v="Anual "/>
    <s v="Diciembre"/>
  </r>
  <r>
    <x v="4"/>
    <x v="4"/>
    <s v="MPM5-P1"/>
    <s v="Gestión Restablecimiento de Derechos"/>
    <m/>
    <s v="SIGE5"/>
    <s v="Garantizar la protección integral de los NNA en coordinación con las instancias del SNBF."/>
    <m/>
    <x v="0"/>
    <x v="0"/>
    <s v="LP1-C1"/>
    <s v="Indicadores y metas de gobierno"/>
    <s v="PA-37"/>
    <x v="4"/>
    <s v="Subdirector(a) Restablecimiento de Derechos "/>
    <x v="57"/>
    <s v="Porcentaje de Defensorías de Familias  y equipos técnicos interdisciplinarios, capacitados en la ruta de actuaciones especiales en el proceso de restablecimiento de Derechos con enfoque diferencial y población."/>
    <n v="0.34"/>
    <n v="5.5813953488372094E-3"/>
    <m/>
    <x v="0"/>
    <x v="1"/>
    <m/>
    <x v="0"/>
    <x v="0"/>
    <x v="1"/>
    <m/>
    <m/>
    <x v="0"/>
    <x v="1"/>
    <s v="Trimestral"/>
    <s v="Marzo"/>
  </r>
  <r>
    <x v="4"/>
    <x v="4"/>
    <s v="MPM5-P1"/>
    <s v="Gestión Restablecimiento de Derechos"/>
    <m/>
    <s v="SIGE5"/>
    <s v="Garantizar la protección integral de los NNA en coordinación con las instancias del SNBF."/>
    <m/>
    <x v="0"/>
    <x v="0"/>
    <s v="LP1-C1"/>
    <s v="Indicadores y metas de gobierno"/>
    <s v="PA-38"/>
    <x v="4"/>
    <s v="Subdirector(a) Restablecimiento de Derechos "/>
    <x v="58"/>
    <s v="Número de municipios con asistencia técnica para la implementación de las rutas de atención integral para el Restablecimiento de Derechos de la menor de 14 años embarazada."/>
    <n v="100"/>
    <n v="5.5813953488372094E-3"/>
    <m/>
    <x v="0"/>
    <x v="1"/>
    <m/>
    <x v="0"/>
    <x v="0"/>
    <x v="0"/>
    <s v="x"/>
    <m/>
    <x v="1"/>
    <x v="1"/>
    <s v="Trimestral"/>
    <s v="Marzo"/>
  </r>
  <r>
    <x v="4"/>
    <x v="4"/>
    <s v="MPM5-P1"/>
    <s v="Gestión Restablecimiento de Derechos"/>
    <m/>
    <s v="SIGE5"/>
    <s v="Garantizar la protección integral de los NNA en coordinación con las instancias del SNBF."/>
    <m/>
    <x v="1"/>
    <x v="1"/>
    <s v="N/A"/>
    <s v="N/A"/>
    <s v="MPM5-P1-01"/>
    <x v="4"/>
    <s v="Subdirector(a) Restablecimiento de Derechos "/>
    <x v="59"/>
    <s v="Porcentaje de Niños, niñas y adolescentes en Proceso Administrativo de Restablecimiento de Derechos PARD ubicados en la modalidad de hogar sustituto o medio Institucional Internado con permanencia mayor a 12 meses."/>
    <n v="0.08"/>
    <n v="3.7499999999999999E-3"/>
    <m/>
    <x v="0"/>
    <x v="0"/>
    <s v="x"/>
    <x v="1"/>
    <x v="1"/>
    <x v="1"/>
    <m/>
    <m/>
    <x v="0"/>
    <x v="2"/>
    <s v="Mensual"/>
    <s v="Enero"/>
  </r>
  <r>
    <x v="4"/>
    <x v="4"/>
    <s v="MPM5-P1"/>
    <s v="Gestión Restablecimiento de Derechos"/>
    <m/>
    <s v="SIGE5"/>
    <s v="Garantizar la protección integral de los NNA en coordinación con las instancias del SNBF."/>
    <m/>
    <x v="1"/>
    <x v="1"/>
    <s v="N/A"/>
    <s v="N/A"/>
    <s v="MPM5-P1-02"/>
    <x v="4"/>
    <s v="Subdirector(a) Restablecimiento de Derechos "/>
    <x v="60"/>
    <s v="Porcentaje de niños, niñas y adolescentes que reingresan al proceso de restablecimiento de derechos."/>
    <n v="0"/>
    <n v="3.7499999999999999E-3"/>
    <m/>
    <x v="0"/>
    <x v="0"/>
    <s v="x"/>
    <x v="1"/>
    <x v="1"/>
    <x v="1"/>
    <m/>
    <m/>
    <x v="0"/>
    <x v="2"/>
    <s v="Mensual"/>
    <s v="Enero"/>
  </r>
  <r>
    <x v="4"/>
    <x v="4"/>
    <s v="MPM5-P1"/>
    <s v="Gestión Restablecimiento de Derechos"/>
    <m/>
    <s v="SIGE5"/>
    <s v="Garantizar la protección integral de los NNA en coordinación con las instancias del SNBF."/>
    <m/>
    <x v="1"/>
    <x v="1"/>
    <s v="N/A"/>
    <s v="N/A"/>
    <s v="MPM5-P1-03"/>
    <x v="4"/>
    <s v="Subdirector(a) Restablecimiento de Derechos "/>
    <x v="61"/>
    <s v="Porcentaje de niños, niñas o adolescentes con auto de apertura de investigación que llevan entre 121 y 180 días sin situación legal definida o con fallos ejecutoriados pendientes."/>
    <n v="0"/>
    <n v="3.7499999999999999E-3"/>
    <m/>
    <x v="0"/>
    <x v="0"/>
    <s v="x"/>
    <x v="1"/>
    <x v="1"/>
    <x v="1"/>
    <m/>
    <m/>
    <x v="0"/>
    <x v="2"/>
    <s v="Mensual"/>
    <s v="Enero"/>
  </r>
  <r>
    <x v="4"/>
    <x v="4"/>
    <s v="MPM5-P1"/>
    <s v="Gestión Restablecimiento de Derechos"/>
    <m/>
    <s v="SIGE5"/>
    <s v="Garantizar la protección integral de los NNA en coordinación con las instancias del SNBF."/>
    <m/>
    <x v="1"/>
    <x v="1"/>
    <s v="N/A"/>
    <s v="N/A"/>
    <s v="MPM5-P1-04"/>
    <x v="4"/>
    <s v="Subdirector(a) Restablecimiento de Derechos "/>
    <x v="62"/>
    <s v="Porcentaje de niños, niñas y adolescentes con auto de apertura de investigación que llevan más de 180 días sin situación legal definida o con fallos ejecutoriados pendientes. "/>
    <n v="0"/>
    <n v="3.7499999999999999E-3"/>
    <m/>
    <x v="0"/>
    <x v="0"/>
    <s v="x"/>
    <x v="1"/>
    <x v="1"/>
    <x v="1"/>
    <m/>
    <m/>
    <x v="0"/>
    <x v="2"/>
    <s v="Mensual"/>
    <s v="Enero"/>
  </r>
  <r>
    <x v="4"/>
    <x v="4"/>
    <s v="MPM5-P1"/>
    <s v="Gestión Restablecimiento de Derechos"/>
    <m/>
    <s v="SIGE5"/>
    <s v="Garantizar la protección integral de los NNA en coordinación con las instancias del SNBF."/>
    <m/>
    <x v="1"/>
    <x v="1"/>
    <s v="N/A"/>
    <s v="N/A"/>
    <s v="MPM5-P1-05"/>
    <x v="4"/>
    <s v="Subdirector(a) Restablecimiento de Derechos "/>
    <x v="63"/>
    <s v="Porcentaje de procesos administrativos de restablecimiento de derechos que son remitidos a Juzgados de Familia, por pérdida de competencia."/>
    <n v="1"/>
    <n v="1.276595744680851E-3"/>
    <m/>
    <x v="0"/>
    <x v="0"/>
    <s v="x"/>
    <x v="1"/>
    <x v="1"/>
    <x v="1"/>
    <m/>
    <m/>
    <x v="0"/>
    <x v="1"/>
    <s v="Mensual"/>
    <s v="Enero"/>
  </r>
  <r>
    <x v="4"/>
    <x v="4"/>
    <s v="MPM5-P1"/>
    <s v="Gestión Restablecimiento de Derechos"/>
    <m/>
    <s v="SIGE5"/>
    <s v="Garantizar la protección integral de los NNA en coordinación con las instancias del SNBF."/>
    <m/>
    <x v="1"/>
    <x v="1"/>
    <s v="N/A"/>
    <s v="N/A"/>
    <s v="MPM5-P1-06"/>
    <x v="4"/>
    <s v="Subdirector(a) Restablecimiento de Derechos "/>
    <x v="64"/>
    <s v="Porcentaje del presupuesto ejecutado (obligaciones acumuladas de la vigencia), del total del presupuesto asignado como proyecto de inversión de Protección."/>
    <n v="1"/>
    <n v="1.276595744680851E-3"/>
    <m/>
    <x v="0"/>
    <x v="0"/>
    <m/>
    <x v="1"/>
    <x v="1"/>
    <x v="1"/>
    <m/>
    <m/>
    <x v="1"/>
    <x v="1"/>
    <s v="Mensual"/>
    <s v="Enero"/>
  </r>
  <r>
    <x v="4"/>
    <x v="4"/>
    <s v="MPM5-P1"/>
    <s v="Gestión Restablecimiento de Derechos"/>
    <m/>
    <s v="SIGE5"/>
    <s v="Garantizar la protección integral de los NNA en coordinación con las instancias del SNBF."/>
    <m/>
    <x v="1"/>
    <x v="1"/>
    <s v="N/A"/>
    <s v="N/A"/>
    <s v="MPM5-P1-07"/>
    <x v="4"/>
    <s v="Subdirector(a) Restablecimiento de Derechos "/>
    <x v="65"/>
    <s v="Porcentaje  de familias con personas con discapacidad  en situación de vulnerabilidad (SISBEN bajo criterio de inclusión determinados por el ICBF), que ingresaron al programa UNAFA y cumplieron los objetivos del mismo."/>
    <n v="0.94"/>
    <n v="3.7499999999999999E-3"/>
    <m/>
    <x v="0"/>
    <x v="0"/>
    <m/>
    <x v="1"/>
    <x v="1"/>
    <x v="1"/>
    <m/>
    <m/>
    <x v="0"/>
    <x v="2"/>
    <s v="Anual "/>
    <s v="Diciembre"/>
  </r>
  <r>
    <x v="4"/>
    <x v="4"/>
    <s v="MPM5-P1"/>
    <s v="Gestión Restablecimiento de Derechos"/>
    <m/>
    <s v="SIGE5"/>
    <s v="Garantizar la protección integral de los NNA en coordinación con las instancias del SNBF."/>
    <m/>
    <x v="1"/>
    <x v="1"/>
    <s v="N/A"/>
    <s v="N/A"/>
    <s v="MPM5-P1-08"/>
    <x v="4"/>
    <s v="Subdirector(a) Restablecimiento de Derechos "/>
    <x v="66"/>
    <s v="Porcentaje de niños, niñas, adolescentes y mayores de 18 años con discapacidad atendidos en situación de inobservancia, amenaza o vulneración de sus derechos "/>
    <n v="1"/>
    <n v="3.7499999999999999E-3"/>
    <m/>
    <x v="0"/>
    <x v="0"/>
    <m/>
    <x v="1"/>
    <x v="1"/>
    <x v="1"/>
    <m/>
    <m/>
    <x v="0"/>
    <x v="2"/>
    <s v="Trimestral"/>
    <s v="Marzo"/>
  </r>
  <r>
    <x v="4"/>
    <x v="4"/>
    <s v="MPM5-P1"/>
    <s v="Gestión Restablecimiento de Derechos"/>
    <m/>
    <s v="SIGE5"/>
    <s v="Garantizar la protección integral de los NNA en coordinación con las instancias del SNBF."/>
    <m/>
    <x v="1"/>
    <x v="1"/>
    <s v="N/A"/>
    <s v="N/A"/>
    <s v="MPM5-P1-09"/>
    <x v="4"/>
    <s v="Subdirector(a) Restablecimiento de Derechos "/>
    <x v="67"/>
    <s v="Porcentaje de casos de niños, niñas y adolescentes que luego de ser devueltos por el comité de adopciones, se les resuelve  su situación, presentándose nuevamente a comité o reintegrándose a su medio familiar."/>
    <n v="0.8"/>
    <n v="3.7499999999999999E-3"/>
    <m/>
    <x v="0"/>
    <x v="0"/>
    <s v="x"/>
    <x v="1"/>
    <x v="1"/>
    <x v="1"/>
    <m/>
    <m/>
    <x v="0"/>
    <x v="2"/>
    <s v="Trimestral"/>
    <s v="Marzo"/>
  </r>
  <r>
    <x v="4"/>
    <x v="4"/>
    <s v="MPM5-P1"/>
    <s v="Gestión Restablecimiento de Derechos"/>
    <m/>
    <s v="SIGE5"/>
    <s v="Garantizar la protección integral de los NNA en coordinación con las instancias del SNBF."/>
    <m/>
    <x v="1"/>
    <x v="1"/>
    <s v="N/A"/>
    <s v="N/A"/>
    <s v="MPM5-P1-10"/>
    <x v="4"/>
    <s v="Subdirector(a) Restablecimiento de Derechos "/>
    <x v="68"/>
    <s v="Porcentaje de cumplimiento a la proyección de ejecución presupuestal de compromisos"/>
    <n v="1"/>
    <n v="1.276595744680851E-3"/>
    <m/>
    <x v="0"/>
    <x v="1"/>
    <m/>
    <x v="1"/>
    <x v="1"/>
    <x v="1"/>
    <m/>
    <m/>
    <x v="1"/>
    <x v="1"/>
    <s v="Mensual"/>
    <s v="Marzo"/>
  </r>
  <r>
    <x v="4"/>
    <x v="4"/>
    <s v="MPM5-P2"/>
    <s v="Gestión de Adopciones"/>
    <m/>
    <s v="SIGE5"/>
    <s v="Garantizar la protección integral de los NNA en coordinación con las instancias del SNBF."/>
    <m/>
    <x v="0"/>
    <x v="0"/>
    <s v="LP1-C1"/>
    <s v="Indicadores y metas de gobierno"/>
    <s v="PA-39"/>
    <x v="5"/>
    <s v="Subdirector(a) Adopciones"/>
    <x v="69"/>
    <s v="Porcentaje de Niños, niñas y adolescentes en situación de adoptabilidad en firme,  por consentimiento o por autorización,  SIN características especiales presentados a comité de adopciones, con familia asignada."/>
    <n v="1"/>
    <n v="9.3023255813953487E-3"/>
    <m/>
    <x v="0"/>
    <x v="0"/>
    <m/>
    <x v="0"/>
    <x v="1"/>
    <x v="1"/>
    <m/>
    <m/>
    <x v="0"/>
    <x v="2"/>
    <s v="Mensual"/>
    <s v="Enero"/>
  </r>
  <r>
    <x v="4"/>
    <x v="4"/>
    <s v="MPM5-P2"/>
    <s v="Gestión de Adopciones"/>
    <m/>
    <s v="SIGE5"/>
    <s v="Garantizar la protección integral de los NNA en coordinación con las instancias del SNBF."/>
    <m/>
    <x v="0"/>
    <x v="0"/>
    <s v="LP1-C1"/>
    <s v="Indicadores y metas de gobierno"/>
    <s v="PA-40"/>
    <x v="5"/>
    <s v="Subdirector(a) Adopciones"/>
    <x v="70"/>
    <s v="Porcentaje de Niños, niñas y adolescentes en situación de adoptabilidad en firme, por consentimiento o por autorización,  CON características y necesidades especiales y posibilidad de adopción presentados a comité de adopciones, con familia asignada."/>
    <n v="0.55000000000000004"/>
    <n v="9.3023255813953487E-3"/>
    <m/>
    <x v="0"/>
    <x v="0"/>
    <m/>
    <x v="0"/>
    <x v="0"/>
    <x v="1"/>
    <s v="x"/>
    <m/>
    <x v="0"/>
    <x v="2"/>
    <s v="Mensual"/>
    <s v="Enero"/>
  </r>
  <r>
    <x v="4"/>
    <x v="4"/>
    <s v="MPM5-P2"/>
    <s v="Gestión de Adopciones"/>
    <m/>
    <s v="SIGE5"/>
    <s v="Garantizar la protección integral de los NNA en coordinación con las instancias del SNBF."/>
    <m/>
    <x v="0"/>
    <x v="0"/>
    <s v="LP1-C1"/>
    <s v="Indicadores y metas de gobierno"/>
    <s v="PA-41"/>
    <x v="5"/>
    <s v="Subdirector(a) Adopciones"/>
    <x v="71"/>
    <s v="Porcentaje  de niños, niñas y adolescentes que a partir de la fecha de sentencia de adopción en firme, cumplen con el número de informes de seguimientos post adopción en el periodo establecido."/>
    <n v="1"/>
    <n v="5.5813953488372094E-3"/>
    <m/>
    <x v="0"/>
    <x v="0"/>
    <m/>
    <x v="0"/>
    <x v="0"/>
    <x v="1"/>
    <m/>
    <m/>
    <x v="0"/>
    <x v="1"/>
    <s v="Mensual"/>
    <s v="Enero"/>
  </r>
  <r>
    <x v="4"/>
    <x v="4"/>
    <s v="MPM5-P2"/>
    <s v="Gestión de Adopciones"/>
    <m/>
    <s v="SIGE5"/>
    <s v="Garantizar la protección integral de los NNA en coordinación con las instancias del SNBF."/>
    <m/>
    <x v="1"/>
    <x v="1"/>
    <s v="N/A"/>
    <s v="N/A"/>
    <s v="MPM5-P2-01"/>
    <x v="5"/>
    <s v="Subdirector(a) Adopciones"/>
    <x v="72"/>
    <s v="Porcentaje de niños, niñas y adolescentes que  luego de tener la  sentencia de adopción en firme, presentan apertura de un Proceso Administrativo de Restablecimiento de Derechos PARD."/>
    <n v="0.1"/>
    <n v="3.7499999999999999E-3"/>
    <m/>
    <x v="0"/>
    <x v="0"/>
    <m/>
    <x v="1"/>
    <x v="1"/>
    <x v="1"/>
    <m/>
    <m/>
    <x v="0"/>
    <x v="2"/>
    <s v="Semestral"/>
    <s v="Junio"/>
  </r>
  <r>
    <x v="4"/>
    <x v="4"/>
    <s v="MPM5-P3"/>
    <s v="Gestión Responsabilidad Penal"/>
    <m/>
    <s v="SIGE5"/>
    <s v="Garantizar la protección integral de los NNA en coordinación con las instancias del SNBF."/>
    <m/>
    <x v="0"/>
    <x v="0"/>
    <s v="LP1-C1"/>
    <s v="Indicadores y metas de gobierno"/>
    <s v="PA-42"/>
    <x v="6"/>
    <s v="Subdirector(a) Responsabilidad penal"/>
    <x v="73"/>
    <s v="Porcentaje de adolescentes con más de seis meses de permanencia en el  Programa de Atención  con la garantía de ejercicio de  sus derechos (Identidad, Salud y Educación)"/>
    <n v="0.25"/>
    <n v="9.3023255813953487E-3"/>
    <m/>
    <x v="0"/>
    <x v="0"/>
    <m/>
    <x v="0"/>
    <x v="0"/>
    <x v="0"/>
    <s v="x"/>
    <m/>
    <x v="0"/>
    <x v="2"/>
    <s v="Semestral"/>
    <s v="Junio"/>
  </r>
  <r>
    <x v="4"/>
    <x v="4"/>
    <s v="MPM5-P3"/>
    <s v="Gestión Responsabilidad Penal"/>
    <m/>
    <s v="SIGE5"/>
    <s v="Garantizar la protección integral de los NNA en coordinación con las instancias del SNBF."/>
    <m/>
    <x v="0"/>
    <x v="0"/>
    <s v="LP1-C1"/>
    <s v="Indicadores y metas de gobierno"/>
    <s v="PA-43"/>
    <x v="6"/>
    <s v="Subdirector(a) Responsabilidad penal"/>
    <x v="74"/>
    <s v="Porcentaje de adolescentes y jóvenes que egresan el último año del SRPA atendidos con estrategias post egreso o inclusión social."/>
    <n v="0.12"/>
    <n v="5.5813953488372094E-3"/>
    <m/>
    <x v="0"/>
    <x v="1"/>
    <m/>
    <x v="0"/>
    <x v="0"/>
    <x v="0"/>
    <s v="x"/>
    <m/>
    <x v="0"/>
    <x v="1"/>
    <s v="Semestral"/>
    <s v="Junio"/>
  </r>
  <r>
    <x v="4"/>
    <x v="4"/>
    <s v="MPM5-P3"/>
    <s v="Gestión Responsabilidad Penal"/>
    <m/>
    <s v="SIGE5"/>
    <s v="Garantizar la protección integral de los NNA en coordinación con las instancias del SNBF."/>
    <m/>
    <x v="0"/>
    <x v="0"/>
    <s v="LP1-C1"/>
    <s v="Indicadores y metas de gobierno"/>
    <s v="PA-44"/>
    <x v="6"/>
    <s v="Subdirector(a) Responsabilidad penal"/>
    <x v="75"/>
    <s v="Porcentaje de Regionales con la implementación de servicios para el cumplimiento de sanciones no privativas de libertad."/>
    <n v="0.25"/>
    <n v="5.5813953488372094E-3"/>
    <m/>
    <x v="0"/>
    <x v="1"/>
    <m/>
    <x v="0"/>
    <x v="0"/>
    <x v="1"/>
    <m/>
    <m/>
    <x v="0"/>
    <x v="1"/>
    <s v="Trimestral"/>
    <s v="Marzo"/>
  </r>
  <r>
    <x v="4"/>
    <x v="4"/>
    <s v="MPM5-P3"/>
    <s v="Gestión Responsabilidad Penal"/>
    <m/>
    <s v="SIGE5"/>
    <s v="Garantizar la protección integral de los NNA en coordinación con las instancias del SNBF."/>
    <m/>
    <x v="0"/>
    <x v="0"/>
    <s v="LP1-C1"/>
    <s v="Indicadores y metas de gobierno"/>
    <s v="PA-45"/>
    <x v="6"/>
    <s v="Subdirector(a) Responsabilidad penal"/>
    <x v="76"/>
    <s v="Porcentaje de Unidades de Servicio de Atención a adolescentes y jóvenes del Sistema de Responsbilidad Penal - SRPA, con implementación de procesos de formación en prácticas restaurativas"/>
    <n v="0.5"/>
    <n v="5.5813953488372094E-3"/>
    <m/>
    <x v="0"/>
    <x v="1"/>
    <m/>
    <x v="0"/>
    <x v="0"/>
    <x v="0"/>
    <s v="x"/>
    <m/>
    <x v="0"/>
    <x v="1"/>
    <s v="Trimestral"/>
    <s v="Marzo"/>
  </r>
  <r>
    <x v="4"/>
    <x v="4"/>
    <s v="MPM5-P3"/>
    <s v="Gestión Responsabilidad Penal"/>
    <m/>
    <s v="SIGE5"/>
    <s v="Garantizar la protección integral de los NNA en coordinación con las instancias del SNBF."/>
    <m/>
    <x v="1"/>
    <x v="1"/>
    <s v="N/A"/>
    <s v="N/A"/>
    <s v="MPM5-P3-01"/>
    <x v="6"/>
    <s v="Subdirector(a) Responsabilidad penal"/>
    <x v="77"/>
    <s v="Porcentaje de adolescentes con reiteración en el Sistema de Responsabilidad Penal para adolescentes por el mismo delito  u otro diferente ."/>
    <n v="0.2"/>
    <n v="3.7499999999999999E-3"/>
    <m/>
    <x v="0"/>
    <x v="0"/>
    <m/>
    <x v="1"/>
    <x v="1"/>
    <x v="1"/>
    <m/>
    <m/>
    <x v="0"/>
    <x v="2"/>
    <s v="Trimestral"/>
    <s v="Marzo"/>
  </r>
  <r>
    <x v="5"/>
    <x v="5"/>
    <s v="MPA1-P1"/>
    <s v="Gestión Huma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2"/>
    <x v="2"/>
    <s v="LP3-C4"/>
    <s v="Bienestar e Incentivos"/>
    <s v="PA-46"/>
    <x v="7"/>
    <s v="Director(a) Gestión Humana"/>
    <x v="78"/>
    <s v="Porcentaje de cobertura del plan de Bienestar"/>
    <n v="1"/>
    <n v="5.5813953488372094E-3"/>
    <m/>
    <x v="0"/>
    <x v="0"/>
    <m/>
    <x v="0"/>
    <x v="1"/>
    <x v="1"/>
    <m/>
    <m/>
    <x v="0"/>
    <x v="1"/>
    <s v="Bimestral"/>
    <s v="Junio"/>
  </r>
  <r>
    <x v="5"/>
    <x v="5"/>
    <s v="MPA1-P1"/>
    <s v="Gestión Huma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2"/>
    <x v="2"/>
    <s v="LP3-C2"/>
    <s v="Plan Anual de Vacantes"/>
    <s v="PA-47"/>
    <x v="7"/>
    <s v="Director(a) Gestión Humana"/>
    <x v="79"/>
    <s v="Porcentaje de vacantes en la planta global"/>
    <n v="1"/>
    <n v="5.5813953488372094E-3"/>
    <m/>
    <x v="0"/>
    <x v="1"/>
    <m/>
    <x v="0"/>
    <x v="1"/>
    <x v="1"/>
    <m/>
    <m/>
    <x v="0"/>
    <x v="1"/>
    <s v="Trimestral"/>
    <s v="Marzo"/>
  </r>
  <r>
    <x v="5"/>
    <x v="5"/>
    <s v="MPA1-P1"/>
    <s v="Gestión Huma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2"/>
    <x v="2"/>
    <s v="LP3-C3"/>
    <s v="Capacitación"/>
    <s v="PA-48"/>
    <x v="7"/>
    <s v="Director(a) Gestión Humana"/>
    <x v="80"/>
    <s v="Porcentaje de servidores capacitados"/>
    <n v="0.87"/>
    <n v="5.5813953488372094E-3"/>
    <m/>
    <x v="0"/>
    <x v="0"/>
    <m/>
    <x v="0"/>
    <x v="1"/>
    <x v="1"/>
    <m/>
    <m/>
    <x v="0"/>
    <x v="1"/>
    <s v="Bimestral"/>
    <s v="Abril"/>
  </r>
  <r>
    <x v="5"/>
    <x v="5"/>
    <s v="MPA1-P1"/>
    <s v="Gestión Huma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2"/>
    <x v="2"/>
    <s v="LP3-C1"/>
    <s v="Plan Estratégico de Recursos Humanos"/>
    <s v="PA-49"/>
    <x v="7"/>
    <s v="Director(a) Gestión Humana"/>
    <x v="81"/>
    <s v="Porcentaje de avance en  la implementación del  Plan Estratégico de Gestión Humana. "/>
    <n v="0.35"/>
    <n v="5.5813953488372094E-3"/>
    <m/>
    <x v="0"/>
    <x v="1"/>
    <m/>
    <x v="0"/>
    <x v="0"/>
    <x v="1"/>
    <m/>
    <m/>
    <x v="0"/>
    <x v="1"/>
    <s v="Trimestral"/>
    <s v="Marzo"/>
  </r>
  <r>
    <x v="5"/>
    <x v="5"/>
    <s v="MPA1-P1"/>
    <s v="Gestión Humana"/>
    <m/>
    <s v="SIGE7"/>
    <s v="Promover condiciones laborales que hagan del ICBF el mejor lugar para trabajar."/>
    <m/>
    <x v="1"/>
    <x v="1"/>
    <s v="N/A"/>
    <s v="N/A"/>
    <s v="MPA1-P1-01"/>
    <x v="7"/>
    <s v="Director(a) Gestión Humana"/>
    <x v="82"/>
    <s v="Porcentaje de ocurrencia de accidentes de trabajo"/>
    <n v="0.1"/>
    <n v="1.276595744680851E-3"/>
    <m/>
    <x v="0"/>
    <x v="1"/>
    <m/>
    <x v="1"/>
    <x v="1"/>
    <x v="1"/>
    <m/>
    <m/>
    <x v="0"/>
    <x v="1"/>
    <s v="Bimestral"/>
    <s v="Febrero"/>
  </r>
  <r>
    <x v="5"/>
    <x v="5"/>
    <s v="MPA1-P1"/>
    <s v="Gestión Humana"/>
    <m/>
    <s v="SIGE7"/>
    <s v="Promover condiciones laborales que hagan del ICBF el mejor lugar para trabajar."/>
    <m/>
    <x v="1"/>
    <x v="1"/>
    <s v="N/A"/>
    <s v="N/A"/>
    <s v="MPA1-P1-02"/>
    <x v="7"/>
    <s v="Director(a) Gestión Humana"/>
    <x v="83"/>
    <s v="Porcentaje de cumplimiento en actividades de seguridad y salud en el trabajo SG-SST"/>
    <n v="1"/>
    <n v="1.276595744680851E-3"/>
    <m/>
    <x v="0"/>
    <x v="0"/>
    <m/>
    <x v="1"/>
    <x v="1"/>
    <x v="1"/>
    <m/>
    <m/>
    <x v="0"/>
    <x v="1"/>
    <s v="Bimestral"/>
    <s v="Abril"/>
  </r>
  <r>
    <x v="5"/>
    <x v="5"/>
    <s v="MPA1-P1"/>
    <s v="Gestión Huma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1"/>
    <x v="1"/>
    <s v="N/A"/>
    <s v="N/A"/>
    <s v="MPA1-P1-03"/>
    <x v="7"/>
    <s v="Director(a) Gestión Humana"/>
    <x v="84"/>
    <s v="Porcentaje de satisfacción de actividades ejecutadas dentro del Plan de Bienestar"/>
    <n v="0.8"/>
    <n v="1.276595744680851E-3"/>
    <m/>
    <x v="0"/>
    <x v="1"/>
    <m/>
    <x v="1"/>
    <x v="1"/>
    <x v="1"/>
    <m/>
    <m/>
    <x v="0"/>
    <x v="1"/>
    <s v="Bimestral"/>
    <s v="Junio"/>
  </r>
  <r>
    <x v="5"/>
    <x v="5"/>
    <s v="MPA1-P1"/>
    <s v="Gestión Huma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1"/>
    <x v="1"/>
    <s v="N/A"/>
    <s v="N/A"/>
    <s v="MPA1-P1-04"/>
    <x v="7"/>
    <s v="Director(a) Gestión Humana"/>
    <x v="85"/>
    <s v="Porcentaje de eficacia de la capacitación realizadas a servidores públicos"/>
    <n v="0.85"/>
    <n v="1.276595744680851E-3"/>
    <m/>
    <x v="0"/>
    <x v="1"/>
    <m/>
    <x v="1"/>
    <x v="1"/>
    <x v="1"/>
    <m/>
    <m/>
    <x v="0"/>
    <x v="1"/>
    <s v="Bimestral"/>
    <s v="Abril"/>
  </r>
  <r>
    <x v="5"/>
    <x v="5"/>
    <s v="MPA1-P1"/>
    <s v="Gestión Humana"/>
    <m/>
    <s v="SIGE7"/>
    <s v="Promover condiciones laborales que hagan del ICBF el mejor lugar para trabajar."/>
    <m/>
    <x v="1"/>
    <x v="1"/>
    <s v="N/A"/>
    <s v="N/A"/>
    <s v="MPA1-P1-05"/>
    <x v="7"/>
    <s v="Director(a) Gestión Humana"/>
    <x v="86"/>
    <s v="Porcentaje de condiciones inseguras corregidas derivadas de las inspecciones realizadas"/>
    <n v="1"/>
    <n v="1.276595744680851E-3"/>
    <m/>
    <x v="0"/>
    <x v="0"/>
    <m/>
    <x v="1"/>
    <x v="1"/>
    <x v="1"/>
    <m/>
    <m/>
    <x v="0"/>
    <x v="1"/>
    <s v="Trimestral"/>
    <s v="Marzo"/>
  </r>
  <r>
    <x v="5"/>
    <x v="5"/>
    <s v="MPA1-P1"/>
    <s v="Gestión Huma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1"/>
    <x v="1"/>
    <s v="N/A"/>
    <s v="N/A"/>
    <s v="MPA1-P1-07"/>
    <x v="7"/>
    <s v="Director(a) Gestión Humana"/>
    <x v="87"/>
    <s v="Porcentaje de colaboradores incapacitados enfermedad común, laboral y/o accidente de trabajo"/>
    <n v="0.05"/>
    <n v="1.276595744680851E-3"/>
    <m/>
    <x v="0"/>
    <x v="0"/>
    <m/>
    <x v="1"/>
    <x v="1"/>
    <x v="1"/>
    <m/>
    <m/>
    <x v="0"/>
    <x v="1"/>
    <s v="Bimestral"/>
    <s v="Abril"/>
  </r>
  <r>
    <x v="5"/>
    <x v="5"/>
    <s v="MPA1-P1"/>
    <s v="Gestión Huma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1"/>
    <x v="1"/>
    <s v="N/A"/>
    <s v="N/A"/>
    <s v="MPA1-P1-08"/>
    <x v="7"/>
    <s v="Director(a) Gestión Humana"/>
    <x v="88"/>
    <s v="Porcentaje de cargos en la planta global provistos"/>
    <n v="0.98"/>
    <n v="1.276595744680851E-3"/>
    <m/>
    <x v="0"/>
    <x v="1"/>
    <m/>
    <x v="1"/>
    <x v="1"/>
    <x v="1"/>
    <m/>
    <m/>
    <x v="0"/>
    <x v="1"/>
    <s v="Trimestral"/>
    <s v="Marzo"/>
  </r>
  <r>
    <x v="5"/>
    <x v="5"/>
    <s v="MPA1-P1"/>
    <s v="Gestión Huma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1"/>
    <x v="1"/>
    <s v="N/A"/>
    <s v="N/A"/>
    <s v="MPA1-P1-09"/>
    <x v="7"/>
    <s v="Director(a) Gestión Humana"/>
    <x v="89"/>
    <s v="Porcentaje de etapas implementadas para la ejecución de los proyectos de aprendizaje en equipo"/>
    <n v="1"/>
    <n v="1.276595744680851E-3"/>
    <m/>
    <x v="0"/>
    <x v="1"/>
    <m/>
    <x v="1"/>
    <x v="1"/>
    <x v="1"/>
    <m/>
    <m/>
    <x v="0"/>
    <x v="1"/>
    <s v="Trimestral"/>
    <s v="Junio"/>
  </r>
  <r>
    <x v="5"/>
    <x v="5"/>
    <s v="MPA1-P1"/>
    <s v="Gestión Huma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1"/>
    <x v="1"/>
    <s v="N/A"/>
    <s v="N/A"/>
    <s v="MPA1-P1-10"/>
    <x v="7"/>
    <s v="Director(a) Gestión Humana"/>
    <x v="90"/>
    <s v="Porcentaje de cumplimiento a la proyección de ejecución presupuestal de compromisos"/>
    <n v="1"/>
    <n v="1.276595744680851E-3"/>
    <m/>
    <x v="0"/>
    <x v="1"/>
    <m/>
    <x v="1"/>
    <x v="1"/>
    <x v="1"/>
    <m/>
    <m/>
    <x v="1"/>
    <x v="1"/>
    <s v="Mensual"/>
    <s v="Marzo"/>
  </r>
  <r>
    <x v="5"/>
    <x v="5"/>
    <s v="MPA1-P2"/>
    <s v="Gestión Financier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3"/>
    <x v="3"/>
    <s v="LP5-C2"/>
    <s v="Programa Anual Mensualizado de Caja – PAC"/>
    <s v="PA-50"/>
    <x v="8"/>
    <s v="Director(a) anciera "/>
    <x v="91"/>
    <s v="Porcentaje de ejecución de pac recursos nación"/>
    <n v="1"/>
    <n v="5.5813953488372094E-3"/>
    <m/>
    <x v="0"/>
    <x v="0"/>
    <m/>
    <x v="0"/>
    <x v="0"/>
    <x v="1"/>
    <m/>
    <m/>
    <x v="1"/>
    <x v="1"/>
    <s v="Mensual"/>
    <s v="Enero"/>
  </r>
  <r>
    <x v="5"/>
    <x v="5"/>
    <s v="MPA1-P2"/>
    <s v="Gestión Financier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3"/>
    <x v="3"/>
    <s v="LP5-C2"/>
    <s v="Programa Anual Mensualizado de Caja – PAC"/>
    <s v="PA-51"/>
    <x v="8"/>
    <s v="Director(a) anciera "/>
    <x v="92"/>
    <s v="Porcentaje de ejecución de pac recursos propios"/>
    <n v="1"/>
    <n v="5.5813953488372094E-3"/>
    <m/>
    <x v="0"/>
    <x v="0"/>
    <m/>
    <x v="0"/>
    <x v="0"/>
    <x v="1"/>
    <m/>
    <m/>
    <x v="1"/>
    <x v="1"/>
    <s v="Mensual"/>
    <s v="Enero"/>
  </r>
  <r>
    <x v="5"/>
    <x v="5"/>
    <s v="MPA1-P2"/>
    <s v="Gestión Financier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1"/>
    <x v="1"/>
    <s v="N/A"/>
    <s v="N/A"/>
    <s v="MPA1-P2-01"/>
    <x v="8"/>
    <s v="Director(a) anciera "/>
    <x v="93"/>
    <s v="Porcentaje de ejecución de los compromisos presupuestales establecidos en la vigencia"/>
    <n v="0.95"/>
    <n v="1.276595744680851E-3"/>
    <m/>
    <x v="0"/>
    <x v="0"/>
    <m/>
    <x v="1"/>
    <x v="1"/>
    <x v="1"/>
    <m/>
    <m/>
    <x v="1"/>
    <x v="1"/>
    <s v="Mensual"/>
    <s v="Enero"/>
  </r>
  <r>
    <x v="5"/>
    <x v="5"/>
    <s v="MPA1-P2"/>
    <s v="Gestión Financier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1"/>
    <x v="1"/>
    <s v="N/A"/>
    <s v="N/A"/>
    <s v="MPA1-P2-02"/>
    <x v="8"/>
    <s v="Director(a) anciera "/>
    <x v="94"/>
    <s v="Porcentaje de ejecución de los obligaciones presupuestales establecidos en la vigencia"/>
    <n v="0.98"/>
    <n v="1.276595744680851E-3"/>
    <m/>
    <x v="0"/>
    <x v="0"/>
    <m/>
    <x v="1"/>
    <x v="1"/>
    <x v="1"/>
    <m/>
    <m/>
    <x v="1"/>
    <x v="1"/>
    <s v="Mensual"/>
    <s v="Enero"/>
  </r>
  <r>
    <x v="5"/>
    <x v="5"/>
    <s v="MPA1-P2"/>
    <s v="Gestión Financier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1"/>
    <x v="1"/>
    <s v="N/A"/>
    <s v="N/A"/>
    <s v="MPA1-P2-03"/>
    <x v="8"/>
    <s v="Director(a) anciera "/>
    <x v="95"/>
    <s v="Porcentaje de cumplimiento a la proyección de ejecución presupuestal de compromisos"/>
    <n v="1"/>
    <n v="1.276595744680851E-3"/>
    <m/>
    <x v="0"/>
    <x v="1"/>
    <m/>
    <x v="1"/>
    <x v="1"/>
    <x v="1"/>
    <m/>
    <m/>
    <x v="1"/>
    <x v="1"/>
    <s v="Mensual"/>
    <s v="Marzo"/>
  </r>
  <r>
    <x v="5"/>
    <x v="5"/>
    <s v="MPA1-P3"/>
    <s v="Gestión Control interno Disciplinario"/>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0"/>
    <x v="0"/>
    <s v="LP1-C1"/>
    <s v="Indicadores y metas de gobierno"/>
    <s v="PA-52"/>
    <x v="9"/>
    <s v="Jefe Oficina de Control Interno Disciplinario"/>
    <x v="96"/>
    <s v="Porcentaje de quejas disciplinarias de vigencias anteriores tramitadas "/>
    <n v="0.8"/>
    <n v="5.5813953488372094E-3"/>
    <m/>
    <x v="0"/>
    <x v="1"/>
    <m/>
    <x v="0"/>
    <x v="0"/>
    <x v="1"/>
    <m/>
    <m/>
    <x v="0"/>
    <x v="1"/>
    <s v="Trimestral"/>
    <s v="Marzo"/>
  </r>
  <r>
    <x v="5"/>
    <x v="5"/>
    <s v="MPA1-P3"/>
    <s v="Gestión Control interno Disciplinario"/>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1"/>
    <x v="1"/>
    <s v="N/A"/>
    <s v="N/A"/>
    <s v="MPA1-P3-01"/>
    <x v="9"/>
    <s v="Jefe Oficina de Control Interno Disciplinario"/>
    <x v="97"/>
    <s v="Porcentaje de Decisiones confirmadas y recurridas"/>
    <n v="1"/>
    <n v="1.276595744680851E-3"/>
    <m/>
    <x v="0"/>
    <x v="1"/>
    <m/>
    <x v="1"/>
    <x v="1"/>
    <x v="1"/>
    <m/>
    <m/>
    <x v="0"/>
    <x v="1"/>
    <s v="Semestral"/>
    <s v="Junio"/>
  </r>
  <r>
    <x v="5"/>
    <x v="5"/>
    <s v="MPA1-P3"/>
    <s v="Gestión Control interno Disciplinario"/>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1"/>
    <x v="1"/>
    <s v="N/A"/>
    <s v="N/A"/>
    <s v="MPA1-P3-02"/>
    <x v="9"/>
    <s v="Jefe Oficina de Control Interno Disciplinario"/>
    <x v="98"/>
    <s v="Porcentaje de quejas disciplinarias de la vigencia actual tramitadas ."/>
    <n v="0.2"/>
    <n v="1.276595744680851E-3"/>
    <m/>
    <x v="0"/>
    <x v="1"/>
    <m/>
    <x v="1"/>
    <x v="1"/>
    <x v="1"/>
    <m/>
    <m/>
    <x v="0"/>
    <x v="1"/>
    <s v="Trimestral"/>
    <s v="Marzo"/>
  </r>
  <r>
    <x v="5"/>
    <x v="5"/>
    <s v="MPA1-P3"/>
    <s v="Gestión Control interno Disciplinario"/>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1"/>
    <x v="1"/>
    <s v="N/A"/>
    <s v="N/A"/>
    <s v="MPA1-P3-03"/>
    <x v="9"/>
    <s v="Jefe Oficina de Control Interno Disciplinario"/>
    <x v="99"/>
    <s v="Porcentaje de decisiones de Fondo en los procesos disciplinarios ordinarios.."/>
    <n v="1"/>
    <n v="1.276595744680851E-3"/>
    <m/>
    <x v="0"/>
    <x v="1"/>
    <m/>
    <x v="1"/>
    <x v="1"/>
    <x v="1"/>
    <m/>
    <m/>
    <x v="0"/>
    <x v="1"/>
    <s v="Trimestral"/>
    <s v="Marzo"/>
  </r>
  <r>
    <x v="5"/>
    <x v="5"/>
    <s v="MPA1-P3"/>
    <s v="Gestión Control interno Disciplinario"/>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1"/>
    <x v="1"/>
    <s v="N/A"/>
    <s v="N/A"/>
    <s v="MPA1-P3-04"/>
    <x v="9"/>
    <s v="Jefe Oficina de Control Interno Disciplinario"/>
    <x v="100"/>
    <s v="Porcentaje de decisiones de Fondo en los procesos disciplinarios verbales adelantados"/>
    <n v="1"/>
    <n v="1.276595744680851E-3"/>
    <m/>
    <x v="0"/>
    <x v="1"/>
    <m/>
    <x v="1"/>
    <x v="1"/>
    <x v="1"/>
    <m/>
    <m/>
    <x v="0"/>
    <x v="1"/>
    <s v="Semestral"/>
    <s v="Junio"/>
  </r>
  <r>
    <x v="5"/>
    <x v="5"/>
    <s v="MPA1-P4"/>
    <s v="Gestión Abastecimiento"/>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0"/>
    <x v="0"/>
    <s v="LP1-C1"/>
    <s v="Indicadores y metas de gobierno"/>
    <s v="PA-53"/>
    <x v="10"/>
    <s v="Director(a) Abastecimiento"/>
    <x v="101"/>
    <s v="Número de Regionales que implementan la Estrategia de Compras Locales y Compras Eficientes"/>
    <n v="8"/>
    <n v="8.4210526315789489E-3"/>
    <m/>
    <x v="0"/>
    <x v="1"/>
    <m/>
    <x v="0"/>
    <x v="0"/>
    <x v="1"/>
    <m/>
    <m/>
    <x v="0"/>
    <x v="0"/>
    <s v="Bimestral"/>
    <s v="Febrero"/>
  </r>
  <r>
    <x v="5"/>
    <x v="5"/>
    <s v="MPA1-P4"/>
    <s v="Gestión Abastecimiento"/>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0"/>
    <x v="0"/>
    <s v="LP1-C1"/>
    <s v="Indicadores y metas de gobierno"/>
    <s v="PA-54"/>
    <x v="10"/>
    <s v="Director(a) Abastecimiento"/>
    <x v="102"/>
    <s v="Número de modalidades de atención del ICBF que cuentan con modelos de costos."/>
    <n v="70"/>
    <n v="8.4210526315789489E-3"/>
    <m/>
    <x v="0"/>
    <x v="1"/>
    <m/>
    <x v="0"/>
    <x v="0"/>
    <x v="1"/>
    <m/>
    <m/>
    <x v="0"/>
    <x v="0"/>
    <s v="Trimestral"/>
    <s v="Marzo"/>
  </r>
  <r>
    <x v="5"/>
    <x v="5"/>
    <s v="MPA1-P4"/>
    <s v="Gestión Abastecimiento"/>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3"/>
    <x v="3"/>
    <s v="LP5-C4"/>
    <s v="Plan Anual de Adquisiciones (PAA)"/>
    <s v="PA-55"/>
    <x v="10"/>
    <s v="Director(a) Abastecimiento"/>
    <x v="103"/>
    <s v="Porcentaje de los recursos  contratados, reportados en el Plan Anual de Adquisiciones"/>
    <n v="1"/>
    <n v="5.5813953488372094E-3"/>
    <m/>
    <x v="0"/>
    <x v="0"/>
    <m/>
    <x v="0"/>
    <x v="1"/>
    <x v="1"/>
    <m/>
    <m/>
    <x v="0"/>
    <x v="1"/>
    <s v="Mensual"/>
    <s v="Marzo"/>
  </r>
  <r>
    <x v="5"/>
    <x v="5"/>
    <s v="MPA1-P4"/>
    <s v="Gestión Abastecimiento"/>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1"/>
    <x v="1"/>
    <s v="N/A"/>
    <s v="N/A"/>
    <s v="MPA1-P4-01"/>
    <x v="10"/>
    <s v="Director(a) Abastecimiento"/>
    <x v="104"/>
    <s v="Porcentaje de satisfacción frente al desarrollo del evento"/>
    <n v="0.95"/>
    <n v="1.276595744680851E-3"/>
    <m/>
    <x v="0"/>
    <x v="1"/>
    <m/>
    <x v="1"/>
    <x v="1"/>
    <x v="1"/>
    <m/>
    <m/>
    <x v="0"/>
    <x v="1"/>
    <s v="Mensual"/>
    <s v="Julio"/>
  </r>
  <r>
    <x v="5"/>
    <x v="5"/>
    <s v="MPA1-P4"/>
    <s v="Gestión Abastecimiento"/>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1"/>
    <x v="1"/>
    <s v="N/A"/>
    <s v="N/A"/>
    <s v="MPA1-P4-02"/>
    <x v="10"/>
    <s v="Director(a) Abastecimiento"/>
    <x v="105"/>
    <s v="Porcentaje de estudios de sector y costos entregados oportunamente a las áreas solicitantes."/>
    <n v="1"/>
    <n v="1.276595744680851E-3"/>
    <m/>
    <x v="0"/>
    <x v="1"/>
    <m/>
    <x v="1"/>
    <x v="1"/>
    <x v="1"/>
    <m/>
    <m/>
    <x v="0"/>
    <x v="1"/>
    <s v="Mensual"/>
    <s v="Enero"/>
  </r>
  <r>
    <x v="5"/>
    <x v="5"/>
    <s v="MPA1-P4"/>
    <s v="Gestión Abastecimiento"/>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1"/>
    <x v="1"/>
    <s v="N/A"/>
    <s v="N/A"/>
    <s v="MPA1-P4-03"/>
    <x v="10"/>
    <s v="Director(a) Abastecimiento"/>
    <x v="106"/>
    <s v="Porcentaje de cumplimiento de la Gestión registrada en el Sistema de Información PACCO"/>
    <n v="0.98"/>
    <n v="1.276595744680851E-3"/>
    <m/>
    <x v="0"/>
    <x v="0"/>
    <m/>
    <x v="1"/>
    <x v="1"/>
    <x v="1"/>
    <m/>
    <m/>
    <x v="0"/>
    <x v="1"/>
    <s v="Mensual"/>
    <s v="Marzo"/>
  </r>
  <r>
    <x v="5"/>
    <x v="5"/>
    <s v="MPA1-P4"/>
    <s v="Gestión Abastecimiento"/>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1"/>
    <x v="1"/>
    <s v="N/A"/>
    <s v="N/A"/>
    <s v="MPA1-P4-04"/>
    <x v="10"/>
    <s v="Director(a) Abastecimiento"/>
    <x v="107"/>
    <s v="Porcentaje de cumplimiento a la proyección de ejecución presupuestal de compromisos"/>
    <n v="1"/>
    <n v="1.276595744680851E-3"/>
    <m/>
    <x v="0"/>
    <x v="1"/>
    <m/>
    <x v="1"/>
    <x v="1"/>
    <x v="1"/>
    <m/>
    <m/>
    <x v="1"/>
    <x v="1"/>
    <s v="Mensual"/>
    <s v="Marzo"/>
  </r>
  <r>
    <x v="5"/>
    <x v="5"/>
    <s v="MPA1-P5"/>
    <s v="Gestión Administrativ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0"/>
    <x v="0"/>
    <s v="LP1-C1"/>
    <s v="Indicadores y metas de gobierno"/>
    <s v="PA-56"/>
    <x v="11"/>
    <s v="Director(a) Administrativa"/>
    <x v="108"/>
    <s v="Porcentaje de cumplimiento en el diseño e implementación del PLAN MAESTRO DE INFRAESTRUCTURA "/>
    <n v="0.25"/>
    <n v="5.5813953488372094E-3"/>
    <m/>
    <x v="0"/>
    <x v="1"/>
    <m/>
    <x v="0"/>
    <x v="0"/>
    <x v="1"/>
    <m/>
    <m/>
    <x v="0"/>
    <x v="1"/>
    <s v="Cuatrimestral"/>
    <s v="Abril"/>
  </r>
  <r>
    <x v="5"/>
    <x v="5"/>
    <s v="MPA1-P5"/>
    <s v="Gestión Administrativ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0"/>
    <x v="0"/>
    <s v="LP1-C1"/>
    <s v="Indicadores y metas de gobierno"/>
    <s v="PA-57"/>
    <x v="11"/>
    <s v="Director(a) Administrativa"/>
    <x v="109"/>
    <s v="Porcentaje de cumplimiento en el diseño e implementación de un modelo de gestión administrativa"/>
    <n v="0.25"/>
    <n v="5.5813953488372094E-3"/>
    <m/>
    <x v="0"/>
    <x v="1"/>
    <m/>
    <x v="0"/>
    <x v="0"/>
    <x v="1"/>
    <m/>
    <m/>
    <x v="0"/>
    <x v="1"/>
    <s v="Trimestral"/>
    <s v="Marzo"/>
  </r>
  <r>
    <x v="5"/>
    <x v="5"/>
    <s v="MPA1-P5"/>
    <s v="Gestión Administrativ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4"/>
    <x v="4"/>
    <s v="LP4-C4"/>
    <s v="Modernización institucional"/>
    <s v="PA-58"/>
    <x v="11"/>
    <s v="Director(a) Administrativa"/>
    <x v="110"/>
    <s v="Porcentaje de avance de la gestión para la realización de Estudios y Diseños"/>
    <n v="0.85"/>
    <n v="5.5813953488372094E-3"/>
    <m/>
    <x v="0"/>
    <x v="1"/>
    <m/>
    <x v="0"/>
    <x v="1"/>
    <x v="1"/>
    <m/>
    <m/>
    <x v="0"/>
    <x v="1"/>
    <s v="Semestral"/>
    <s v="Junio"/>
  </r>
  <r>
    <x v="5"/>
    <x v="5"/>
    <s v="MPA1-P5"/>
    <s v="Gestión Administrativ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0"/>
    <x v="0"/>
    <s v="LP1-C1"/>
    <s v="Indicadores y metas de gobierno"/>
    <s v="PA-59"/>
    <x v="11"/>
    <s v="Director(a) Administrativa"/>
    <x v="111"/>
    <s v="Número de intervenciones en infraestructura para la atención a la Primera Infancia"/>
    <n v="20"/>
    <n v="9.3023255813953487E-3"/>
    <m/>
    <x v="0"/>
    <x v="1"/>
    <m/>
    <x v="0"/>
    <x v="1"/>
    <x v="1"/>
    <m/>
    <m/>
    <x v="1"/>
    <x v="2"/>
    <s v="Trimestral"/>
    <s v="Marzo"/>
  </r>
  <r>
    <x v="5"/>
    <x v="5"/>
    <s v="MPA1-P5"/>
    <s v="Gestión Administrativ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4"/>
    <x v="4"/>
    <s v="LP4-C2"/>
    <s v="Eficiencia administrativa y cero papel"/>
    <s v="PA-60"/>
    <x v="11"/>
    <s v="Director(a) Administrativa"/>
    <x v="112"/>
    <s v="Porcentaje de implementación de la estrategia Cero Papel"/>
    <n v="0.6"/>
    <n v="9.3023255813953487E-3"/>
    <m/>
    <x v="0"/>
    <x v="1"/>
    <m/>
    <x v="0"/>
    <x v="1"/>
    <x v="1"/>
    <m/>
    <m/>
    <x v="0"/>
    <x v="2"/>
    <s v="Trimestral"/>
    <s v="Marzo"/>
  </r>
  <r>
    <x v="5"/>
    <x v="5"/>
    <s v="MPA1-P5"/>
    <s v="Gestión Administrativ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0"/>
    <x v="0"/>
    <s v="LP1-C1"/>
    <s v="Indicadores y metas de gobierno"/>
    <s v="PA-61"/>
    <x v="11"/>
    <s v="Director(a) Administrativa"/>
    <x v="113"/>
    <s v="Número de  Centros de Desarrollo Infantil construidos"/>
    <n v="50"/>
    <n v="9.3023255813953487E-3"/>
    <m/>
    <x v="0"/>
    <x v="1"/>
    <m/>
    <x v="0"/>
    <x v="1"/>
    <x v="1"/>
    <m/>
    <m/>
    <x v="1"/>
    <x v="2"/>
    <s v="Semestral"/>
    <s v="Junio"/>
  </r>
  <r>
    <x v="5"/>
    <x v="5"/>
    <s v="MPA1-P5"/>
    <s v="Gestión Administrativ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4"/>
    <x v="4"/>
    <s v="LP4-C6"/>
    <s v="Gestión documental"/>
    <s v="PA-62"/>
    <x v="11"/>
    <s v="Director(a) Administrativa"/>
    <x v="114"/>
    <s v="Porcentaje de archivos transferidos en soporte físico al Archivo Central Unificado del ICBF organizados"/>
    <n v="0.1"/>
    <n v="5.5813953488372094E-3"/>
    <m/>
    <x v="0"/>
    <x v="1"/>
    <m/>
    <x v="0"/>
    <x v="1"/>
    <x v="1"/>
    <m/>
    <m/>
    <x v="0"/>
    <x v="1"/>
    <s v="Cuatrimestral"/>
    <s v="Abril"/>
  </r>
  <r>
    <x v="5"/>
    <x v="5"/>
    <s v="MPA1-P5"/>
    <s v="Gestión Administrativ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1"/>
    <x v="1"/>
    <s v="N/A"/>
    <s v="N/A"/>
    <s v="MPA1-P5-01"/>
    <x v="11"/>
    <s v="Director(a) Administrativa"/>
    <x v="115"/>
    <s v="Número de intervenciones en infraestructura en Sedes Regionales y Centros Zonales"/>
    <n v="52"/>
    <n v="3.7499999999999999E-3"/>
    <m/>
    <x v="0"/>
    <x v="0"/>
    <m/>
    <x v="1"/>
    <x v="1"/>
    <x v="1"/>
    <m/>
    <m/>
    <x v="1"/>
    <x v="2"/>
    <s v="Trimestral"/>
    <s v="Marzo"/>
  </r>
  <r>
    <x v="5"/>
    <x v="5"/>
    <s v="MPA1-P5"/>
    <s v="Gestión Administrativ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1"/>
    <x v="1"/>
    <s v="N/A"/>
    <s v="N/A"/>
    <s v="MPA1-P5-02"/>
    <x v="11"/>
    <s v="Director(a) Administrativa"/>
    <x v="116"/>
    <s v="Porcentaje de oportunidad en el direccionamiento de comunicaciones recibidas a través de la unidad de Correspondencia"/>
    <n v="1"/>
    <n v="1.276595744680851E-3"/>
    <m/>
    <x v="0"/>
    <x v="1"/>
    <m/>
    <x v="1"/>
    <x v="1"/>
    <x v="1"/>
    <m/>
    <m/>
    <x v="0"/>
    <x v="1"/>
    <s v="Mensual"/>
    <s v="Marzo"/>
  </r>
  <r>
    <x v="5"/>
    <x v="5"/>
    <s v="MPA1-P5"/>
    <s v="Gestión Administrativ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1"/>
    <x v="1"/>
    <s v="N/A"/>
    <s v="N/A"/>
    <s v="MPA1-P5-03"/>
    <x v="11"/>
    <s v="Director(a) Administrativa"/>
    <x v="117"/>
    <s v="Porcentaje de avance en la emisión de conceptos para legalización de obras"/>
    <n v="1"/>
    <n v="1.276595744680851E-3"/>
    <m/>
    <x v="0"/>
    <x v="1"/>
    <m/>
    <x v="1"/>
    <x v="1"/>
    <x v="1"/>
    <m/>
    <m/>
    <x v="0"/>
    <x v="1"/>
    <s v="Trimestral"/>
    <s v="Marzo"/>
  </r>
  <r>
    <x v="5"/>
    <x v="5"/>
    <s v="MPA1-P5"/>
    <s v="Gestión Administrativ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1"/>
    <x v="1"/>
    <s v="N/A"/>
    <s v="N/A"/>
    <s v="MPA1-P5-04"/>
    <x v="11"/>
    <s v="Director(a) Administrativa"/>
    <x v="118"/>
    <s v="Porcentaje de verificación del Estado de los bienes inmuebles."/>
    <n v="1"/>
    <n v="1.276595744680851E-3"/>
    <m/>
    <x v="0"/>
    <x v="1"/>
    <m/>
    <x v="1"/>
    <x v="1"/>
    <x v="1"/>
    <m/>
    <m/>
    <x v="0"/>
    <x v="1"/>
    <s v="Trimestral"/>
    <s v="Marzo"/>
  </r>
  <r>
    <x v="5"/>
    <x v="5"/>
    <s v="MPA1-P5"/>
    <s v="Gestión Administrativ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1"/>
    <x v="1"/>
    <s v="N/A"/>
    <s v="N/A"/>
    <s v="MPA1-P5-05"/>
    <x v="11"/>
    <s v="Director(a) Administrativa"/>
    <x v="119"/>
    <s v="Porcentaje de bienes recibidos por VH y V destinados oportunamente"/>
    <n v="1"/>
    <n v="1.276595744680851E-3"/>
    <m/>
    <x v="0"/>
    <x v="0"/>
    <m/>
    <x v="1"/>
    <x v="1"/>
    <x v="1"/>
    <m/>
    <m/>
    <x v="0"/>
    <x v="1"/>
    <s v="Cuatrimestral"/>
    <s v="Abril"/>
  </r>
  <r>
    <x v="5"/>
    <x v="5"/>
    <s v="MPA1-P5"/>
    <s v="Gestión Administrativ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1"/>
    <x v="1"/>
    <s v="N/A"/>
    <s v="N/A"/>
    <s v="MPA1-P5-06"/>
    <x v="11"/>
    <s v="Director(a) Administrativa"/>
    <x v="120"/>
    <s v="Porcentaje de Comodatos suscritos y registrados"/>
    <n v="1"/>
    <n v="1.276595744680851E-3"/>
    <m/>
    <x v="0"/>
    <x v="0"/>
    <m/>
    <x v="1"/>
    <x v="1"/>
    <x v="1"/>
    <m/>
    <m/>
    <x v="0"/>
    <x v="1"/>
    <s v="Trimestral"/>
    <s v="Marzo"/>
  </r>
  <r>
    <x v="5"/>
    <x v="5"/>
    <s v="MPA1-P5"/>
    <s v="Gestión Administrativa"/>
    <m/>
    <s v="SIGE8"/>
    <s v="Reducir los impactos ambientales generados por nuestra actividad."/>
    <m/>
    <x v="1"/>
    <x v="1"/>
    <s v="N/A"/>
    <s v="N/A"/>
    <s v="MPA1-P5-07"/>
    <x v="11"/>
    <s v="Director(a) Administrativa"/>
    <x v="121"/>
    <s v="Porcentaje de avance en la ejecución presupuestal de Gestión Ambiental "/>
    <n v="0.98"/>
    <n v="3.7499999999999999E-3"/>
    <m/>
    <x v="0"/>
    <x v="0"/>
    <m/>
    <x v="1"/>
    <x v="1"/>
    <x v="1"/>
    <m/>
    <m/>
    <x v="1"/>
    <x v="2"/>
    <s v="Mensual"/>
    <s v="Abril"/>
  </r>
  <r>
    <x v="5"/>
    <x v="5"/>
    <s v="MPA1-P5"/>
    <s v="Gestión Administrativ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1"/>
    <x v="1"/>
    <s v="N/A"/>
    <s v="N/A"/>
    <s v="MPA1-P5-08"/>
    <x v="11"/>
    <s v="Director(a) Administrativa"/>
    <x v="122"/>
    <s v="Porcentaje de avance en el cumplimiento del Plan de Gestión Ambiental"/>
    <n v="0.98"/>
    <n v="3.7499999999999999E-3"/>
    <m/>
    <x v="0"/>
    <x v="0"/>
    <m/>
    <x v="1"/>
    <x v="1"/>
    <x v="1"/>
    <m/>
    <m/>
    <x v="0"/>
    <x v="2"/>
    <s v="Mensual"/>
    <s v="Abril"/>
  </r>
  <r>
    <x v="5"/>
    <x v="5"/>
    <s v="MPA1-P5"/>
    <s v="Gestión Administrativ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1"/>
    <x v="1"/>
    <s v="N/A"/>
    <s v="N/A"/>
    <s v="MPA1-P5-09"/>
    <x v="11"/>
    <s v="Director(a) Administrativa"/>
    <x v="123"/>
    <s v="Porcentaje de archivos de gestión en soporte físico Organizados"/>
    <n v="1"/>
    <n v="1.276595744680851E-3"/>
    <m/>
    <x v="0"/>
    <x v="0"/>
    <m/>
    <x v="1"/>
    <x v="1"/>
    <x v="1"/>
    <m/>
    <m/>
    <x v="0"/>
    <x v="1"/>
    <s v="Trimestral"/>
    <s v="Marzo"/>
  </r>
  <r>
    <x v="5"/>
    <x v="5"/>
    <s v="MPA1-P5"/>
    <s v="Gestión Administrativa"/>
    <m/>
    <s v="SIGE8"/>
    <s v="Reducir los impactos ambientales generados por nuestra actividad."/>
    <m/>
    <x v="1"/>
    <x v="1"/>
    <s v="N/A"/>
    <s v="N/A"/>
    <s v="MPA1-P5-10"/>
    <x v="11"/>
    <s v="Director(a) Administrativa"/>
    <x v="124"/>
    <s v="Porcentaje del nivel de cumplimiento estándar de consumo de agua"/>
    <n v="0.98"/>
    <n v="3.7499999999999999E-3"/>
    <m/>
    <x v="0"/>
    <x v="0"/>
    <m/>
    <x v="1"/>
    <x v="1"/>
    <x v="1"/>
    <m/>
    <m/>
    <x v="0"/>
    <x v="2"/>
    <s v="Cuatrimestral"/>
    <s v="Abril"/>
  </r>
  <r>
    <x v="5"/>
    <x v="5"/>
    <s v="MPA1-P5"/>
    <s v="Gestión Administrativa"/>
    <m/>
    <s v="SIGE8"/>
    <s v="Reducir los impactos ambientales generados por nuestra actividad."/>
    <m/>
    <x v="1"/>
    <x v="1"/>
    <s v="N/A"/>
    <s v="N/A"/>
    <s v="MPA1-P5-11"/>
    <x v="11"/>
    <s v="Director(a) Administrativa"/>
    <x v="125"/>
    <s v="Porcentaje del Nivel de cumplimiento estándar de consumo del recurso energético."/>
    <n v="0.97"/>
    <n v="3.7499999999999999E-3"/>
    <m/>
    <x v="0"/>
    <x v="0"/>
    <m/>
    <x v="1"/>
    <x v="1"/>
    <x v="1"/>
    <m/>
    <m/>
    <x v="0"/>
    <x v="2"/>
    <s v="Cuatrimestral"/>
    <s v="Abril"/>
  </r>
  <r>
    <x v="5"/>
    <x v="5"/>
    <s v="MPA1-P5"/>
    <s v="Gestión Administrativ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1"/>
    <x v="1"/>
    <s v="N/A"/>
    <s v="N/A"/>
    <s v="MPA1-P5-12"/>
    <x v="11"/>
    <s v="Director(a) Administrativa"/>
    <x v="126"/>
    <s v="Porcentaje de cumplimiento a la proyección de ejecución presupuestal de compromisos"/>
    <n v="1"/>
    <n v="1.276595744680851E-3"/>
    <m/>
    <x v="0"/>
    <x v="1"/>
    <m/>
    <x v="1"/>
    <x v="1"/>
    <x v="1"/>
    <m/>
    <m/>
    <x v="1"/>
    <x v="1"/>
    <s v="Mensual"/>
    <s v="Marzo"/>
  </r>
  <r>
    <x v="5"/>
    <x v="5"/>
    <s v="MPA1-P6"/>
    <s v="Gestión Contratación"/>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0"/>
    <x v="0"/>
    <s v="LP1-C1"/>
    <s v="Indicadores y metas de gobierno"/>
    <s v="PA-63"/>
    <x v="12"/>
    <s v="Director(a) Contratación"/>
    <x v="127"/>
    <s v="Porcentaje de avance de la actualización y aplicación del Proceso de Gestión de Contratación en la Sede de la Dirección Nacional y Direcciones Regionales "/>
    <n v="1"/>
    <n v="9.3023255813953487E-3"/>
    <m/>
    <x v="0"/>
    <x v="1"/>
    <m/>
    <x v="0"/>
    <x v="0"/>
    <x v="1"/>
    <m/>
    <m/>
    <x v="0"/>
    <x v="2"/>
    <s v="Trimestral"/>
    <s v="Marzo"/>
  </r>
  <r>
    <x v="5"/>
    <x v="5"/>
    <s v="MPA1-P6"/>
    <s v="Gestión Contratación"/>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0"/>
    <x v="0"/>
    <s v="LP1-C1"/>
    <s v="Indicadores y metas de gobierno"/>
    <s v="PA-64"/>
    <x v="12"/>
    <s v="Director(a) Contratación"/>
    <x v="128"/>
    <s v="Porcentaje de contratos liquidados de la Sede de la Dirección Nacional y Direcciones Regionales"/>
    <n v="1"/>
    <n v="9.3023255813953487E-3"/>
    <m/>
    <x v="0"/>
    <x v="0"/>
    <m/>
    <x v="0"/>
    <x v="1"/>
    <x v="1"/>
    <m/>
    <m/>
    <x v="0"/>
    <x v="2"/>
    <s v="Bimestral"/>
    <s v="Febrero"/>
  </r>
  <r>
    <x v="6"/>
    <x v="6"/>
    <s v="N/A"/>
    <s v="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0"/>
    <x v="0"/>
    <s v="LP1-C1"/>
    <s v="Indicadores y metas de gobierno"/>
    <s v="PA-65"/>
    <x v="13"/>
    <s v="Jefe Oficina Asesora Jurídica"/>
    <x v="129"/>
    <s v="Porcentaje de avance en el diseño e implementacion de un modelo eficiente de prevencion del daño antijuridico."/>
    <n v="0.5"/>
    <n v="5.5813953488372094E-3"/>
    <m/>
    <x v="0"/>
    <x v="1"/>
    <m/>
    <x v="0"/>
    <x v="0"/>
    <x v="1"/>
    <m/>
    <m/>
    <x v="0"/>
    <x v="1"/>
    <s v="Cuatrimestral"/>
    <s v="Abril"/>
  </r>
  <r>
    <x v="6"/>
    <x v="6"/>
    <s v="N/A"/>
    <s v="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1"/>
    <x v="1"/>
    <s v="N/A"/>
    <s v="N/A"/>
    <s v="MPA2-01"/>
    <x v="13"/>
    <s v="Jefe Oficina Asesora Jurídica"/>
    <x v="130"/>
    <s v="Porcentaje de oportunidad en el cumplimiento de términos e intervenciones en los Procesos Judiciales."/>
    <n v="1"/>
    <n v="1.276595744680851E-3"/>
    <m/>
    <x v="0"/>
    <x v="0"/>
    <m/>
    <x v="1"/>
    <x v="1"/>
    <x v="1"/>
    <m/>
    <m/>
    <x v="0"/>
    <x v="1"/>
    <s v="Trimestral"/>
    <s v="Junio"/>
  </r>
  <r>
    <x v="6"/>
    <x v="6"/>
    <s v="N/A"/>
    <s v="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1"/>
    <x v="1"/>
    <s v="N/A"/>
    <s v="N/A"/>
    <s v="MPA2-02"/>
    <x v="13"/>
    <s v="Jefe Oficina Asesora Jurídica"/>
    <x v="131"/>
    <s v="Porcentaje de Conceptos juridicos elaborados oportunamente"/>
    <n v="1"/>
    <n v="1.276595744680851E-3"/>
    <m/>
    <x v="0"/>
    <x v="1"/>
    <m/>
    <x v="1"/>
    <x v="1"/>
    <x v="1"/>
    <m/>
    <m/>
    <x v="0"/>
    <x v="1"/>
    <s v="Trimestral"/>
    <s v="Marzo"/>
  </r>
  <r>
    <x v="6"/>
    <x v="6"/>
    <s v="N/A"/>
    <s v="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1"/>
    <x v="1"/>
    <s v="N/A"/>
    <s v="N/A"/>
    <s v="MPA2-03"/>
    <x v="13"/>
    <s v="Jefe Oficina Asesora Jurídica"/>
    <x v="132"/>
    <s v="Porcentaje de recomendaciones para la prevención del daño antijurídico con plan de mejora en Isolución."/>
    <n v="1"/>
    <n v="1.276595744680851E-3"/>
    <m/>
    <x v="0"/>
    <x v="1"/>
    <m/>
    <x v="1"/>
    <x v="1"/>
    <x v="1"/>
    <m/>
    <m/>
    <x v="0"/>
    <x v="1"/>
    <s v="Trimestral"/>
    <s v="Marzo"/>
  </r>
  <r>
    <x v="7"/>
    <x v="7"/>
    <s v="N/A"/>
    <s v="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0"/>
    <x v="0"/>
    <s v="LP1-C1"/>
    <s v="Indicadores y metas de gobierno"/>
    <s v="PA-66"/>
    <x v="14"/>
    <s v="Jefe Oficina de Gestión Regional"/>
    <x v="133"/>
    <s v="Porcentaje de cumplimiento de diseño e implementación del modelo de acompañamiento."/>
    <n v="0.25"/>
    <n v="9.3023255813953487E-3"/>
    <m/>
    <x v="0"/>
    <x v="1"/>
    <m/>
    <x v="0"/>
    <x v="0"/>
    <x v="1"/>
    <m/>
    <m/>
    <x v="0"/>
    <x v="2"/>
    <s v="Semestral"/>
    <s v="Junio"/>
  </r>
  <r>
    <x v="7"/>
    <x v="7"/>
    <s v="N/A"/>
    <s v="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0"/>
    <x v="0"/>
    <s v="LP1-C1"/>
    <s v="Indicadores y metas de gobierno"/>
    <s v="PA-67"/>
    <x v="14"/>
    <s v="Jefe Oficina de Gestión Regional"/>
    <x v="134"/>
    <s v="Porcentaje de regionales priorizadas que mejoraron su gestión."/>
    <n v="1"/>
    <n v="9.3023255813953487E-3"/>
    <m/>
    <x v="0"/>
    <x v="1"/>
    <m/>
    <x v="0"/>
    <x v="1"/>
    <x v="1"/>
    <m/>
    <m/>
    <x v="0"/>
    <x v="2"/>
    <s v="Mensual"/>
    <s v="Mayo"/>
  </r>
  <r>
    <x v="8"/>
    <x v="8"/>
    <s v="N/A"/>
    <s v="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0"/>
    <x v="0"/>
    <s v="LP1-C1"/>
    <s v="Indicadores y metas de gobierno"/>
    <s v="PA-68"/>
    <x v="15"/>
    <s v="Jefe Oficina de Cooperación y Convenios "/>
    <x v="135"/>
    <s v="Número de departamentos con la &quot;estrategia de articulación con la cooperación&quot; implementada"/>
    <n v="10"/>
    <n v="5.5813953488372094E-3"/>
    <m/>
    <x v="0"/>
    <x v="1"/>
    <m/>
    <x v="0"/>
    <x v="0"/>
    <x v="1"/>
    <m/>
    <m/>
    <x v="0"/>
    <x v="1"/>
    <s v="Trimestral"/>
    <s v="Junio"/>
  </r>
  <r>
    <x v="8"/>
    <x v="8"/>
    <s v="N/A"/>
    <s v="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0"/>
    <x v="0"/>
    <s v="LP1-C1"/>
    <s v="Indicadores y metas de gobierno"/>
    <s v="PA-69"/>
    <x v="15"/>
    <s v="Jefe Oficina de Cooperación y Convenios "/>
    <x v="136"/>
    <s v="Número de alianzas con el sector privado realizadas en 2015"/>
    <n v="50"/>
    <n v="5.5813953488372094E-3"/>
    <m/>
    <x v="0"/>
    <x v="1"/>
    <m/>
    <x v="0"/>
    <x v="0"/>
    <x v="1"/>
    <m/>
    <m/>
    <x v="0"/>
    <x v="1"/>
    <s v="Trimestral"/>
    <s v="Marzo"/>
  </r>
  <r>
    <x v="8"/>
    <x v="8"/>
    <s v="N/A"/>
    <s v="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0"/>
    <x v="0"/>
    <s v="LP1-C1"/>
    <s v="Indicadores y metas de gobierno"/>
    <s v="PA-70"/>
    <x v="15"/>
    <s v="Jefe Oficina de Cooperación y Convenios "/>
    <x v="137"/>
    <s v="Numero de servicios prestados a través de la estrategia del Derecho a La Felicidad"/>
    <n v="100000"/>
    <n v="8.4210526315789489E-3"/>
    <m/>
    <x v="0"/>
    <x v="1"/>
    <m/>
    <x v="0"/>
    <x v="0"/>
    <x v="1"/>
    <m/>
    <m/>
    <x v="0"/>
    <x v="0"/>
    <s v="Trimestral"/>
    <s v="Marzo"/>
  </r>
  <r>
    <x v="8"/>
    <x v="8"/>
    <s v="N/A"/>
    <s v="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0"/>
    <x v="0"/>
    <s v="LP1-C1"/>
    <s v="Indicadores y metas de gobierno"/>
    <s v="PA-71"/>
    <x v="15"/>
    <s v="Jefe Oficina de Cooperación y Convenios "/>
    <x v="138"/>
    <s v="Recursos obtenidos por cooperación"/>
    <n v="40000"/>
    <n v="5.5813953488372094E-3"/>
    <m/>
    <x v="0"/>
    <x v="1"/>
    <m/>
    <x v="0"/>
    <x v="0"/>
    <x v="1"/>
    <m/>
    <m/>
    <x v="1"/>
    <x v="1"/>
    <s v="Mensual"/>
    <s v="Enero"/>
  </r>
  <r>
    <x v="8"/>
    <x v="8"/>
    <s v="N/A"/>
    <s v="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1"/>
    <x v="1"/>
    <s v="N/A"/>
    <s v="N/A"/>
    <s v="MPA4-01"/>
    <x v="15"/>
    <s v="Jefe Oficina de Cooperación y Convenios "/>
    <x v="139"/>
    <s v="Porcentaje de cumplimiento a la proyección de ejecución presupuestal de compromisos"/>
    <n v="1"/>
    <n v="1.276595744680851E-3"/>
    <m/>
    <x v="0"/>
    <x v="1"/>
    <m/>
    <x v="1"/>
    <x v="1"/>
    <x v="1"/>
    <m/>
    <m/>
    <x v="1"/>
    <x v="1"/>
    <s v="Mensual"/>
    <s v="Marzo"/>
  </r>
  <r>
    <x v="9"/>
    <x v="9"/>
    <s v="MPA5-P1"/>
    <s v="Gestión Servicio a Beneficiarios"/>
    <m/>
    <s v="SIGE9"/>
    <s v="Impulsar una cultura de gestión de la calidad y el mejoramiento continuo."/>
    <m/>
    <x v="5"/>
    <x v="5"/>
    <s v="LP2-C5"/>
    <s v="Servicio al ciudadano"/>
    <s v="PA-72"/>
    <x v="16"/>
    <s v="Director(a) Servicio y Atención"/>
    <x v="140"/>
    <s v="Porcentaje de Satisfacción de atención al cliente "/>
    <n v="0.9"/>
    <n v="9.3023255813953487E-3"/>
    <m/>
    <x v="0"/>
    <x v="1"/>
    <m/>
    <x v="0"/>
    <x v="1"/>
    <x v="1"/>
    <m/>
    <m/>
    <x v="0"/>
    <x v="2"/>
    <s v="Anual"/>
    <s v="Diciembre"/>
  </r>
  <r>
    <x v="9"/>
    <x v="9"/>
    <s v="MPA5-P1"/>
    <s v="Gestión Servicio a Beneficiarios"/>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5"/>
    <x v="5"/>
    <s v="LP2-C5"/>
    <s v="Servicio al ciudadano"/>
    <s v="PA-73"/>
    <x v="16"/>
    <s v="Director(a) Servicio y Atención"/>
    <x v="141"/>
    <s v="Porcentaje de Implementación del Modelo de Atención Presencial y Puesta en funcionamiento de la  Línea 106 en las 33 Regionales del ICBF en el país"/>
    <n v="0.3"/>
    <n v="5.5813953488372094E-3"/>
    <m/>
    <x v="0"/>
    <x v="1"/>
    <m/>
    <x v="0"/>
    <x v="0"/>
    <x v="1"/>
    <m/>
    <m/>
    <x v="0"/>
    <x v="1"/>
    <s v="Trimestral"/>
    <s v="Junio"/>
  </r>
  <r>
    <x v="9"/>
    <x v="9"/>
    <s v="MPA5-P2"/>
    <s v="Gestión Atención PQR y sugerencias"/>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5"/>
    <x v="5"/>
    <s v="LP2-C5"/>
    <s v="Servicio al ciudadano"/>
    <s v="PA-74"/>
    <x v="16"/>
    <s v="Director(a) Servicio y Atención"/>
    <x v="142"/>
    <s v="Porcentaje de quejas, reclamos y sugerencias solucionados oportunamente"/>
    <n v="1"/>
    <n v="9.3023255813953487E-3"/>
    <m/>
    <x v="0"/>
    <x v="0"/>
    <s v="x"/>
    <x v="0"/>
    <x v="1"/>
    <x v="1"/>
    <m/>
    <m/>
    <x v="0"/>
    <x v="2"/>
    <s v="Mensual"/>
    <s v="Enero"/>
  </r>
  <r>
    <x v="9"/>
    <x v="9"/>
    <s v="MPA5-P2"/>
    <s v="Gestión Atención PQR y sugerencias"/>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1"/>
    <x v="1"/>
    <s v="N/A"/>
    <s v="N/A"/>
    <s v="MPA5-P2-01"/>
    <x v="16"/>
    <s v="Director(a) Servicio y Atención"/>
    <x v="143"/>
    <s v="Porcentaje de oportunidad en la constatación de Denuncias Proceso Administrativo Restablecimiento de Derechos."/>
    <n v="1"/>
    <n v="3.7499999999999999E-3"/>
    <m/>
    <x v="0"/>
    <x v="0"/>
    <s v="x"/>
    <x v="1"/>
    <x v="1"/>
    <x v="1"/>
    <m/>
    <m/>
    <x v="0"/>
    <x v="2"/>
    <s v="Mensual"/>
    <s v="Enero"/>
  </r>
  <r>
    <x v="9"/>
    <x v="9"/>
    <s v="MPA5-P2"/>
    <s v="Gestión Atención PQR y sugerencias"/>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1"/>
    <x v="1"/>
    <s v="N/A"/>
    <s v="N/A"/>
    <s v="MPA5-P2-02"/>
    <x v="16"/>
    <s v="Director(a) Servicio y Atención"/>
    <x v="144"/>
    <s v="Porcentaje de oportunidad en la atención de peticiones  de Asuntos Conciliables"/>
    <n v="1"/>
    <n v="3.7499999999999999E-3"/>
    <m/>
    <x v="0"/>
    <x v="0"/>
    <s v="x"/>
    <x v="1"/>
    <x v="1"/>
    <x v="1"/>
    <m/>
    <m/>
    <x v="1"/>
    <x v="2"/>
    <s v="Mensual"/>
    <s v="Enero"/>
  </r>
  <r>
    <x v="9"/>
    <x v="9"/>
    <s v="MPA5-P2"/>
    <s v="Gestión Atención PQR y sugerencias"/>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1"/>
    <x v="1"/>
    <s v="N/A"/>
    <s v="N/A"/>
    <s v="MPA5-P2-03"/>
    <x v="16"/>
    <s v="Director(a) Servicio y Atención"/>
    <x v="145"/>
    <s v="Porcentaje de cumplimiento a la proyección de ejecución presupuestal de compromisos"/>
    <n v="1"/>
    <n v="1.276595744680851E-3"/>
    <m/>
    <x v="0"/>
    <x v="1"/>
    <m/>
    <x v="1"/>
    <x v="1"/>
    <x v="1"/>
    <m/>
    <m/>
    <x v="1"/>
    <x v="1"/>
    <s v="Mensual"/>
    <s v="Marzo"/>
  </r>
  <r>
    <x v="10"/>
    <x v="10"/>
    <s v="N/A"/>
    <s v="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4"/>
    <x v="4"/>
    <s v="LP4-C5"/>
    <s v="Gestión de Tecnologías de información"/>
    <s v="PA-75"/>
    <x v="17"/>
    <s v="Director(a) Información y Tecnología "/>
    <x v="146"/>
    <s v="Porcentaje de avance en la definción e implementación de integración e interoperabilidad de los sistemas de información"/>
    <n v="0.2"/>
    <n v="9.3023255813953487E-3"/>
    <m/>
    <x v="0"/>
    <x v="1"/>
    <m/>
    <x v="0"/>
    <x v="0"/>
    <x v="1"/>
    <m/>
    <m/>
    <x v="0"/>
    <x v="2"/>
    <s v="Cuatrimestral"/>
    <s v="Agosto"/>
  </r>
  <r>
    <x v="10"/>
    <x v="10"/>
    <s v="N/A"/>
    <s v="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4"/>
    <x v="4"/>
    <s v="LP4-C5"/>
    <s v="Gestión de Tecnologías de información"/>
    <s v="PA-76"/>
    <x v="17"/>
    <s v="Director(a) Información y Tecnología "/>
    <x v="147"/>
    <s v="Porcentaje de avance en la implementación del plan estratégico de desarrollo informático y tecnológico del ICBF"/>
    <n v="1"/>
    <n v="9.3023255813953487E-3"/>
    <m/>
    <x v="0"/>
    <x v="1"/>
    <m/>
    <x v="0"/>
    <x v="1"/>
    <x v="1"/>
    <m/>
    <m/>
    <x v="0"/>
    <x v="2"/>
    <s v="Anual"/>
    <s v="Diciembre"/>
  </r>
  <r>
    <x v="10"/>
    <x v="10"/>
    <s v="N/A"/>
    <s v="N/A"/>
    <m/>
    <s v="SIGE10"/>
    <s v="Gestionar el conocimiento institucional, con sistemas de información confiables, integrados y disponibles."/>
    <m/>
    <x v="1"/>
    <x v="1"/>
    <s v="N/A"/>
    <s v="N/A"/>
    <s v="MPA6-01"/>
    <x v="17"/>
    <s v="Director(a) Información y Tecnología "/>
    <x v="148"/>
    <s v="Porcentaje de Incidentes de seguridad atendidos oportunamente  "/>
    <n v="0.75"/>
    <n v="3.7499999999999999E-3"/>
    <m/>
    <x v="0"/>
    <x v="0"/>
    <m/>
    <x v="1"/>
    <x v="1"/>
    <x v="1"/>
    <m/>
    <m/>
    <x v="0"/>
    <x v="2"/>
    <s v="Mensual"/>
    <s v="Enero"/>
  </r>
  <r>
    <x v="10"/>
    <x v="10"/>
    <s v="N/A"/>
    <s v="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1"/>
    <x v="1"/>
    <s v="N/A"/>
    <s v="N/A"/>
    <s v="MPA6-02"/>
    <x v="17"/>
    <s v="Director(a) Información y Tecnología "/>
    <x v="149"/>
    <s v="Porcentaje de Sistemas de información de Apoyo del ICBF fortalecidos, implementados  con alcance evolutivo y adaptativo"/>
    <n v="0.8"/>
    <n v="3.7499999999999999E-3"/>
    <m/>
    <x v="0"/>
    <x v="1"/>
    <m/>
    <x v="1"/>
    <x v="1"/>
    <x v="1"/>
    <m/>
    <m/>
    <x v="0"/>
    <x v="2"/>
    <s v="Trimestral"/>
    <s v="Marzo"/>
  </r>
  <r>
    <x v="10"/>
    <x v="10"/>
    <s v="N/A"/>
    <s v="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1"/>
    <x v="1"/>
    <s v="N/A"/>
    <s v="N/A"/>
    <s v="MPA6-03"/>
    <x v="17"/>
    <s v="Director(a) Información y Tecnología "/>
    <x v="150"/>
    <s v="Porcentaje de Sistemas de información Misionales del ICBF fortalecidos, implementados  con alcance evolutivo y adaptativo"/>
    <n v="0.8"/>
    <n v="3.7499999999999999E-3"/>
    <m/>
    <x v="0"/>
    <x v="1"/>
    <m/>
    <x v="1"/>
    <x v="1"/>
    <x v="1"/>
    <m/>
    <m/>
    <x v="0"/>
    <x v="2"/>
    <s v="Trimestral"/>
    <s v="Marzo"/>
  </r>
  <r>
    <x v="10"/>
    <x v="10"/>
    <s v="N/A"/>
    <s v="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1"/>
    <x v="1"/>
    <s v="N/A"/>
    <s v="N/A"/>
    <s v="MPA6-04"/>
    <x v="17"/>
    <s v="Director(a) Información y Tecnología "/>
    <x v="151"/>
    <s v="Porcentaje de uso de los sistemas de información en el ICBF"/>
    <n v="0.85"/>
    <n v="3.7499999999999999E-3"/>
    <m/>
    <x v="0"/>
    <x v="0"/>
    <m/>
    <x v="1"/>
    <x v="1"/>
    <x v="1"/>
    <m/>
    <m/>
    <x v="0"/>
    <x v="2"/>
    <s v="Trimestral"/>
    <s v="Marzo"/>
  </r>
  <r>
    <x v="10"/>
    <x v="10"/>
    <s v="N/A"/>
    <s v="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1"/>
    <x v="1"/>
    <s v="N/A"/>
    <s v="N/A"/>
    <s v="MPA6-05"/>
    <x v="17"/>
    <s v="Director(a) Información y Tecnología "/>
    <x v="152"/>
    <s v="Porcentaje de cumplimiento a la proyección de ejecución presupuestal de compromisos"/>
    <n v="1"/>
    <n v="1.276595744680851E-3"/>
    <m/>
    <x v="0"/>
    <x v="1"/>
    <m/>
    <x v="1"/>
    <x v="1"/>
    <x v="1"/>
    <m/>
    <m/>
    <x v="1"/>
    <x v="1"/>
    <s v="Mensual"/>
    <s v="Marzo"/>
  </r>
  <r>
    <x v="11"/>
    <x v="11"/>
    <s v="N/A"/>
    <s v="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0"/>
    <x v="0"/>
    <s v="LP1-C1"/>
    <s v="Indicadores y metas de gobierno"/>
    <s v="PA-77"/>
    <x v="18"/>
    <s v="Jefe Oficina Asesora de Comunicaciones"/>
    <x v="153"/>
    <s v="Número de campañas desarrolladas que alcanzan cobertura nacional y cumplen con el plan de medios programado"/>
    <n v="4"/>
    <n v="9.3023255813953487E-3"/>
    <m/>
    <x v="0"/>
    <x v="1"/>
    <m/>
    <x v="0"/>
    <x v="0"/>
    <x v="1"/>
    <m/>
    <m/>
    <x v="0"/>
    <x v="2"/>
    <s v="Trimestral"/>
    <s v="Marzo"/>
  </r>
  <r>
    <x v="11"/>
    <x v="11"/>
    <s v="N/A"/>
    <s v="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5"/>
    <x v="5"/>
    <s v="LP2-C1"/>
    <s v="Transparencia y acceso a la información pública"/>
    <s v="PA-78"/>
    <x v="18"/>
    <s v="Jefe Oficina Asesora de Comunicaciones"/>
    <x v="154"/>
    <s v="Número de visitas a la información publicada por la Oficina Asesora de Comunicaciones en la pagina web."/>
    <n v="3698145"/>
    <n v="9.3023255813953487E-3"/>
    <m/>
    <x v="0"/>
    <x v="1"/>
    <m/>
    <x v="0"/>
    <x v="0"/>
    <x v="1"/>
    <m/>
    <m/>
    <x v="0"/>
    <x v="2"/>
    <s v="Trimestral"/>
    <s v="Marzo"/>
  </r>
  <r>
    <x v="11"/>
    <x v="11"/>
    <s v="N/A"/>
    <s v="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0"/>
    <x v="0"/>
    <s v="LP1-C1"/>
    <s v="Indicadores y metas de gobierno"/>
    <s v="PA-79"/>
    <x v="18"/>
    <s v="Jefe Oficina Asesora de Comunicaciones"/>
    <x v="155"/>
    <s v="Número de noticias con valoración positiva en monitoreo de prensa"/>
    <n v="620"/>
    <n v="8.4210526315789489E-3"/>
    <m/>
    <x v="0"/>
    <x v="1"/>
    <m/>
    <x v="0"/>
    <x v="1"/>
    <x v="1"/>
    <m/>
    <m/>
    <x v="0"/>
    <x v="0"/>
    <s v="Trimestral"/>
    <s v="Marzo"/>
  </r>
  <r>
    <x v="11"/>
    <x v="11"/>
    <s v="N/A"/>
    <s v="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1"/>
    <x v="1"/>
    <s v="N/A"/>
    <s v="N/A"/>
    <s v="MPA7-01"/>
    <x v="18"/>
    <s v="Jefe Oficina Asesora de Comunicaciones"/>
    <x v="156"/>
    <s v="Porcentaje de cumplimiento a la proyección de ejecución presupuestal de compromisos"/>
    <n v="1"/>
    <n v="1.276595744680851E-3"/>
    <m/>
    <x v="0"/>
    <x v="1"/>
    <m/>
    <x v="1"/>
    <x v="1"/>
    <x v="1"/>
    <m/>
    <m/>
    <x v="1"/>
    <x v="1"/>
    <s v="Mensual"/>
    <s v="Marzo"/>
  </r>
  <r>
    <x v="12"/>
    <x v="12"/>
    <s v="N/A"/>
    <s v="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3"/>
    <x v="3"/>
    <s v="LP5-C1"/>
    <s v="Programación y ejecución presupuestal"/>
    <s v="PA-80"/>
    <x v="19"/>
    <s v="Subdirector(a) Programación"/>
    <x v="157"/>
    <s v="Porcentaje de cumplimiento de la meta de compromisos presupuestales concertadas con Presidencia "/>
    <n v="1"/>
    <n v="5.5813953488372094E-3"/>
    <m/>
    <x v="0"/>
    <x v="1"/>
    <m/>
    <x v="0"/>
    <x v="1"/>
    <x v="1"/>
    <m/>
    <m/>
    <x v="1"/>
    <x v="1"/>
    <s v="Mensual"/>
    <s v="Enero"/>
  </r>
  <r>
    <x v="12"/>
    <x v="12"/>
    <s v="N/A"/>
    <s v="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3"/>
    <x v="3"/>
    <s v="LP5-C1"/>
    <s v="Programación y ejecución presupuestal"/>
    <s v="PA-81"/>
    <x v="19"/>
    <s v="Subdirector(a) Programación"/>
    <x v="158"/>
    <s v="Porcentaje de cumplimiento de la meta de obligaciones presupuestales concertadas con Presidencia."/>
    <n v="1"/>
    <n v="5.5813953488372094E-3"/>
    <m/>
    <x v="0"/>
    <x v="1"/>
    <m/>
    <x v="0"/>
    <x v="1"/>
    <x v="1"/>
    <m/>
    <m/>
    <x v="1"/>
    <x v="1"/>
    <s v="Mensual"/>
    <s v="Enero"/>
  </r>
  <r>
    <x v="12"/>
    <x v="12"/>
    <s v="N/A"/>
    <s v="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0"/>
    <x v="0"/>
    <s v="LP1-C1"/>
    <s v="Indicadores y metas de gobierno"/>
    <s v="PA-82"/>
    <x v="19"/>
    <s v="Subdirector(a) Programación"/>
    <x v="159"/>
    <s v="Porcentaje de Integración del modelo de costos del ICBF dentro de las Metas Sociales y Financieras"/>
    <n v="0.6"/>
    <n v="5.5813953488372094E-3"/>
    <m/>
    <x v="0"/>
    <x v="1"/>
    <m/>
    <x v="0"/>
    <x v="0"/>
    <x v="1"/>
    <m/>
    <m/>
    <x v="1"/>
    <x v="1"/>
    <s v="Trimestral"/>
    <s v="Marzo"/>
  </r>
  <r>
    <x v="12"/>
    <x v="12"/>
    <s v="N/A"/>
    <s v="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3"/>
    <x v="3"/>
    <s v="LP5-C1"/>
    <s v="Programación y ejecución presupuestal"/>
    <s v="PA-83"/>
    <x v="19"/>
    <s v="Subdirector(a) Programación"/>
    <x v="160"/>
    <s v="Porcentaje de Vigencias Expiradas respecto a la vigencia anterior"/>
    <n v="1"/>
    <n v="5.5813953488372094E-3"/>
    <m/>
    <x v="0"/>
    <x v="1"/>
    <m/>
    <x v="0"/>
    <x v="1"/>
    <x v="1"/>
    <m/>
    <m/>
    <x v="0"/>
    <x v="1"/>
    <s v="Anual"/>
    <s v="Diciembre"/>
  </r>
  <r>
    <x v="12"/>
    <x v="12"/>
    <s v="N/A"/>
    <s v="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3"/>
    <x v="3"/>
    <s v="LP5-C3"/>
    <s v="Formulación y seguimiento a Proyectos de Inversión"/>
    <s v="PA-84"/>
    <x v="19"/>
    <s v="Subdirector(a) Programación"/>
    <x v="161"/>
    <s v="Porcentaje de reducción de solicitudes de traslados presupuestales aprobadas y en resolución"/>
    <n v="0.15"/>
    <n v="9.3023255813953487E-3"/>
    <m/>
    <x v="0"/>
    <x v="1"/>
    <m/>
    <x v="0"/>
    <x v="1"/>
    <x v="1"/>
    <m/>
    <m/>
    <x v="0"/>
    <x v="2"/>
    <s v="Trimestral"/>
    <s v="Marzo"/>
  </r>
  <r>
    <x v="12"/>
    <x v="12"/>
    <s v="N/A"/>
    <s v="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0"/>
    <x v="0"/>
    <s v="LP1-C1"/>
    <s v="Indicadores y metas de gobierno"/>
    <s v="PA-85"/>
    <x v="19"/>
    <s v="Subdirector(a) Programación"/>
    <x v="162"/>
    <s v="Porcentaje de Avance en el Desarrollo del modelo de Distribución de Recursos"/>
    <n v="0.6"/>
    <n v="5.5813953488372094E-3"/>
    <m/>
    <x v="0"/>
    <x v="1"/>
    <m/>
    <x v="0"/>
    <x v="0"/>
    <x v="1"/>
    <m/>
    <m/>
    <x v="1"/>
    <x v="1"/>
    <s v="Trimestral"/>
    <s v="Marzo"/>
  </r>
  <r>
    <x v="12"/>
    <x v="12"/>
    <s v="N/A"/>
    <s v="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1"/>
    <x v="1"/>
    <s v="N/A"/>
    <s v="N/A"/>
    <s v="MPE1-01"/>
    <x v="19"/>
    <s v="Subdirector(a) Programación"/>
    <x v="163"/>
    <s v="Porcentaje de cumplimiento a la proyección de ejecución presupuestal de compromisos"/>
    <n v="1"/>
    <n v="1.276595744680851E-3"/>
    <m/>
    <x v="0"/>
    <x v="1"/>
    <m/>
    <x v="1"/>
    <x v="1"/>
    <x v="1"/>
    <m/>
    <m/>
    <x v="1"/>
    <x v="1"/>
    <s v="Mensual"/>
    <s v="Marzo"/>
  </r>
  <r>
    <x v="12"/>
    <x v="12"/>
    <s v="N/A"/>
    <s v="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1"/>
    <x v="1"/>
    <s v="N/A"/>
    <s v="N/A"/>
    <s v="MPE1-02"/>
    <x v="20"/>
    <s v="Subdirector(a)  General"/>
    <x v="164"/>
    <s v="Número de regionales con la implementación del modelo de enfoque diferencial"/>
    <n v="16"/>
    <n v="1.8181818181818186E-3"/>
    <m/>
    <x v="0"/>
    <x v="1"/>
    <m/>
    <x v="1"/>
    <x v="1"/>
    <x v="1"/>
    <m/>
    <m/>
    <x v="0"/>
    <x v="0"/>
    <s v="Trimestral"/>
    <s v="Marzo"/>
  </r>
  <r>
    <x v="13"/>
    <x v="13"/>
    <s v="N/A"/>
    <s v="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4"/>
    <x v="4"/>
    <s v="LP4-C1"/>
    <s v="Gestión de la calidad"/>
    <s v="PA-86"/>
    <x v="21"/>
    <s v="Subdirector(a) Mejoramiento Organizacional"/>
    <x v="165"/>
    <s v="Número de certificados en sistemas de Gestión de Calidad, Ambiental, Seguridad y Salud en el Trabajo y Seguridad de la Información otorgados a las  Regionales y sede de la Dirección General."/>
    <n v="66"/>
    <n v="9.3023255813953487E-3"/>
    <m/>
    <x v="0"/>
    <x v="1"/>
    <m/>
    <x v="0"/>
    <x v="0"/>
    <x v="1"/>
    <m/>
    <m/>
    <x v="0"/>
    <x v="2"/>
    <s v="Anual"/>
    <s v="Diciembre"/>
  </r>
  <r>
    <x v="13"/>
    <x v="13"/>
    <s v="N/A"/>
    <s v="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4"/>
    <x v="4"/>
    <s v="LP4-C4"/>
    <s v="Modernización institucional"/>
    <s v="PA-87"/>
    <x v="21"/>
    <s v="Subdirector(a) Mejoramiento Organizacional"/>
    <x v="166"/>
    <s v="Porcentaje de bitacoras de innovaciones implementadas "/>
    <n v="1"/>
    <n v="9.3023255813953487E-3"/>
    <m/>
    <x v="0"/>
    <x v="1"/>
    <m/>
    <x v="0"/>
    <x v="1"/>
    <x v="1"/>
    <m/>
    <m/>
    <x v="0"/>
    <x v="2"/>
    <s v="Trimestral"/>
    <s v="Marzo"/>
  </r>
  <r>
    <x v="13"/>
    <x v="13"/>
    <s v="N/A"/>
    <s v="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4"/>
    <x v="4"/>
    <s v="LP4-C1"/>
    <s v="Gestión de la calidad"/>
    <s v="PA-88"/>
    <x v="21"/>
    <s v="Subdirector(a) Mejoramiento Organizacional"/>
    <x v="167"/>
    <s v="Porcentaje de avance en la implementación del Plan para postulación al Premio Colombiano a la Calidad de la Gestión"/>
    <n v="1"/>
    <n v="5.5813953488372094E-3"/>
    <m/>
    <x v="0"/>
    <x v="1"/>
    <m/>
    <x v="0"/>
    <x v="0"/>
    <x v="1"/>
    <m/>
    <m/>
    <x v="0"/>
    <x v="1"/>
    <s v="Trimestral"/>
    <s v="Marzo"/>
  </r>
  <r>
    <x v="13"/>
    <x v="13"/>
    <s v="N/A"/>
    <s v="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4"/>
    <x v="4"/>
    <s v="LP4-C3"/>
    <s v="Racionalización de trámites"/>
    <s v="PA-89"/>
    <x v="21"/>
    <s v="Subdirector(a) Mejoramiento Organizacional"/>
    <x v="168"/>
    <s v="Numero de trámites y/o procedimientos administrativos  racionalizados y actualizados en el portal SUIT"/>
    <n v="3"/>
    <n v="5.5813953488372094E-3"/>
    <m/>
    <x v="0"/>
    <x v="1"/>
    <m/>
    <x v="0"/>
    <x v="0"/>
    <x v="1"/>
    <m/>
    <m/>
    <x v="0"/>
    <x v="1"/>
    <s v="Anual"/>
    <s v="Diciembre"/>
  </r>
  <r>
    <x v="13"/>
    <x v="13"/>
    <s v="N/A"/>
    <s v="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1"/>
    <x v="1"/>
    <s v="N/A"/>
    <s v="N/A"/>
    <s v="MPE2-01"/>
    <x v="21"/>
    <s v="Subdirector(a) Mejoramiento Organizacional"/>
    <x v="169"/>
    <s v="Porcentaje de Acciones correctivas eficaces"/>
    <n v="0.85"/>
    <n v="3.7499999999999999E-3"/>
    <m/>
    <x v="0"/>
    <x v="0"/>
    <m/>
    <x v="1"/>
    <x v="1"/>
    <x v="1"/>
    <m/>
    <m/>
    <x v="0"/>
    <x v="2"/>
    <s v="Mensual"/>
    <s v="Enero"/>
  </r>
  <r>
    <x v="13"/>
    <x v="13"/>
    <s v="N/A"/>
    <s v="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1"/>
    <x v="1"/>
    <s v="N/A"/>
    <s v="N/A"/>
    <s v="MPE2-02"/>
    <x v="21"/>
    <s v="Subdirector(a) Mejoramiento Organizacional"/>
    <x v="170"/>
    <s v="Porcentaje de cierre de Servicios no conforme"/>
    <n v="0.85"/>
    <n v="1.276595744680851E-3"/>
    <m/>
    <x v="0"/>
    <x v="0"/>
    <s v="x"/>
    <x v="1"/>
    <x v="1"/>
    <x v="1"/>
    <m/>
    <m/>
    <x v="0"/>
    <x v="1"/>
    <s v="Mensual"/>
    <s v="Enero"/>
  </r>
  <r>
    <x v="13"/>
    <x v="13"/>
    <s v="N/A"/>
    <s v="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1"/>
    <x v="1"/>
    <s v="N/A"/>
    <s v="N/A"/>
    <s v="MPE2-03"/>
    <x v="21"/>
    <s v="Subdirector(a) Mejoramiento Organizacional"/>
    <x v="171"/>
    <s v="Porcentaje de Riesgos mitigados"/>
    <n v="0.95"/>
    <n v="3.7499999999999999E-3"/>
    <m/>
    <x v="0"/>
    <x v="0"/>
    <s v="x"/>
    <x v="1"/>
    <x v="1"/>
    <x v="1"/>
    <m/>
    <m/>
    <x v="1"/>
    <x v="2"/>
    <s v="Trimestral"/>
    <s v="Marzo"/>
  </r>
  <r>
    <x v="13"/>
    <x v="13"/>
    <s v="N/A"/>
    <s v="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1"/>
    <x v="1"/>
    <s v="N/A"/>
    <s v="N/A"/>
    <s v="MPE2-04"/>
    <x v="21"/>
    <s v="Subdirector(a) Mejoramiento Organizacional"/>
    <x v="172"/>
    <s v="Porcentaje de Macro procesos con evidencia de racionalización de procedimientos."/>
    <n v="1"/>
    <n v="3.7499999999999999E-3"/>
    <m/>
    <x v="0"/>
    <x v="1"/>
    <m/>
    <x v="1"/>
    <x v="1"/>
    <x v="1"/>
    <m/>
    <m/>
    <x v="0"/>
    <x v="2"/>
    <s v="Cuatrimestral"/>
    <s v="Abril"/>
  </r>
  <r>
    <x v="13"/>
    <x v="13"/>
    <s v="N/A"/>
    <s v="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1"/>
    <x v="1"/>
    <s v="N/A"/>
    <s v="N/A"/>
    <s v="MPE2-05"/>
    <x v="21"/>
    <s v="Subdirector(a) Mejoramiento Organizacional"/>
    <x v="173"/>
    <s v="Porcentaje de Acciones preventivas eficaces"/>
    <n v="0.85"/>
    <n v="3.7499999999999999E-3"/>
    <m/>
    <x v="0"/>
    <x v="0"/>
    <s v="x"/>
    <x v="1"/>
    <x v="1"/>
    <x v="1"/>
    <m/>
    <m/>
    <x v="0"/>
    <x v="2"/>
    <s v="Mensual"/>
    <s v="Enero"/>
  </r>
  <r>
    <x v="13"/>
    <x v="13"/>
    <s v="N/A"/>
    <s v="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1"/>
    <x v="1"/>
    <s v="N/A"/>
    <s v="N/A"/>
    <s v="MPE2-06"/>
    <x v="21"/>
    <s v="Subdirector(a) Mejoramiento Organizacional"/>
    <x v="174"/>
    <s v="Porcentaje de avance en el mejoramiento Continuo de Procesos"/>
    <n v="0.75"/>
    <n v="3.7499999999999999E-3"/>
    <m/>
    <x v="0"/>
    <x v="1"/>
    <m/>
    <x v="1"/>
    <x v="1"/>
    <x v="1"/>
    <m/>
    <m/>
    <x v="0"/>
    <x v="2"/>
    <s v="Cuatrimestral"/>
    <s v="Abril"/>
  </r>
  <r>
    <x v="14"/>
    <x v="14"/>
    <s v="N/A"/>
    <s v="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0"/>
    <x v="0"/>
    <s v="LP1-C1"/>
    <s v="Indicadores y metas de gobierno"/>
    <s v="PA-90"/>
    <x v="22"/>
    <s v="Director(a)  Sistema Nacional de Bienestar Familiar"/>
    <x v="175"/>
    <s v="Número de Municipios y departamentos asistidos técnicamente en el ciclo de gestión de la Política Pública de primera Infancia, Infancia Adolescencia y fortalecimiento a la Familia"/>
    <n v="1134"/>
    <n v="9.3023255813953487E-3"/>
    <m/>
    <x v="0"/>
    <x v="0"/>
    <m/>
    <x v="0"/>
    <x v="0"/>
    <x v="1"/>
    <m/>
    <m/>
    <x v="0"/>
    <x v="2"/>
    <s v="Trimestral"/>
    <s v="Junio"/>
  </r>
  <r>
    <x v="14"/>
    <x v="14"/>
    <s v="N/A"/>
    <s v="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0"/>
    <x v="0"/>
    <s v="LP1-C1"/>
    <s v="Indicadores y metas de gobierno"/>
    <s v="PA-91"/>
    <x v="22"/>
    <s v="Director(a)  Sistema Nacional de Bienestar Familiar"/>
    <x v="176"/>
    <s v="Número de entidades territoriales con acompañamiento para la implementación de la Ruta Integral de Atenciones"/>
    <n v="150"/>
    <n v="9.3023255813953487E-3"/>
    <m/>
    <x v="0"/>
    <x v="0"/>
    <m/>
    <x v="0"/>
    <x v="0"/>
    <x v="1"/>
    <m/>
    <m/>
    <x v="0"/>
    <x v="2"/>
    <s v="Bimestral"/>
    <s v="Julio"/>
  </r>
  <r>
    <x v="14"/>
    <x v="14"/>
    <s v="N/A"/>
    <s v="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5"/>
    <x v="5"/>
    <s v="LP2-C3"/>
    <s v="Participación Ciudadana en la Gestión"/>
    <s v="PA-92"/>
    <x v="22"/>
    <s v="Director(a)  Sistema Nacional de Bienestar Familiar"/>
    <x v="177"/>
    <s v="Número de Municipios y departamentos monitoreados en la operación de los Consejos de Política Social"/>
    <n v="1134"/>
    <n v="9.3023255813953487E-3"/>
    <m/>
    <x v="0"/>
    <x v="0"/>
    <m/>
    <x v="0"/>
    <x v="0"/>
    <x v="1"/>
    <m/>
    <m/>
    <x v="0"/>
    <x v="2"/>
    <s v="Trimestral"/>
    <s v="Junio"/>
  </r>
  <r>
    <x v="14"/>
    <x v="14"/>
    <s v="N/A"/>
    <s v="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0"/>
    <x v="0"/>
    <s v="LP1-C1"/>
    <s v="Indicadores y metas de gobierno"/>
    <s v="PA-93"/>
    <x v="22"/>
    <s v="Director(a)  Sistema Nacional de Bienestar Familiar"/>
    <x v="178"/>
    <s v="Porcentaje del Plan de acción del SNBF 2015 -2018  construido, validado (2015), implementado, monitoreado (2016-2017) y evaluado (2018)"/>
    <n v="0.4"/>
    <n v="9.3023255813953487E-3"/>
    <m/>
    <x v="0"/>
    <x v="1"/>
    <m/>
    <x v="0"/>
    <x v="0"/>
    <x v="1"/>
    <m/>
    <m/>
    <x v="0"/>
    <x v="2"/>
    <s v="Semestral"/>
    <s v="Junio"/>
  </r>
  <r>
    <x v="14"/>
    <x v="14"/>
    <s v="N/A"/>
    <s v="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0"/>
    <x v="0"/>
    <s v="LP1-C1"/>
    <s v="Indicadores y metas de gobierno"/>
    <s v="PA-94"/>
    <x v="22"/>
    <s v="Director(a)  Sistema Nacional de Bienestar Familiar"/>
    <x v="179"/>
    <s v="Porcentaje de indicadores del SUIN con información disponible según su hoja de vida."/>
    <n v="1"/>
    <n v="9.3023255813953487E-3"/>
    <m/>
    <x v="0"/>
    <x v="1"/>
    <m/>
    <x v="0"/>
    <x v="0"/>
    <x v="1"/>
    <m/>
    <m/>
    <x v="0"/>
    <x v="2"/>
    <s v="Semestral"/>
    <s v="Junio"/>
  </r>
  <r>
    <x v="14"/>
    <x v="14"/>
    <s v="N/A"/>
    <s v="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0"/>
    <x v="0"/>
    <s v="LP1-C1"/>
    <s v="Indicadores y metas de gobierno"/>
    <s v="PA-95"/>
    <x v="22"/>
    <s v="Director(a)  Sistema Nacional de Bienestar Familiar"/>
    <x v="180"/>
    <s v="Número de proyectos tipo de inversión formulados y socializados con las entidades territoriales con el fin de acceder a recursos del Sistema de Regalias."/>
    <n v="2"/>
    <n v="9.3023255813953487E-3"/>
    <m/>
    <x v="0"/>
    <x v="1"/>
    <m/>
    <x v="0"/>
    <x v="0"/>
    <x v="1"/>
    <m/>
    <m/>
    <x v="0"/>
    <x v="2"/>
    <s v="Semestral"/>
    <s v="Junio"/>
  </r>
  <r>
    <x v="14"/>
    <x v="14"/>
    <s v="N/A"/>
    <s v="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1"/>
    <x v="1"/>
    <s v="N/A"/>
    <s v="N/A"/>
    <s v="MPE3-01"/>
    <x v="22"/>
    <s v="Director(a)  Sistema Nacional de Bienestar Familiar"/>
    <x v="181"/>
    <s v="Porcentaje de cumplimiento a la proyección de ejecución presupuestal de compromisos"/>
    <n v="1"/>
    <n v="1.276595744680851E-3"/>
    <m/>
    <x v="0"/>
    <x v="1"/>
    <m/>
    <x v="1"/>
    <x v="1"/>
    <x v="1"/>
    <m/>
    <m/>
    <x v="1"/>
    <x v="1"/>
    <s v="Mensual"/>
    <s v="Marzo"/>
  </r>
  <r>
    <x v="15"/>
    <x v="15"/>
    <s v="MPEV1-P1"/>
    <s v="Evaluación y Monitoreo de la Gestión"/>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0"/>
    <x v="0"/>
    <s v="LP1-C1"/>
    <s v="Indicadores y metas de gobierno"/>
    <s v="PA-96"/>
    <x v="23"/>
    <s v="Subdirector(a) Monitoreo y Evaluación "/>
    <x v="182"/>
    <s v="Número de Evaluaciones e investigaciones realizadas"/>
    <n v="9"/>
    <n v="9.3023255813953487E-3"/>
    <m/>
    <x v="0"/>
    <x v="1"/>
    <m/>
    <x v="0"/>
    <x v="0"/>
    <x v="1"/>
    <m/>
    <m/>
    <x v="0"/>
    <x v="2"/>
    <s v="Anual"/>
    <s v="Diciembre"/>
  </r>
  <r>
    <x v="15"/>
    <x v="15"/>
    <s v="MPEV1-P1"/>
    <s v="Evaluación y Monitoreo de la Gestión"/>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0"/>
    <x v="0"/>
    <s v="LP1-C1"/>
    <s v="Indicadores y metas de gobierno"/>
    <s v="PA-97"/>
    <x v="23"/>
    <s v="Subdirector(a) Monitoreo y Evaluación "/>
    <x v="183"/>
    <s v="Porcentaje de avance del diseño e implementación de la sistematización del tablero de control "/>
    <n v="0.5"/>
    <n v="9.3023255813953487E-3"/>
    <m/>
    <x v="0"/>
    <x v="1"/>
    <m/>
    <x v="0"/>
    <x v="0"/>
    <x v="1"/>
    <m/>
    <m/>
    <x v="1"/>
    <x v="2"/>
    <s v="Cuatrimestral"/>
    <s v="Abril"/>
  </r>
  <r>
    <x v="15"/>
    <x v="15"/>
    <s v="MPEV1-P1"/>
    <s v="Evaluación y Monitoreo de la Gestión"/>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5"/>
    <x v="5"/>
    <s v="LP2-C4"/>
    <s v="Rendición de cuentas"/>
    <s v="PA-98"/>
    <x v="23"/>
    <s v="Subdirector(a) Monitoreo y Evaluación "/>
    <x v="184"/>
    <s v="Porcentaje de cumplimiento de compromisos formulados en las mesas publicas y rendición de cuentas"/>
    <n v="1"/>
    <n v="9.3023255813953487E-3"/>
    <m/>
    <x v="0"/>
    <x v="0"/>
    <s v="x"/>
    <x v="0"/>
    <x v="1"/>
    <x v="1"/>
    <m/>
    <m/>
    <x v="1"/>
    <x v="2"/>
    <s v="Trimestral"/>
    <s v="Junio"/>
  </r>
  <r>
    <x v="15"/>
    <x v="15"/>
    <s v="MPEV1-P1"/>
    <s v="Evaluación y Monitoreo de la Gestión"/>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1"/>
    <x v="1"/>
    <s v="N/A"/>
    <s v="N/A"/>
    <s v="MPEV1-P1-01"/>
    <x v="23"/>
    <s v="Subdirector(a) Monitoreo y Evaluación "/>
    <x v="185"/>
    <s v="Porcentaje de avance de las etapas para la realización de evaluaciones e investigaciones a los programas del ICBF"/>
    <n v="1"/>
    <n v="3.7499999999999999E-3"/>
    <m/>
    <x v="0"/>
    <x v="1"/>
    <m/>
    <x v="1"/>
    <x v="1"/>
    <x v="1"/>
    <m/>
    <m/>
    <x v="1"/>
    <x v="2"/>
    <s v="Trimestral"/>
    <s v="Marzo"/>
  </r>
  <r>
    <x v="15"/>
    <x v="15"/>
    <s v="MPEV1-P1"/>
    <s v="Evaluación y Monitoreo de la Gestión"/>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1"/>
    <x v="1"/>
    <s v="N/A"/>
    <s v="N/A"/>
    <s v="MPEV1-P1-02"/>
    <x v="23"/>
    <s v="Subdirector(a) Monitoreo y Evaluación "/>
    <x v="186"/>
    <s v="Porcentaje de avance de Informes realizados sobre la monitoreo institucional a nivel nacional y regional"/>
    <n v="1"/>
    <n v="1.276595744680851E-3"/>
    <m/>
    <x v="0"/>
    <x v="1"/>
    <m/>
    <x v="1"/>
    <x v="1"/>
    <x v="1"/>
    <m/>
    <m/>
    <x v="0"/>
    <x v="1"/>
    <s v="Trimestral"/>
    <s v="Mayo"/>
  </r>
  <r>
    <x v="15"/>
    <x v="15"/>
    <s v="MPEV1-P2"/>
    <s v="Evaluación Independiente"/>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0"/>
    <x v="0"/>
    <s v="LP1-C1"/>
    <s v="Indicadores y metas de gobierno"/>
    <s v="PA-99"/>
    <x v="24"/>
    <s v="Jefe Oficina de Control Interno"/>
    <x v="187"/>
    <s v="Porcentaje de Ejecución de Auditoria del Sistema de Gestión de Calidad a Regionales "/>
    <n v="1"/>
    <n v="9.3023255813953487E-3"/>
    <m/>
    <x v="0"/>
    <x v="1"/>
    <m/>
    <x v="0"/>
    <x v="0"/>
    <x v="1"/>
    <m/>
    <m/>
    <x v="0"/>
    <x v="2"/>
    <s v="Trimestral"/>
    <s v="Marzo"/>
  </r>
  <r>
    <x v="15"/>
    <x v="15"/>
    <s v="MPEV1-P2"/>
    <s v="Evaluación Independiente"/>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0"/>
    <x v="0"/>
    <s v="LP1-C1"/>
    <s v="Indicadores y metas de gobierno"/>
    <s v="PA-100"/>
    <x v="24"/>
    <s v="Jefe Oficina de Control Interno"/>
    <x v="188"/>
    <s v="Porcentaje de Ejecución de Auditoria del Sistema de Gestión de Calidad a los Macro procesos/procesos de la Sede de la Dirección General."/>
    <n v="1"/>
    <n v="9.3023255813953487E-3"/>
    <m/>
    <x v="0"/>
    <x v="1"/>
    <m/>
    <x v="0"/>
    <x v="0"/>
    <x v="1"/>
    <m/>
    <m/>
    <x v="0"/>
    <x v="2"/>
    <s v="Trimestral"/>
    <s v="Septiembre"/>
  </r>
  <r>
    <x v="15"/>
    <x v="15"/>
    <s v="MPEV1-P2"/>
    <s v="Evaluación Independiente"/>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0"/>
    <x v="0"/>
    <s v="LP1-C1"/>
    <s v="Indicadores y metas de gobierno"/>
    <s v="PA-101"/>
    <x v="24"/>
    <s v="Jefe Oficina de Control Interno"/>
    <x v="189"/>
    <s v="Porcentaje de Informes generados en cumplimiento de funciones asignadas por normas internas y externas"/>
    <n v="1"/>
    <n v="9.3023255813953487E-3"/>
    <m/>
    <x v="0"/>
    <x v="1"/>
    <m/>
    <x v="0"/>
    <x v="0"/>
    <x v="1"/>
    <m/>
    <m/>
    <x v="0"/>
    <x v="2"/>
    <s v="Trimestral"/>
    <s v="Marzo"/>
  </r>
  <r>
    <x v="15"/>
    <x v="15"/>
    <s v="MPEV1-P2"/>
    <s v="Evaluación Independiente"/>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0"/>
    <x v="0"/>
    <s v="LP1-C1"/>
    <s v="Indicadores y metas de gobierno"/>
    <s v="PA-102"/>
    <x v="24"/>
    <s v="Jefe Oficina de Control Interno"/>
    <x v="190"/>
    <s v="Porcentaje de Avance del Plan de Mejoramiento de la CGR"/>
    <n v="1"/>
    <n v="9.3023255813953487E-3"/>
    <m/>
    <x v="0"/>
    <x v="1"/>
    <m/>
    <x v="0"/>
    <x v="1"/>
    <x v="1"/>
    <m/>
    <m/>
    <x v="0"/>
    <x v="2"/>
    <s v="Trimestral"/>
    <s v="Marzo"/>
  </r>
  <r>
    <x v="16"/>
    <x v="16"/>
    <s v="MPEV2-P1"/>
    <s v="Evaluación de la Calidad de los Servicios Misionales del ICBF"/>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0"/>
    <x v="0"/>
    <s v="LP1-C1"/>
    <s v="Indicadores y metas de gobierno"/>
    <s v="PA-103"/>
    <x v="25"/>
    <s v="Jefe Oficina de Aseguramiento a la calidad"/>
    <x v="191"/>
    <s v="Número de  Visitas de Inspección, Vigilancia y Control realizadas a instituciones prestadoras del Servicio Público  de Bienestar Familiar"/>
    <n v="70"/>
    <n v="5.5813953488372094E-3"/>
    <m/>
    <x v="0"/>
    <x v="1"/>
    <m/>
    <x v="0"/>
    <x v="0"/>
    <x v="1"/>
    <m/>
    <m/>
    <x v="0"/>
    <x v="1"/>
    <s v="Trimestral"/>
    <s v="Marzo"/>
  </r>
  <r>
    <x v="16"/>
    <x v="16"/>
    <s v="MPEV2-P1"/>
    <s v="Evaluación de la Calidad de los Servicios Misionales del ICBF"/>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0"/>
    <x v="0"/>
    <s v="LP1-C1"/>
    <s v="Indicadores y metas de gobierno"/>
    <s v="PA-104"/>
    <x v="25"/>
    <s v="Jefe Oficina de Aseguramiento a la calidad"/>
    <x v="192"/>
    <s v="Numero de auditorías selectivas de calidad realizadas a instituciones prestadoras del Servicio Público  de Bienestar Familiar."/>
    <n v="80"/>
    <n v="5.5813953488372094E-3"/>
    <m/>
    <x v="0"/>
    <x v="1"/>
    <m/>
    <x v="0"/>
    <x v="0"/>
    <x v="1"/>
    <m/>
    <m/>
    <x v="0"/>
    <x v="1"/>
    <s v="Trimestral"/>
    <s v="Marzo"/>
  </r>
  <r>
    <x v="16"/>
    <x v="16"/>
    <s v="MPEV2-P1"/>
    <s v="Evaluación de la Calidad de los Servicios Misionales del ICBF"/>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0"/>
    <x v="0"/>
    <s v="LP1-C1"/>
    <s v="Indicadores y metas de gobierno"/>
    <s v="PA-105"/>
    <x v="25"/>
    <s v="Jefe Oficina de Aseguramiento a la calidad"/>
    <x v="193"/>
    <s v="Porcentaje de Regionales fortalecidas en la aplicación  y normatividad vigente para los procedimientos de personerías jurídicas y licencias de funcionamiento"/>
    <n v="1"/>
    <n v="9.3023255813953487E-3"/>
    <m/>
    <x v="0"/>
    <x v="1"/>
    <m/>
    <x v="0"/>
    <x v="1"/>
    <x v="1"/>
    <m/>
    <m/>
    <x v="0"/>
    <x v="2"/>
    <s v="Trimestral"/>
    <s v="Marzo"/>
  </r>
  <r>
    <x v="16"/>
    <x v="16"/>
    <s v="MPEV2-P2"/>
    <s v="Asistencia Técnica a los Actores del Macro Proceso Aseguramiento de la Calidad de los Servicios Misionales del ICBF"/>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0"/>
    <x v="0"/>
    <s v="LP1-C1"/>
    <s v="Indicadores y metas de gobierno"/>
    <s v="PA-106"/>
    <x v="25"/>
    <s v="Jefe Oficina de Aseguramiento a la calidad"/>
    <x v="194"/>
    <s v="Numero de Instituciones prestadoras del Servicio Público de Bienestar Familiar, con requisitos validados en la Norma Técnica de Empresa- ICBF - NTE 001"/>
    <n v="10"/>
    <n v="8.4210526315789489E-3"/>
    <m/>
    <x v="0"/>
    <x v="1"/>
    <m/>
    <x v="0"/>
    <x v="0"/>
    <x v="1"/>
    <m/>
    <m/>
    <x v="0"/>
    <x v="0"/>
    <s v="Trimestral"/>
    <s v="Junio"/>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 dinámica11" cacheId="8" applyNumberFormats="0" applyBorderFormats="0" applyFontFormats="0" applyPatternFormats="0" applyAlignmentFormats="0" applyWidthHeightFormats="1" dataCaption="Valores" updatedVersion="5" minRefreshableVersion="3" useAutoFormatting="1" itemPrintTitles="1" createdVersion="5" indent="0" compact="0" compactData="0" multipleFieldFilters="0" colHeaderCaption="l">
  <location ref="BU8:BY17" firstHeaderRow="0" firstDataRow="1" firstDataCol="2"/>
  <pivotFields count="32">
    <pivotField compact="0" outline="0" showAll="0" defaultSubtota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defaultSubtotal="0"/>
    <pivotField compact="0" outline="0" showAll="0" defaultSubtotal="0"/>
    <pivotField compact="0" outline="0" showAll="0"/>
    <pivotField compact="0" outline="0" showAll="0"/>
    <pivotField compact="0" outline="0" showAll="0"/>
    <pivotField compact="0" outline="0" showAll="0" defaultSubtotal="0"/>
    <pivotField compact="0" outline="0" showAll="0"/>
    <pivotField compact="0" outline="0" showAll="0" sortType="ascending" defaultSubtotal="0"/>
    <pivotField compact="0" outline="0" showAll="0"/>
    <pivotField compact="0" outline="0" showAll="0"/>
    <pivotField compact="0" outline="0" showAll="0"/>
    <pivotField compact="0" outline="0" showAll="0"/>
    <pivotField dataField="1" compact="0" outline="0" showAll="0"/>
    <pivotField dataField="1" compact="0" outline="0" showAll="0"/>
    <pivotField dataField="1" compact="0" outline="0" showAll="0"/>
    <pivotField compact="0" outline="0" showAll="0"/>
    <pivotField compact="0" outline="0" showAll="0"/>
    <pivotField compact="0" outline="0" showAll="0"/>
    <pivotField compact="0" outline="0" showAll="0"/>
    <pivotField compact="0" outline="0" showAll="0" defaultSubtotal="0"/>
    <pivotField axis="axisRow" compact="0" outline="0" showAll="0">
      <items count="3">
        <item x="0"/>
        <item x="1"/>
        <item t="default"/>
      </items>
    </pivotField>
    <pivotField axis="axisRow" compact="0" outline="0" showAll="0" sortType="descending">
      <items count="9">
        <item m="1" x="4"/>
        <item x="2"/>
        <item m="1" x="5"/>
        <item x="0"/>
        <item m="1" x="3"/>
        <item m="1" x="7"/>
        <item m="1" x="6"/>
        <item x="1"/>
        <item t="default"/>
      </items>
    </pivotField>
    <pivotField compact="0" outline="0" showAll="0"/>
    <pivotField compact="0" outline="0" showAll="0"/>
  </pivotFields>
  <rowFields count="2">
    <field x="28"/>
    <field x="29"/>
  </rowFields>
  <rowItems count="9">
    <i>
      <x/>
      <x v="1"/>
    </i>
    <i r="1">
      <x v="3"/>
    </i>
    <i r="1">
      <x v="7"/>
    </i>
    <i t="default">
      <x/>
    </i>
    <i>
      <x v="1"/>
      <x v="1"/>
    </i>
    <i r="1">
      <x v="3"/>
    </i>
    <i r="1">
      <x v="7"/>
    </i>
    <i t="default">
      <x v="1"/>
    </i>
    <i t="grand">
      <x/>
    </i>
  </rowItems>
  <colFields count="1">
    <field x="-2"/>
  </colFields>
  <colItems count="3">
    <i>
      <x/>
    </i>
    <i i="1">
      <x v="1"/>
    </i>
    <i i="2">
      <x v="2"/>
    </i>
  </colItems>
  <dataFields count="3">
    <dataField name="Cuenta de N" fld="20" subtotal="count" baseField="0" baseItem="0"/>
    <dataField name="Cuenta de R" fld="21" subtotal="count" baseField="0" baseItem="0"/>
    <dataField name="Cuenta de Z" fld="22" subtotal="count" baseField="0" baseItem="0"/>
  </dataFields>
  <formats count="9">
    <format dxfId="3850">
      <pivotArea dataOnly="0" grandRow="1" outline="0" fieldPosition="0"/>
    </format>
    <format dxfId="3849">
      <pivotArea type="all" dataOnly="0" outline="0" fieldPosition="0"/>
    </format>
    <format dxfId="3848">
      <pivotArea outline="0" collapsedLevelsAreSubtotals="1" fieldPosition="0"/>
    </format>
    <format dxfId="3847">
      <pivotArea dataOnly="0" labelOnly="1" outline="0" axis="axisValues" fieldPosition="0"/>
    </format>
    <format dxfId="3846">
      <pivotArea dataOnly="0" labelOnly="1" outline="0" fieldPosition="0">
        <references count="1">
          <reference field="28" count="0"/>
        </references>
      </pivotArea>
    </format>
    <format dxfId="3845">
      <pivotArea dataOnly="0" labelOnly="1" outline="0" fieldPosition="0">
        <references count="1">
          <reference field="28" count="0" defaultSubtotal="1"/>
        </references>
      </pivotArea>
    </format>
    <format dxfId="3844">
      <pivotArea dataOnly="0" labelOnly="1" grandRow="1" outline="0" fieldPosition="0"/>
    </format>
    <format dxfId="3843">
      <pivotArea dataOnly="0" labelOnly="1" outline="0" fieldPosition="0">
        <references count="2">
          <reference field="28" count="1" selected="0">
            <x v="0"/>
          </reference>
          <reference field="29" count="0"/>
        </references>
      </pivotArea>
    </format>
    <format dxfId="3842">
      <pivotArea dataOnly="0" labelOnly="1" outline="0" fieldPosition="0">
        <references count="2">
          <reference field="28" count="1" selected="0">
            <x v="1"/>
          </reference>
          <reference field="29"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0.xml><?xml version="1.0" encoding="utf-8"?>
<pivotTableDefinition xmlns="http://schemas.openxmlformats.org/spreadsheetml/2006/main" name="Tabla dinámica10" cacheId="8" applyNumberFormats="0" applyBorderFormats="0" applyFontFormats="0" applyPatternFormats="0" applyAlignmentFormats="0" applyWidthHeightFormats="1" dataCaption="Valores" updatedVersion="5" minRefreshableVersion="3" useAutoFormatting="1" itemPrintTitles="1" createdVersion="5" indent="0" compact="0" compactData="0" multipleFieldFilters="0" colHeaderCaption="l">
  <location ref="BU2:BX6" firstHeaderRow="0" firstDataRow="1" firstDataCol="1"/>
  <pivotFields count="32">
    <pivotField compact="0" outline="0" showAll="0" defaultSubtota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defaultSubtotal="0"/>
    <pivotField compact="0" outline="0" showAll="0" defaultSubtotal="0"/>
    <pivotField compact="0" outline="0" showAll="0"/>
    <pivotField compact="0" outline="0" showAll="0"/>
    <pivotField compact="0" outline="0" showAll="0"/>
    <pivotField compact="0" outline="0" showAll="0" defaultSubtotal="0"/>
    <pivotField compact="0" outline="0" showAll="0"/>
    <pivotField compact="0" outline="0" showAll="0" sortType="ascending" defaultSubtotal="0"/>
    <pivotField compact="0" outline="0" showAll="0"/>
    <pivotField compact="0" outline="0" showAll="0"/>
    <pivotField compact="0" outline="0" showAll="0"/>
    <pivotField compact="0" outline="0" showAll="0"/>
    <pivotField dataField="1" compact="0" outline="0" showAll="0"/>
    <pivotField dataField="1" compact="0" outline="0" showAll="0"/>
    <pivotField dataField="1" compact="0" outline="0" showAll="0"/>
    <pivotField compact="0" outline="0" showAll="0"/>
    <pivotField compact="0" outline="0" showAll="0"/>
    <pivotField compact="0" outline="0" showAll="0"/>
    <pivotField compact="0" outline="0" showAll="0"/>
    <pivotField compact="0" outline="0" showAll="0" defaultSubtotal="0"/>
    <pivotField compact="0" outline="0" showAll="0"/>
    <pivotField axis="axisRow" compact="0" outline="0" showAll="0" sortType="descending">
      <items count="9">
        <item m="1" x="4"/>
        <item x="2"/>
        <item m="1" x="5"/>
        <item x="0"/>
        <item m="1" x="3"/>
        <item m="1" x="7"/>
        <item m="1" x="6"/>
        <item x="1"/>
        <item t="default"/>
      </items>
    </pivotField>
    <pivotField compact="0" outline="0" showAll="0"/>
    <pivotField compact="0" outline="0" showAll="0"/>
  </pivotFields>
  <rowFields count="1">
    <field x="29"/>
  </rowFields>
  <rowItems count="4">
    <i>
      <x v="1"/>
    </i>
    <i>
      <x v="3"/>
    </i>
    <i>
      <x v="7"/>
    </i>
    <i t="grand">
      <x/>
    </i>
  </rowItems>
  <colFields count="1">
    <field x="-2"/>
  </colFields>
  <colItems count="3">
    <i>
      <x/>
    </i>
    <i i="1">
      <x v="1"/>
    </i>
    <i i="2">
      <x v="2"/>
    </i>
  </colItems>
  <dataFields count="3">
    <dataField name="Cuenta de N" fld="20" subtotal="count" baseField="0" baseItem="0"/>
    <dataField name="Cuenta de R" fld="21" subtotal="count" baseField="0" baseItem="0"/>
    <dataField name="Cuenta de Z" fld="22" subtotal="count" baseField="0" baseItem="0"/>
  </dataFields>
  <formats count="8">
    <format dxfId="4153">
      <pivotArea dataOnly="0" outline="0" fieldPosition="0">
        <references count="1">
          <reference field="29" count="0" defaultSubtotal="1"/>
        </references>
      </pivotArea>
    </format>
    <format dxfId="4152">
      <pivotArea dataOnly="0" grandRow="1" outline="0" fieldPosition="0"/>
    </format>
    <format dxfId="4151">
      <pivotArea type="all" dataOnly="0" outline="0" fieldPosition="0"/>
    </format>
    <format dxfId="4150">
      <pivotArea outline="0" collapsedLevelsAreSubtotals="1" fieldPosition="0"/>
    </format>
    <format dxfId="4149">
      <pivotArea dataOnly="0" labelOnly="1" outline="0" axis="axisValues" fieldPosition="0"/>
    </format>
    <format dxfId="4148">
      <pivotArea dataOnly="0" labelOnly="1" outline="0" fieldPosition="0">
        <references count="1">
          <reference field="29" count="0"/>
        </references>
      </pivotArea>
    </format>
    <format dxfId="4147">
      <pivotArea dataOnly="0" labelOnly="1" outline="0" fieldPosition="0">
        <references count="1">
          <reference field="29" count="0" defaultSubtotal="1"/>
        </references>
      </pivotArea>
    </format>
    <format dxfId="4146">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1.xml><?xml version="1.0" encoding="utf-8"?>
<pivotTableDefinition xmlns="http://schemas.openxmlformats.org/spreadsheetml/2006/main" name="Tabla dinámica1" cacheId="8" applyNumberFormats="0" applyBorderFormats="0" applyFontFormats="0" applyPatternFormats="0" applyAlignmentFormats="0" applyWidthHeightFormats="1" dataCaption="Valores" updatedVersion="5" minRefreshableVersion="3" useAutoFormatting="1" itemPrintTitles="1" createdVersion="5" indent="0" compact="0" compactData="0" multipleFieldFilters="0" colHeaderCaption="l">
  <location ref="K1:N15" firstHeaderRow="1" firstDataRow="1" firstDataCol="3"/>
  <pivotFields count="32">
    <pivotField compact="0" outline="0" showAll="0" defaultSubtota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axis="axisRow" compact="0" outline="0" showAll="0" defaultSubtotal="0">
      <items count="6">
        <item x="0"/>
        <item x="5"/>
        <item x="2"/>
        <item x="4"/>
        <item x="3"/>
        <item x="1"/>
      </items>
    </pivotField>
    <pivotField axis="axisRow" compact="0" outline="0" showAll="0" defaultSubtotal="0">
      <items count="6">
        <item x="4"/>
        <item x="2"/>
        <item x="3"/>
        <item x="0"/>
        <item h="1" x="1"/>
        <item x="5"/>
      </items>
    </pivotField>
    <pivotField compact="0" outline="0" showAll="0"/>
    <pivotField compact="0" outline="0" showAll="0"/>
    <pivotField compact="0" outline="0" showAll="0"/>
    <pivotField compact="0" outline="0" showAll="0" defaultSubtotal="0"/>
    <pivotField compact="0" outline="0" showAll="0"/>
    <pivotField dataField="1" compact="0" outline="0" showAll="0" sortType="ascending" defaultSubtota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defaultSubtotal="0"/>
    <pivotField compact="0" outline="0" showAll="0"/>
    <pivotField axis="axisRow" compact="0" outline="0" showAll="0" sortType="descending">
      <items count="9">
        <item m="1" x="4"/>
        <item x="2"/>
        <item m="1" x="5"/>
        <item x="0"/>
        <item m="1" x="3"/>
        <item m="1" x="7"/>
        <item m="1" x="6"/>
        <item x="1"/>
        <item t="default"/>
      </items>
    </pivotField>
    <pivotField compact="0" outline="0" showAll="0"/>
    <pivotField compact="0" outline="0" showAll="0"/>
  </pivotFields>
  <rowFields count="3">
    <field x="29"/>
    <field x="8"/>
    <field x="9"/>
  </rowFields>
  <rowItems count="14">
    <i>
      <x v="1"/>
      <x/>
      <x v="3"/>
    </i>
    <i r="1">
      <x v="1"/>
      <x v="5"/>
    </i>
    <i r="1">
      <x v="3"/>
      <x/>
    </i>
    <i r="1">
      <x v="4"/>
      <x v="2"/>
    </i>
    <i t="default">
      <x v="1"/>
    </i>
    <i>
      <x v="3"/>
      <x/>
      <x v="3"/>
    </i>
    <i t="default">
      <x v="3"/>
    </i>
    <i>
      <x v="7"/>
      <x/>
      <x v="3"/>
    </i>
    <i r="1">
      <x v="1"/>
      <x v="5"/>
    </i>
    <i r="1">
      <x v="2"/>
      <x v="1"/>
    </i>
    <i r="1">
      <x v="3"/>
      <x/>
    </i>
    <i r="1">
      <x v="4"/>
      <x v="2"/>
    </i>
    <i t="default">
      <x v="7"/>
    </i>
    <i t="grand">
      <x/>
    </i>
  </rowItems>
  <colItems count="1">
    <i/>
  </colItems>
  <dataFields count="1">
    <dataField name="Cuenta de Cod6" fld="15" subtotal="count" baseField="0" baseItem="0"/>
  </dataFields>
  <formats count="21">
    <format dxfId="4174">
      <pivotArea dataOnly="0" outline="0" fieldPosition="0">
        <references count="1">
          <reference field="29" count="0" defaultSubtotal="1"/>
        </references>
      </pivotArea>
    </format>
    <format dxfId="4173">
      <pivotArea dataOnly="0" grandRow="1" outline="0" fieldPosition="0"/>
    </format>
    <format dxfId="4172">
      <pivotArea type="all" dataOnly="0" outline="0" fieldPosition="0"/>
    </format>
    <format dxfId="4171">
      <pivotArea outline="0" collapsedLevelsAreSubtotals="1" fieldPosition="0"/>
    </format>
    <format dxfId="4170">
      <pivotArea dataOnly="0" labelOnly="1" outline="0" axis="axisValues" fieldPosition="0"/>
    </format>
    <format dxfId="4169">
      <pivotArea dataOnly="0" labelOnly="1" outline="0" fieldPosition="0">
        <references count="1">
          <reference field="29" count="0"/>
        </references>
      </pivotArea>
    </format>
    <format dxfId="4168">
      <pivotArea dataOnly="0" labelOnly="1" outline="0" fieldPosition="0">
        <references count="1">
          <reference field="29" count="0" defaultSubtotal="1"/>
        </references>
      </pivotArea>
    </format>
    <format dxfId="4167">
      <pivotArea dataOnly="0" labelOnly="1" grandRow="1" outline="0" fieldPosition="0"/>
    </format>
    <format dxfId="4166">
      <pivotArea dataOnly="0" labelOnly="1" outline="0" fieldPosition="0">
        <references count="2">
          <reference field="8" count="4">
            <x v="0"/>
            <x v="1"/>
            <x v="3"/>
            <x v="4"/>
          </reference>
          <reference field="29" count="1" selected="0">
            <x v="1"/>
          </reference>
        </references>
      </pivotArea>
    </format>
    <format dxfId="4165">
      <pivotArea dataOnly="0" labelOnly="1" outline="0" fieldPosition="0">
        <references count="2">
          <reference field="8" count="1">
            <x v="0"/>
          </reference>
          <reference field="29" count="1" selected="0">
            <x v="3"/>
          </reference>
        </references>
      </pivotArea>
    </format>
    <format dxfId="4164">
      <pivotArea dataOnly="0" labelOnly="1" outline="0" fieldPosition="0">
        <references count="2">
          <reference field="8" count="5">
            <x v="0"/>
            <x v="1"/>
            <x v="2"/>
            <x v="3"/>
            <x v="4"/>
          </reference>
          <reference field="29" count="1" selected="0">
            <x v="7"/>
          </reference>
        </references>
      </pivotArea>
    </format>
    <format dxfId="4163">
      <pivotArea dataOnly="0" labelOnly="1" outline="0" fieldPosition="0">
        <references count="3">
          <reference field="8" count="1" selected="0">
            <x v="0"/>
          </reference>
          <reference field="9" count="1">
            <x v="3"/>
          </reference>
          <reference field="29" count="1" selected="0">
            <x v="1"/>
          </reference>
        </references>
      </pivotArea>
    </format>
    <format dxfId="4162">
      <pivotArea dataOnly="0" labelOnly="1" outline="0" fieldPosition="0">
        <references count="3">
          <reference field="8" count="1" selected="0">
            <x v="1"/>
          </reference>
          <reference field="9" count="1">
            <x v="5"/>
          </reference>
          <reference field="29" count="1" selected="0">
            <x v="1"/>
          </reference>
        </references>
      </pivotArea>
    </format>
    <format dxfId="4161">
      <pivotArea dataOnly="0" labelOnly="1" outline="0" fieldPosition="0">
        <references count="3">
          <reference field="8" count="1" selected="0">
            <x v="3"/>
          </reference>
          <reference field="9" count="1">
            <x v="0"/>
          </reference>
          <reference field="29" count="1" selected="0">
            <x v="1"/>
          </reference>
        </references>
      </pivotArea>
    </format>
    <format dxfId="4160">
      <pivotArea dataOnly="0" labelOnly="1" outline="0" fieldPosition="0">
        <references count="3">
          <reference field="8" count="1" selected="0">
            <x v="4"/>
          </reference>
          <reference field="9" count="1">
            <x v="2"/>
          </reference>
          <reference field="29" count="1" selected="0">
            <x v="1"/>
          </reference>
        </references>
      </pivotArea>
    </format>
    <format dxfId="4159">
      <pivotArea dataOnly="0" labelOnly="1" outline="0" fieldPosition="0">
        <references count="3">
          <reference field="8" count="1" selected="0">
            <x v="0"/>
          </reference>
          <reference field="9" count="1">
            <x v="3"/>
          </reference>
          <reference field="29" count="1" selected="0">
            <x v="3"/>
          </reference>
        </references>
      </pivotArea>
    </format>
    <format dxfId="4158">
      <pivotArea dataOnly="0" labelOnly="1" outline="0" fieldPosition="0">
        <references count="3">
          <reference field="8" count="1" selected="0">
            <x v="0"/>
          </reference>
          <reference field="9" count="1">
            <x v="3"/>
          </reference>
          <reference field="29" count="1" selected="0">
            <x v="7"/>
          </reference>
        </references>
      </pivotArea>
    </format>
    <format dxfId="4157">
      <pivotArea dataOnly="0" labelOnly="1" outline="0" fieldPosition="0">
        <references count="3">
          <reference field="8" count="1" selected="0">
            <x v="1"/>
          </reference>
          <reference field="9" count="1">
            <x v="5"/>
          </reference>
          <reference field="29" count="1" selected="0">
            <x v="7"/>
          </reference>
        </references>
      </pivotArea>
    </format>
    <format dxfId="4156">
      <pivotArea dataOnly="0" labelOnly="1" outline="0" fieldPosition="0">
        <references count="3">
          <reference field="8" count="1" selected="0">
            <x v="2"/>
          </reference>
          <reference field="9" count="1">
            <x v="1"/>
          </reference>
          <reference field="29" count="1" selected="0">
            <x v="7"/>
          </reference>
        </references>
      </pivotArea>
    </format>
    <format dxfId="4155">
      <pivotArea dataOnly="0" labelOnly="1" outline="0" fieldPosition="0">
        <references count="3">
          <reference field="8" count="1" selected="0">
            <x v="3"/>
          </reference>
          <reference field="9" count="1">
            <x v="0"/>
          </reference>
          <reference field="29" count="1" selected="0">
            <x v="7"/>
          </reference>
        </references>
      </pivotArea>
    </format>
    <format dxfId="4154">
      <pivotArea dataOnly="0" labelOnly="1" outline="0" fieldPosition="0">
        <references count="3">
          <reference field="8" count="1" selected="0">
            <x v="4"/>
          </reference>
          <reference field="9" count="1">
            <x v="2"/>
          </reference>
          <reference field="29" count="1" selected="0">
            <x v="7"/>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2.xml><?xml version="1.0" encoding="utf-8"?>
<pivotTableDefinition xmlns="http://schemas.openxmlformats.org/spreadsheetml/2006/main" name="Tabla dinámica13" cacheId="8" applyNumberFormats="0" applyBorderFormats="0" applyFontFormats="0" applyPatternFormats="0" applyAlignmentFormats="0" applyWidthHeightFormats="1" dataCaption="Valores" updatedVersion="5" minRefreshableVersion="3" useAutoFormatting="1" itemPrintTitles="1" createdVersion="5" indent="0" compact="0" compactData="0" multipleFieldFilters="0" colHeaderCaption="l">
  <location ref="I33:L37" firstHeaderRow="0" firstDataRow="1" firstDataCol="1"/>
  <pivotFields count="32">
    <pivotField compact="0" outline="0" showAll="0" defaultSubtota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defaultSubtotal="0"/>
    <pivotField compact="0" outline="0" showAll="0" defaultSubtotal="0"/>
    <pivotField compact="0" outline="0" showAll="0"/>
    <pivotField compact="0" outline="0" showAll="0"/>
    <pivotField compact="0" outline="0" showAll="0"/>
    <pivotField compact="0" outline="0" showAll="0" defaultSubtotal="0"/>
    <pivotField compact="0" outline="0" showAll="0"/>
    <pivotField compact="0" outline="0" showAll="0" sortType="ascending" defaultSubtotal="0"/>
    <pivotField compact="0" outline="0" showAll="0"/>
    <pivotField compact="0" outline="0" showAll="0"/>
    <pivotField compact="0" outline="0" showAll="0"/>
    <pivotField compact="0" outline="0" showAll="0"/>
    <pivotField dataField="1" compact="0" outline="0" showAll="0"/>
    <pivotField dataField="1" compact="0" outline="0" showAll="0"/>
    <pivotField dataField="1" compact="0" outline="0" showAll="0"/>
    <pivotField compact="0" outline="0" showAll="0"/>
    <pivotField compact="0" outline="0" showAll="0"/>
    <pivotField compact="0" outline="0" showAll="0"/>
    <pivotField compact="0" outline="0" showAll="0"/>
    <pivotField compact="0" outline="0" showAll="0" defaultSubtotal="0"/>
    <pivotField compact="0" outline="0" showAll="0"/>
    <pivotField axis="axisRow" compact="0" outline="0" showAll="0" sortType="descending">
      <items count="9">
        <item m="1" x="4"/>
        <item x="2"/>
        <item m="1" x="5"/>
        <item x="0"/>
        <item m="1" x="3"/>
        <item m="1" x="7"/>
        <item m="1" x="6"/>
        <item x="1"/>
        <item t="default"/>
      </items>
    </pivotField>
    <pivotField compact="0" outline="0" showAll="0"/>
    <pivotField compact="0" outline="0" showAll="0"/>
  </pivotFields>
  <rowFields count="1">
    <field x="29"/>
  </rowFields>
  <rowItems count="4">
    <i>
      <x v="1"/>
    </i>
    <i>
      <x v="3"/>
    </i>
    <i>
      <x v="7"/>
    </i>
    <i t="grand">
      <x/>
    </i>
  </rowItems>
  <colFields count="1">
    <field x="-2"/>
  </colFields>
  <colItems count="3">
    <i>
      <x/>
    </i>
    <i i="1">
      <x v="1"/>
    </i>
    <i i="2">
      <x v="2"/>
    </i>
  </colItems>
  <dataFields count="3">
    <dataField name="Nacional" fld="20" subtotal="count" baseField="0" baseItem="0"/>
    <dataField name="Regional" fld="21" subtotal="count" baseField="0" baseItem="0"/>
    <dataField name="Zonal" fld="22" subtotal="count" baseField="0" baseItem="0"/>
  </dataFields>
  <formats count="25">
    <format dxfId="3537">
      <pivotArea dataOnly="0" outline="0" fieldPosition="0">
        <references count="1">
          <reference field="29" count="0" defaultSubtotal="1"/>
        </references>
      </pivotArea>
    </format>
    <format dxfId="3536">
      <pivotArea dataOnly="0" grandRow="1" outline="0" fieldPosition="0"/>
    </format>
    <format dxfId="3535">
      <pivotArea type="all" dataOnly="0" outline="0" fieldPosition="0"/>
    </format>
    <format dxfId="3534">
      <pivotArea outline="0" collapsedLevelsAreSubtotals="1" fieldPosition="0"/>
    </format>
    <format dxfId="3533">
      <pivotArea dataOnly="0" labelOnly="1" outline="0" axis="axisValues" fieldPosition="0"/>
    </format>
    <format dxfId="3532">
      <pivotArea dataOnly="0" labelOnly="1" outline="0" fieldPosition="0">
        <references count="1">
          <reference field="29" count="0"/>
        </references>
      </pivotArea>
    </format>
    <format dxfId="3531">
      <pivotArea dataOnly="0" labelOnly="1" outline="0" fieldPosition="0">
        <references count="1">
          <reference field="29" count="0" defaultSubtotal="1"/>
        </references>
      </pivotArea>
    </format>
    <format dxfId="3530">
      <pivotArea dataOnly="0" labelOnly="1" grandRow="1" outline="0" fieldPosition="0"/>
    </format>
    <format dxfId="3529">
      <pivotArea field="29" type="button" dataOnly="0" labelOnly="1" outline="0" axis="axisRow" fieldPosition="0"/>
    </format>
    <format dxfId="3528">
      <pivotArea dataOnly="0" labelOnly="1" outline="0" fieldPosition="0">
        <references count="1">
          <reference field="4294967294" count="3">
            <x v="0"/>
            <x v="1"/>
            <x v="2"/>
          </reference>
        </references>
      </pivotArea>
    </format>
    <format dxfId="3527">
      <pivotArea field="29" type="button" dataOnly="0" labelOnly="1" outline="0" axis="axisRow" fieldPosition="0"/>
    </format>
    <format dxfId="3526">
      <pivotArea dataOnly="0" labelOnly="1" outline="0" fieldPosition="0">
        <references count="1">
          <reference field="4294967294" count="3">
            <x v="0"/>
            <x v="1"/>
            <x v="2"/>
          </reference>
        </references>
      </pivotArea>
    </format>
    <format dxfId="3525">
      <pivotArea field="29" type="button" dataOnly="0" labelOnly="1" outline="0" axis="axisRow" fieldPosition="0"/>
    </format>
    <format dxfId="3524">
      <pivotArea dataOnly="0" labelOnly="1" outline="0" fieldPosition="0">
        <references count="1">
          <reference field="4294967294" count="3">
            <x v="0"/>
            <x v="1"/>
            <x v="2"/>
          </reference>
        </references>
      </pivotArea>
    </format>
    <format dxfId="3523">
      <pivotArea grandRow="1" outline="0" collapsedLevelsAreSubtotals="1" fieldPosition="0"/>
    </format>
    <format dxfId="3522">
      <pivotArea dataOnly="0" labelOnly="1" grandRow="1" outline="0" fieldPosition="0"/>
    </format>
    <format dxfId="3521">
      <pivotArea grandRow="1" outline="0" collapsedLevelsAreSubtotals="1" fieldPosition="0"/>
    </format>
    <format dxfId="3520">
      <pivotArea dataOnly="0" labelOnly="1" grandRow="1" outline="0" fieldPosition="0"/>
    </format>
    <format dxfId="3519">
      <pivotArea type="all" dataOnly="0" outline="0" fieldPosition="0"/>
    </format>
    <format dxfId="3518">
      <pivotArea outline="0" collapsedLevelsAreSubtotals="1" fieldPosition="0"/>
    </format>
    <format dxfId="3517">
      <pivotArea field="29" type="button" dataOnly="0" labelOnly="1" outline="0" axis="axisRow" fieldPosition="0"/>
    </format>
    <format dxfId="3516">
      <pivotArea dataOnly="0" labelOnly="1" outline="0" fieldPosition="0">
        <references count="1">
          <reference field="29" count="0"/>
        </references>
      </pivotArea>
    </format>
    <format dxfId="3515">
      <pivotArea dataOnly="0" labelOnly="1" grandRow="1" outline="0" fieldPosition="0"/>
    </format>
    <format dxfId="3514">
      <pivotArea dataOnly="0" labelOnly="1" outline="0" fieldPosition="0">
        <references count="1">
          <reference field="4294967294" count="3">
            <x v="0"/>
            <x v="1"/>
            <x v="2"/>
          </reference>
        </references>
      </pivotArea>
    </format>
    <format dxfId="3513">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3.xml><?xml version="1.0" encoding="utf-8"?>
<pivotTableDefinition xmlns="http://schemas.openxmlformats.org/spreadsheetml/2006/main" name="Tabla dinámica7" cacheId="8" dataOnRows="1" dataPosition="0" applyNumberFormats="0" applyBorderFormats="0" applyFontFormats="0" applyPatternFormats="0" applyAlignmentFormats="0" applyWidthHeightFormats="1" dataCaption="Valores" updatedVersion="5" minRefreshableVersion="3" useAutoFormatting="1" rowGrandTotals="0" colGrandTotals="0" itemPrintTitles="1" createdVersion="5" indent="0" compact="0" compactData="0" multipleFieldFilters="0" chartFormat="5" colHeaderCaption="l">
  <location ref="R3:S7" firstHeaderRow="1" firstDataRow="2" firstDataCol="1"/>
  <pivotFields count="32">
    <pivotField compact="0" outline="0" showAll="0" defaultSubtota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defaultSubtotal="0"/>
    <pivotField compact="0" outline="0" showAll="0" defaultSubtotal="0"/>
    <pivotField compact="0" outline="0" showAll="0"/>
    <pivotField compact="0" outline="0" showAll="0"/>
    <pivotField compact="0" outline="0" showAll="0"/>
    <pivotField compact="0" outline="0" showAll="0" defaultSubtotal="0"/>
    <pivotField compact="0" outline="0" showAll="0"/>
    <pivotField compact="0" outline="0" showAll="0" sortType="ascending" defaultSubtotal="0"/>
    <pivotField compact="0" outline="0" showAll="0"/>
    <pivotField compact="0" outline="0" showAll="0"/>
    <pivotField compact="0" outline="0" showAll="0"/>
    <pivotField compact="0" outline="0" showAll="0"/>
    <pivotField name="TC" axis="axisCol" dataField="1" compact="0" outline="0" showAll="0">
      <items count="2">
        <item x="0"/>
        <item t="default"/>
      </items>
    </pivotField>
    <pivotField dataField="1" compact="0" outline="0" showAll="0"/>
    <pivotField dataField="1" compact="0" outline="0" showAll="0"/>
    <pivotField compact="0" outline="0" showAll="0" defaultSubtotal="0">
      <items count="3">
        <item h="1" m="1" x="2"/>
        <item x="0"/>
        <item h="1" x="1"/>
      </items>
    </pivotField>
    <pivotField compact="0" outline="0" showAll="0"/>
    <pivotField compact="0" outline="0" showAll="0"/>
    <pivotField compact="0" outline="0" showAll="0"/>
    <pivotField compact="0" outline="0" showAll="0" defaultSubtotal="0"/>
    <pivotField compact="0" outline="0" showAll="0"/>
    <pivotField compact="0" outline="0" showAll="0" sortType="descending"/>
    <pivotField compact="0" outline="0" showAll="0"/>
    <pivotField compact="0" outline="0" showAll="0"/>
  </pivotFields>
  <rowFields count="1">
    <field x="-2"/>
  </rowFields>
  <rowItems count="3">
    <i>
      <x/>
    </i>
    <i i="1">
      <x v="1"/>
    </i>
    <i i="2">
      <x v="2"/>
    </i>
  </rowItems>
  <colFields count="1">
    <field x="20"/>
  </colFields>
  <colItems count="1">
    <i>
      <x/>
    </i>
  </colItems>
  <dataFields count="3">
    <dataField name="Nacional" fld="20" subtotal="count" baseField="0" baseItem="0"/>
    <dataField name="Regional" fld="21" subtotal="count" baseField="0" baseItem="0"/>
    <dataField name="Zonal" fld="22" subtotal="count" baseField="0" baseItem="0"/>
  </dataFields>
  <formats count="36">
    <format dxfId="3573">
      <pivotArea dataOnly="0" grandRow="1" outline="0" fieldPosition="0"/>
    </format>
    <format dxfId="3572">
      <pivotArea type="all" dataOnly="0" outline="0" fieldPosition="0"/>
    </format>
    <format dxfId="3571">
      <pivotArea dataOnly="0" labelOnly="1" grandRow="1" outline="0" fieldPosition="0"/>
    </format>
    <format dxfId="3570">
      <pivotArea outline="0" collapsedLevelsAreSubtotals="1" fieldPosition="0"/>
    </format>
    <format dxfId="3569">
      <pivotArea dataOnly="0" labelOnly="1" outline="0" fieldPosition="0">
        <references count="1">
          <reference field="4294967294" count="3">
            <x v="0"/>
            <x v="1"/>
            <x v="2"/>
          </reference>
        </references>
      </pivotArea>
    </format>
    <format dxfId="3568">
      <pivotArea type="all" dataOnly="0" outline="0" fieldPosition="0"/>
    </format>
    <format dxfId="3567">
      <pivotArea outline="0" collapsedLevelsAreSubtotals="1" fieldPosition="0"/>
    </format>
    <format dxfId="3566">
      <pivotArea dataOnly="0" labelOnly="1" grandRow="1" outline="0" fieldPosition="0"/>
    </format>
    <format dxfId="3565">
      <pivotArea dataOnly="0" labelOnly="1" outline="0" fieldPosition="0">
        <references count="1">
          <reference field="4294967294" count="3">
            <x v="0"/>
            <x v="1"/>
            <x v="2"/>
          </reference>
        </references>
      </pivotArea>
    </format>
    <format dxfId="3564">
      <pivotArea type="all" dataOnly="0" outline="0" fieldPosition="0"/>
    </format>
    <format dxfId="3563">
      <pivotArea outline="0" collapsedLevelsAreSubtotals="1" fieldPosition="0"/>
    </format>
    <format dxfId="3562">
      <pivotArea dataOnly="0" labelOnly="1" outline="0" fieldPosition="0">
        <references count="1">
          <reference field="4294967294" count="3">
            <x v="0"/>
            <x v="1"/>
            <x v="2"/>
          </reference>
        </references>
      </pivotArea>
    </format>
    <format dxfId="3561">
      <pivotArea dataOnly="0" labelOnly="1" grandRow="1" outline="0" fieldPosition="0"/>
    </format>
    <format dxfId="3560">
      <pivotArea grandRow="1" outline="0" collapsedLevelsAreSubtotals="1" fieldPosition="0"/>
    </format>
    <format dxfId="3559">
      <pivotArea dataOnly="0" labelOnly="1" grandRow="1" outline="0" fieldPosition="0"/>
    </format>
    <format dxfId="3558">
      <pivotArea grandRow="1" outline="0" collapsedLevelsAreSubtotals="1" fieldPosition="0"/>
    </format>
    <format dxfId="3557">
      <pivotArea dataOnly="0" labelOnly="1" grandRow="1" outline="0" fieldPosition="0"/>
    </format>
    <format dxfId="3556">
      <pivotArea outline="0" collapsedLevelsAreSubtotals="1" fieldPosition="0"/>
    </format>
    <format dxfId="3555">
      <pivotArea field="23" type="button" dataOnly="0" labelOnly="1" outline="0"/>
    </format>
    <format dxfId="3554">
      <pivotArea field="23" type="button" dataOnly="0" labelOnly="1" outline="0"/>
    </format>
    <format dxfId="3553">
      <pivotArea outline="0" collapsedLevelsAreSubtotals="1" fieldPosition="0"/>
    </format>
    <format dxfId="3552">
      <pivotArea field="23" type="button" dataOnly="0" labelOnly="1" outline="0"/>
    </format>
    <format dxfId="3551">
      <pivotArea field="20" type="button" dataOnly="0" labelOnly="1" outline="0" axis="axisCol" fieldPosition="0"/>
    </format>
    <format dxfId="3550">
      <pivotArea field="20" type="button" dataOnly="0" labelOnly="1" outline="0" axis="axisCol" fieldPosition="0"/>
    </format>
    <format dxfId="3549">
      <pivotArea dataOnly="0" labelOnly="1" outline="0" fieldPosition="0">
        <references count="1">
          <reference field="4294967294" count="3">
            <x v="0"/>
            <x v="1"/>
            <x v="2"/>
          </reference>
        </references>
      </pivotArea>
    </format>
    <format dxfId="3548">
      <pivotArea dataOnly="0" labelOnly="1" outline="0" fieldPosition="0">
        <references count="1">
          <reference field="4294967294" count="3">
            <x v="0"/>
            <x v="1"/>
            <x v="2"/>
          </reference>
        </references>
      </pivotArea>
    </format>
    <format dxfId="3547">
      <pivotArea type="all" dataOnly="0" outline="0" fieldPosition="0"/>
    </format>
    <format dxfId="3546">
      <pivotArea outline="0" collapsedLevelsAreSubtotals="1" fieldPosition="0"/>
    </format>
    <format dxfId="3545">
      <pivotArea field="20" type="button" dataOnly="0" labelOnly="1" outline="0" axis="axisCol" fieldPosition="0"/>
    </format>
    <format dxfId="3544">
      <pivotArea dataOnly="0" labelOnly="1" outline="0" fieldPosition="0">
        <references count="1">
          <reference field="4294967294" count="3">
            <x v="0"/>
            <x v="1"/>
            <x v="2"/>
          </reference>
        </references>
      </pivotArea>
    </format>
    <format dxfId="3543">
      <pivotArea dataOnly="0" labelOnly="1" outline="0" fieldPosition="0">
        <references count="1">
          <reference field="20" count="0"/>
        </references>
      </pivotArea>
    </format>
    <format dxfId="3542">
      <pivotArea type="all" dataOnly="0" outline="0" fieldPosition="0"/>
    </format>
    <format dxfId="3541">
      <pivotArea outline="0" collapsedLevelsAreSubtotals="1" fieldPosition="0"/>
    </format>
    <format dxfId="3540">
      <pivotArea field="20" type="button" dataOnly="0" labelOnly="1" outline="0" axis="axisCol" fieldPosition="0"/>
    </format>
    <format dxfId="3539">
      <pivotArea dataOnly="0" labelOnly="1" outline="0" fieldPosition="0">
        <references count="1">
          <reference field="4294967294" count="3">
            <x v="0"/>
            <x v="1"/>
            <x v="2"/>
          </reference>
        </references>
      </pivotArea>
    </format>
    <format dxfId="3538">
      <pivotArea dataOnly="0" labelOnly="1" outline="0" fieldPosition="0">
        <references count="1">
          <reference field="20"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4.xml><?xml version="1.0" encoding="utf-8"?>
<pivotTableDefinition xmlns="http://schemas.openxmlformats.org/spreadsheetml/2006/main" name="Tabla dinámica4" cacheId="8" dataOnRows="1" dataPosition="0" applyNumberFormats="0" applyBorderFormats="0" applyFontFormats="0" applyPatternFormats="0" applyAlignmentFormats="0" applyWidthHeightFormats="1" dataCaption="Valores" updatedVersion="5" minRefreshableVersion="3" useAutoFormatting="1" rowGrandTotals="0" colGrandTotals="0" itemPrintTitles="1" createdVersion="5" indent="0" compact="0" compactData="0" multipleFieldFilters="0" chartFormat="3" colHeaderCaption="l">
  <location ref="W3:X7" firstHeaderRow="1" firstDataRow="2" firstDataCol="1"/>
  <pivotFields count="32">
    <pivotField compact="0" outline="0" showAll="0" defaultSubtota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defaultSubtotal="0"/>
    <pivotField compact="0" outline="0" showAll="0" defaultSubtotal="0"/>
    <pivotField compact="0" outline="0" showAll="0"/>
    <pivotField compact="0" outline="0" showAll="0"/>
    <pivotField compact="0" outline="0" showAll="0"/>
    <pivotField compact="0" outline="0" showAll="0" defaultSubtotal="0"/>
    <pivotField compact="0" outline="0" showAll="0"/>
    <pivotField compact="0" outline="0" showAll="0" sortType="ascending" defaultSubtotal="0"/>
    <pivotField compact="0" outline="0" showAll="0"/>
    <pivotField compact="0" outline="0" showAll="0"/>
    <pivotField compact="0" outline="0" showAll="0"/>
    <pivotField compact="0" outline="0" showAll="0"/>
    <pivotField dataField="1" compact="0" outline="0" showAll="0"/>
    <pivotField dataField="1" compact="0" outline="0" showAll="0"/>
    <pivotField dataField="1" compact="0" outline="0" showAll="0"/>
    <pivotField compact="0" outline="0" showAll="0" defaultSubtotal="0">
      <items count="3">
        <item h="1" m="1" x="2"/>
        <item x="0"/>
        <item h="1" x="1"/>
      </items>
    </pivotField>
    <pivotField axis="axisCol" compact="0" outline="0" showAll="0">
      <items count="4">
        <item h="1" m="1" x="2"/>
        <item x="0"/>
        <item h="1" x="1"/>
        <item t="default"/>
      </items>
    </pivotField>
    <pivotField compact="0" outline="0" showAll="0"/>
    <pivotField compact="0" outline="0" showAll="0"/>
    <pivotField compact="0" outline="0" showAll="0" defaultSubtotal="0"/>
    <pivotField compact="0" outline="0" showAll="0"/>
    <pivotField compact="0" outline="0" showAll="0" sortType="descending"/>
    <pivotField compact="0" outline="0" showAll="0"/>
    <pivotField compact="0" outline="0" showAll="0"/>
  </pivotFields>
  <rowFields count="1">
    <field x="-2"/>
  </rowFields>
  <rowItems count="3">
    <i>
      <x/>
    </i>
    <i i="1">
      <x v="1"/>
    </i>
    <i i="2">
      <x v="2"/>
    </i>
  </rowItems>
  <colFields count="1">
    <field x="24"/>
  </colFields>
  <colItems count="1">
    <i>
      <x v="1"/>
    </i>
  </colItems>
  <dataFields count="3">
    <dataField name="Nacional" fld="20" subtotal="count" baseField="0" baseItem="0"/>
    <dataField name="Regional" fld="21" subtotal="count" baseField="0" baseItem="0"/>
    <dataField name="Zonal" fld="22" subtotal="count" baseField="0" baseItem="0"/>
  </dataFields>
  <formats count="41">
    <format dxfId="3614">
      <pivotArea dataOnly="0" grandRow="1" outline="0" fieldPosition="0"/>
    </format>
    <format dxfId="3613">
      <pivotArea type="all" dataOnly="0" outline="0" fieldPosition="0"/>
    </format>
    <format dxfId="3612">
      <pivotArea dataOnly="0" labelOnly="1" grandRow="1" outline="0" fieldPosition="0"/>
    </format>
    <format dxfId="3611">
      <pivotArea outline="0" collapsedLevelsAreSubtotals="1" fieldPosition="0"/>
    </format>
    <format dxfId="3610">
      <pivotArea dataOnly="0" labelOnly="1" outline="0" fieldPosition="0">
        <references count="1">
          <reference field="4294967294" count="3">
            <x v="0"/>
            <x v="1"/>
            <x v="2"/>
          </reference>
        </references>
      </pivotArea>
    </format>
    <format dxfId="3609">
      <pivotArea type="all" dataOnly="0" outline="0" fieldPosition="0"/>
    </format>
    <format dxfId="3608">
      <pivotArea outline="0" collapsedLevelsAreSubtotals="1" fieldPosition="0"/>
    </format>
    <format dxfId="3607">
      <pivotArea dataOnly="0" labelOnly="1" grandRow="1" outline="0" fieldPosition="0"/>
    </format>
    <format dxfId="3606">
      <pivotArea dataOnly="0" labelOnly="1" outline="0" fieldPosition="0">
        <references count="1">
          <reference field="4294967294" count="3">
            <x v="0"/>
            <x v="1"/>
            <x v="2"/>
          </reference>
        </references>
      </pivotArea>
    </format>
    <format dxfId="3605">
      <pivotArea type="all" dataOnly="0" outline="0" fieldPosition="0"/>
    </format>
    <format dxfId="3604">
      <pivotArea outline="0" collapsedLevelsAreSubtotals="1" fieldPosition="0"/>
    </format>
    <format dxfId="3603">
      <pivotArea dataOnly="0" labelOnly="1" outline="0" fieldPosition="0">
        <references count="1">
          <reference field="4294967294" count="3">
            <x v="0"/>
            <x v="1"/>
            <x v="2"/>
          </reference>
        </references>
      </pivotArea>
    </format>
    <format dxfId="3602">
      <pivotArea dataOnly="0" labelOnly="1" grandRow="1" outline="0" fieldPosition="0"/>
    </format>
    <format dxfId="3601">
      <pivotArea grandRow="1" outline="0" collapsedLevelsAreSubtotals="1" fieldPosition="0"/>
    </format>
    <format dxfId="3600">
      <pivotArea dataOnly="0" labelOnly="1" grandRow="1" outline="0" fieldPosition="0"/>
    </format>
    <format dxfId="3599">
      <pivotArea grandRow="1" outline="0" collapsedLevelsAreSubtotals="1" fieldPosition="0"/>
    </format>
    <format dxfId="3598">
      <pivotArea dataOnly="0" labelOnly="1" grandRow="1" outline="0" fieldPosition="0"/>
    </format>
    <format dxfId="3597">
      <pivotArea outline="0" collapsedLevelsAreSubtotals="1" fieldPosition="0"/>
    </format>
    <format dxfId="3596">
      <pivotArea field="23" type="button" dataOnly="0" labelOnly="1" outline="0"/>
    </format>
    <format dxfId="3595">
      <pivotArea field="-2" type="button" dataOnly="0" labelOnly="1" outline="0" axis="axisRow" fieldPosition="0"/>
    </format>
    <format dxfId="3594">
      <pivotArea dataOnly="0" labelOnly="1" outline="0" fieldPosition="0">
        <references count="1">
          <reference field="24" count="0"/>
        </references>
      </pivotArea>
    </format>
    <format dxfId="3593">
      <pivotArea type="origin" dataOnly="0" labelOnly="1" outline="0" fieldPosition="0"/>
    </format>
    <format dxfId="3592">
      <pivotArea field="24" type="button" dataOnly="0" labelOnly="1" outline="0" axis="axisCol" fieldPosition="0"/>
    </format>
    <format dxfId="3591">
      <pivotArea type="origin" dataOnly="0" labelOnly="1" outline="0" fieldPosition="0"/>
    </format>
    <format dxfId="3590">
      <pivotArea field="24" type="button" dataOnly="0" labelOnly="1" outline="0" axis="axisCol" fieldPosition="0"/>
    </format>
    <format dxfId="3589">
      <pivotArea type="all" dataOnly="0" outline="0" fieldPosition="0"/>
    </format>
    <format dxfId="3588">
      <pivotArea outline="0" collapsedLevelsAreSubtotals="1" fieldPosition="0"/>
    </format>
    <format dxfId="3587">
      <pivotArea dataOnly="0" labelOnly="1" outline="0" fieldPosition="0">
        <references count="1">
          <reference field="4294967294" count="3">
            <x v="0"/>
            <x v="1"/>
            <x v="2"/>
          </reference>
        </references>
      </pivotArea>
    </format>
    <format dxfId="3586">
      <pivotArea dataOnly="0" labelOnly="1" outline="0" fieldPosition="0">
        <references count="1">
          <reference field="24" count="0"/>
        </references>
      </pivotArea>
    </format>
    <format dxfId="3585">
      <pivotArea type="origin" dataOnly="0" labelOnly="1" outline="0" fieldPosition="0"/>
    </format>
    <format dxfId="3584">
      <pivotArea field="24" type="button" dataOnly="0" labelOnly="1" outline="0" axis="axisCol" fieldPosition="0"/>
    </format>
    <format dxfId="3583">
      <pivotArea type="all" dataOnly="0" outline="0" fieldPosition="0"/>
    </format>
    <format dxfId="3582">
      <pivotArea outline="0" collapsedLevelsAreSubtotals="1" fieldPosition="0"/>
    </format>
    <format dxfId="3581">
      <pivotArea field="24" type="button" dataOnly="0" labelOnly="1" outline="0" axis="axisCol" fieldPosition="0"/>
    </format>
    <format dxfId="3580">
      <pivotArea dataOnly="0" labelOnly="1" outline="0" fieldPosition="0">
        <references count="1">
          <reference field="4294967294" count="3">
            <x v="0"/>
            <x v="1"/>
            <x v="2"/>
          </reference>
        </references>
      </pivotArea>
    </format>
    <format dxfId="3579">
      <pivotArea dataOnly="0" labelOnly="1" outline="0" fieldPosition="0">
        <references count="1">
          <reference field="24" count="0"/>
        </references>
      </pivotArea>
    </format>
    <format dxfId="3578">
      <pivotArea type="all" dataOnly="0" outline="0" fieldPosition="0"/>
    </format>
    <format dxfId="3577">
      <pivotArea outline="0" collapsedLevelsAreSubtotals="1" fieldPosition="0"/>
    </format>
    <format dxfId="3576">
      <pivotArea field="24" type="button" dataOnly="0" labelOnly="1" outline="0" axis="axisCol" fieldPosition="0"/>
    </format>
    <format dxfId="3575">
      <pivotArea dataOnly="0" labelOnly="1" outline="0" fieldPosition="0">
        <references count="1">
          <reference field="4294967294" count="3">
            <x v="0"/>
            <x v="1"/>
            <x v="2"/>
          </reference>
        </references>
      </pivotArea>
    </format>
    <format dxfId="3574">
      <pivotArea dataOnly="0" labelOnly="1" outline="0" fieldPosition="0">
        <references count="1">
          <reference field="24"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5.xml><?xml version="1.0" encoding="utf-8"?>
<pivotTableDefinition xmlns="http://schemas.openxmlformats.org/spreadsheetml/2006/main" name="Tabla dinámica1" cacheId="8" applyNumberFormats="0" applyBorderFormats="0" applyFontFormats="0" applyPatternFormats="0" applyAlignmentFormats="0" applyWidthHeightFormats="1" dataCaption="Valores" updatedVersion="5" minRefreshableVersion="3" useAutoFormatting="1" itemPrintTitles="1" createdVersion="5" indent="0" compact="0" compactData="0" multipleFieldFilters="0" chartFormat="3" colHeaderCaption="l">
  <location ref="B19:F46" firstHeaderRow="0" firstDataRow="1" firstDataCol="2"/>
  <pivotFields count="32">
    <pivotField axis="axisRow" compact="0" outline="0" showAll="0" defaultSubtotal="0">
      <items count="17">
        <item x="0"/>
        <item x="1"/>
        <item x="2"/>
        <item x="3"/>
        <item x="4"/>
        <item x="5"/>
        <item x="6"/>
        <item x="7"/>
        <item x="8"/>
        <item x="9"/>
        <item x="10"/>
        <item x="11"/>
        <item x="12"/>
        <item x="13"/>
        <item x="14"/>
        <item x="15"/>
        <item x="16"/>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defaultSubtotal="0"/>
    <pivotField compact="0" outline="0" showAll="0" defaultSubtotal="0"/>
    <pivotField compact="0" outline="0" showAll="0"/>
    <pivotField compact="0" outline="0" showAll="0"/>
    <pivotField compact="0" outline="0" showAll="0"/>
    <pivotField axis="axisRow" compact="0" outline="0" showAll="0" defaultSubtotal="0">
      <items count="26">
        <item sd="0" x="11"/>
        <item sd="0" x="10"/>
        <item sd="0" x="12"/>
        <item sd="0" x="2"/>
        <item sd="0" x="7"/>
        <item sd="0" x="17"/>
        <item sd="0" x="1"/>
        <item sd="0" x="3"/>
        <item sd="0" x="0"/>
        <item sd="0" x="16"/>
        <item sd="0" x="22"/>
        <item sd="0" x="8"/>
        <item sd="0" x="18"/>
        <item sd="0" x="13"/>
        <item sd="0" x="25"/>
        <item sd="0" x="24"/>
        <item sd="0" x="9"/>
        <item sd="0" x="15"/>
        <item sd="0" x="14"/>
        <item sd="0" x="5"/>
        <item sd="0" x="21"/>
        <item sd="0" x="23"/>
        <item sd="0" x="19"/>
        <item sd="0" x="6"/>
        <item sd="0" x="4"/>
        <item sd="0" x="20"/>
      </items>
    </pivotField>
    <pivotField compact="0" outline="0" showAll="0"/>
    <pivotField compact="0" outline="0" showAll="0" sortType="ascending" defaultSubtotal="0"/>
    <pivotField compact="0" outline="0" showAll="0"/>
    <pivotField compact="0" outline="0" showAll="0"/>
    <pivotField compact="0" outline="0" showAll="0"/>
    <pivotField compact="0" outline="0" showAll="0"/>
    <pivotField dataField="1" compact="0" outline="0" showAll="0"/>
    <pivotField dataField="1" compact="0" outline="0" showAll="0"/>
    <pivotField dataField="1" compact="0" outline="0" showAll="0"/>
    <pivotField compact="0" outline="0" showAll="0" defaultSubtotal="0"/>
    <pivotField compact="0" outline="0" showAll="0"/>
    <pivotField compact="0" outline="0" showAll="0"/>
    <pivotField compact="0" outline="0" showAll="0"/>
    <pivotField compact="0" outline="0" showAll="0" defaultSubtotal="0"/>
    <pivotField compact="0" outline="0" showAll="0"/>
    <pivotField compact="0" outline="0" showAll="0" sortType="descending"/>
    <pivotField compact="0" outline="0" showAll="0"/>
    <pivotField compact="0" outline="0" showAll="0"/>
  </pivotFields>
  <rowFields count="2">
    <field x="0"/>
    <field x="13"/>
  </rowFields>
  <rowItems count="27">
    <i>
      <x/>
      <x v="8"/>
    </i>
    <i>
      <x v="1"/>
      <x v="6"/>
    </i>
    <i>
      <x v="2"/>
      <x v="3"/>
    </i>
    <i>
      <x v="3"/>
      <x v="7"/>
    </i>
    <i>
      <x v="4"/>
      <x v="19"/>
    </i>
    <i r="1">
      <x v="23"/>
    </i>
    <i r="1">
      <x v="24"/>
    </i>
    <i>
      <x v="5"/>
      <x/>
    </i>
    <i r="1">
      <x v="1"/>
    </i>
    <i r="1">
      <x v="2"/>
    </i>
    <i r="1">
      <x v="4"/>
    </i>
    <i r="1">
      <x v="11"/>
    </i>
    <i r="1">
      <x v="16"/>
    </i>
    <i>
      <x v="6"/>
      <x v="13"/>
    </i>
    <i>
      <x v="7"/>
      <x v="18"/>
    </i>
    <i>
      <x v="8"/>
      <x v="17"/>
    </i>
    <i>
      <x v="9"/>
      <x v="9"/>
    </i>
    <i>
      <x v="10"/>
      <x v="5"/>
    </i>
    <i>
      <x v="11"/>
      <x v="12"/>
    </i>
    <i>
      <x v="12"/>
      <x v="22"/>
    </i>
    <i r="1">
      <x v="25"/>
    </i>
    <i>
      <x v="13"/>
      <x v="20"/>
    </i>
    <i>
      <x v="14"/>
      <x v="10"/>
    </i>
    <i>
      <x v="15"/>
      <x v="15"/>
    </i>
    <i r="1">
      <x v="21"/>
    </i>
    <i>
      <x v="16"/>
      <x v="14"/>
    </i>
    <i t="grand">
      <x/>
    </i>
  </rowItems>
  <colFields count="1">
    <field x="-2"/>
  </colFields>
  <colItems count="3">
    <i>
      <x/>
    </i>
    <i i="1">
      <x v="1"/>
    </i>
    <i i="2">
      <x v="2"/>
    </i>
  </colItems>
  <dataFields count="3">
    <dataField name="Nacional" fld="20" subtotal="count" baseField="0" baseItem="0"/>
    <dataField name="Regional" fld="21" subtotal="count" baseField="0" baseItem="0"/>
    <dataField name="Zonal" fld="22" subtotal="count" baseField="0" baseItem="0"/>
  </dataFields>
  <formats count="117">
    <format dxfId="3731">
      <pivotArea dataOnly="0" grandRow="1" outline="0" fieldPosition="0"/>
    </format>
    <format dxfId="3730">
      <pivotArea type="all" dataOnly="0" outline="0" fieldPosition="0"/>
    </format>
    <format dxfId="3729">
      <pivotArea dataOnly="0" labelOnly="1" outline="0" fieldPosition="0">
        <references count="1">
          <reference field="0" count="0"/>
        </references>
      </pivotArea>
    </format>
    <format dxfId="3728">
      <pivotArea dataOnly="0" labelOnly="1" grandRow="1" outline="0" fieldPosition="0"/>
    </format>
    <format dxfId="3727">
      <pivotArea dataOnly="0" labelOnly="1" outline="0" fieldPosition="0">
        <references count="2">
          <reference field="0" count="1" selected="0">
            <x v="0"/>
          </reference>
          <reference field="13" count="1">
            <x v="8"/>
          </reference>
        </references>
      </pivotArea>
    </format>
    <format dxfId="3726">
      <pivotArea dataOnly="0" labelOnly="1" outline="0" fieldPosition="0">
        <references count="2">
          <reference field="0" count="1" selected="0">
            <x v="1"/>
          </reference>
          <reference field="13" count="1">
            <x v="6"/>
          </reference>
        </references>
      </pivotArea>
    </format>
    <format dxfId="3725">
      <pivotArea dataOnly="0" labelOnly="1" outline="0" fieldPosition="0">
        <references count="2">
          <reference field="0" count="1" selected="0">
            <x v="2"/>
          </reference>
          <reference field="13" count="1">
            <x v="3"/>
          </reference>
        </references>
      </pivotArea>
    </format>
    <format dxfId="3724">
      <pivotArea dataOnly="0" labelOnly="1" outline="0" fieldPosition="0">
        <references count="2">
          <reference field="0" count="1" selected="0">
            <x v="3"/>
          </reference>
          <reference field="13" count="1">
            <x v="7"/>
          </reference>
        </references>
      </pivotArea>
    </format>
    <format dxfId="3723">
      <pivotArea dataOnly="0" labelOnly="1" outline="0" fieldPosition="0">
        <references count="2">
          <reference field="0" count="1" selected="0">
            <x v="4"/>
          </reference>
          <reference field="13" count="3">
            <x v="19"/>
            <x v="23"/>
            <x v="24"/>
          </reference>
        </references>
      </pivotArea>
    </format>
    <format dxfId="3722">
      <pivotArea dataOnly="0" labelOnly="1" outline="0" fieldPosition="0">
        <references count="2">
          <reference field="0" count="1" selected="0">
            <x v="5"/>
          </reference>
          <reference field="13" count="6">
            <x v="0"/>
            <x v="1"/>
            <x v="2"/>
            <x v="4"/>
            <x v="11"/>
            <x v="16"/>
          </reference>
        </references>
      </pivotArea>
    </format>
    <format dxfId="3721">
      <pivotArea dataOnly="0" labelOnly="1" outline="0" fieldPosition="0">
        <references count="2">
          <reference field="0" count="1" selected="0">
            <x v="6"/>
          </reference>
          <reference field="13" count="1">
            <x v="13"/>
          </reference>
        </references>
      </pivotArea>
    </format>
    <format dxfId="3720">
      <pivotArea dataOnly="0" labelOnly="1" outline="0" fieldPosition="0">
        <references count="2">
          <reference field="0" count="1" selected="0">
            <x v="7"/>
          </reference>
          <reference field="13" count="1">
            <x v="18"/>
          </reference>
        </references>
      </pivotArea>
    </format>
    <format dxfId="3719">
      <pivotArea dataOnly="0" labelOnly="1" outline="0" fieldPosition="0">
        <references count="2">
          <reference field="0" count="1" selected="0">
            <x v="8"/>
          </reference>
          <reference field="13" count="1">
            <x v="17"/>
          </reference>
        </references>
      </pivotArea>
    </format>
    <format dxfId="3718">
      <pivotArea dataOnly="0" labelOnly="1" outline="0" fieldPosition="0">
        <references count="2">
          <reference field="0" count="1" selected="0">
            <x v="9"/>
          </reference>
          <reference field="13" count="1">
            <x v="9"/>
          </reference>
        </references>
      </pivotArea>
    </format>
    <format dxfId="3717">
      <pivotArea dataOnly="0" labelOnly="1" outline="0" fieldPosition="0">
        <references count="2">
          <reference field="0" count="1" selected="0">
            <x v="10"/>
          </reference>
          <reference field="13" count="1">
            <x v="5"/>
          </reference>
        </references>
      </pivotArea>
    </format>
    <format dxfId="3716">
      <pivotArea dataOnly="0" labelOnly="1" outline="0" fieldPosition="0">
        <references count="2">
          <reference field="0" count="1" selected="0">
            <x v="11"/>
          </reference>
          <reference field="13" count="1">
            <x v="12"/>
          </reference>
        </references>
      </pivotArea>
    </format>
    <format dxfId="3715">
      <pivotArea dataOnly="0" labelOnly="1" outline="0" fieldPosition="0">
        <references count="2">
          <reference field="0" count="1" selected="0">
            <x v="12"/>
          </reference>
          <reference field="13" count="2">
            <x v="22"/>
            <x v="25"/>
          </reference>
        </references>
      </pivotArea>
    </format>
    <format dxfId="3714">
      <pivotArea dataOnly="0" labelOnly="1" outline="0" fieldPosition="0">
        <references count="2">
          <reference field="0" count="1" selected="0">
            <x v="13"/>
          </reference>
          <reference field="13" count="1">
            <x v="20"/>
          </reference>
        </references>
      </pivotArea>
    </format>
    <format dxfId="3713">
      <pivotArea dataOnly="0" labelOnly="1" outline="0" fieldPosition="0">
        <references count="2">
          <reference field="0" count="1" selected="0">
            <x v="14"/>
          </reference>
          <reference field="13" count="1">
            <x v="10"/>
          </reference>
        </references>
      </pivotArea>
    </format>
    <format dxfId="3712">
      <pivotArea dataOnly="0" labelOnly="1" outline="0" fieldPosition="0">
        <references count="2">
          <reference field="0" count="1" selected="0">
            <x v="15"/>
          </reference>
          <reference field="13" count="2">
            <x v="15"/>
            <x v="21"/>
          </reference>
        </references>
      </pivotArea>
    </format>
    <format dxfId="3711">
      <pivotArea dataOnly="0" labelOnly="1" outline="0" fieldPosition="0">
        <references count="2">
          <reference field="0" count="1" selected="0">
            <x v="16"/>
          </reference>
          <reference field="13" count="1">
            <x v="14"/>
          </reference>
        </references>
      </pivotArea>
    </format>
    <format dxfId="3710">
      <pivotArea outline="0" collapsedLevelsAreSubtotals="1" fieldPosition="0"/>
    </format>
    <format dxfId="3709">
      <pivotArea dataOnly="0" labelOnly="1" outline="0" fieldPosition="0">
        <references count="1">
          <reference field="4294967294" count="3">
            <x v="0"/>
            <x v="1"/>
            <x v="2"/>
          </reference>
        </references>
      </pivotArea>
    </format>
    <format dxfId="3708">
      <pivotArea type="all" dataOnly="0" outline="0" fieldPosition="0"/>
    </format>
    <format dxfId="3707">
      <pivotArea outline="0" collapsedLevelsAreSubtotals="1" fieldPosition="0"/>
    </format>
    <format dxfId="3706">
      <pivotArea dataOnly="0" labelOnly="1" outline="0" fieldPosition="0">
        <references count="1">
          <reference field="0" count="0"/>
        </references>
      </pivotArea>
    </format>
    <format dxfId="3705">
      <pivotArea dataOnly="0" labelOnly="1" grandRow="1" outline="0" fieldPosition="0"/>
    </format>
    <format dxfId="3704">
      <pivotArea dataOnly="0" labelOnly="1" outline="0" fieldPosition="0">
        <references count="2">
          <reference field="0" count="1" selected="0">
            <x v="0"/>
          </reference>
          <reference field="13" count="1">
            <x v="8"/>
          </reference>
        </references>
      </pivotArea>
    </format>
    <format dxfId="3703">
      <pivotArea dataOnly="0" labelOnly="1" outline="0" fieldPosition="0">
        <references count="2">
          <reference field="0" count="1" selected="0">
            <x v="1"/>
          </reference>
          <reference field="13" count="1">
            <x v="6"/>
          </reference>
        </references>
      </pivotArea>
    </format>
    <format dxfId="3702">
      <pivotArea dataOnly="0" labelOnly="1" outline="0" fieldPosition="0">
        <references count="2">
          <reference field="0" count="1" selected="0">
            <x v="2"/>
          </reference>
          <reference field="13" count="1">
            <x v="3"/>
          </reference>
        </references>
      </pivotArea>
    </format>
    <format dxfId="3701">
      <pivotArea dataOnly="0" labelOnly="1" outline="0" fieldPosition="0">
        <references count="2">
          <reference field="0" count="1" selected="0">
            <x v="3"/>
          </reference>
          <reference field="13" count="1">
            <x v="7"/>
          </reference>
        </references>
      </pivotArea>
    </format>
    <format dxfId="3700">
      <pivotArea dataOnly="0" labelOnly="1" outline="0" fieldPosition="0">
        <references count="2">
          <reference field="0" count="1" selected="0">
            <x v="4"/>
          </reference>
          <reference field="13" count="3">
            <x v="19"/>
            <x v="23"/>
            <x v="24"/>
          </reference>
        </references>
      </pivotArea>
    </format>
    <format dxfId="3699">
      <pivotArea dataOnly="0" labelOnly="1" outline="0" fieldPosition="0">
        <references count="2">
          <reference field="0" count="1" selected="0">
            <x v="5"/>
          </reference>
          <reference field="13" count="6">
            <x v="0"/>
            <x v="1"/>
            <x v="2"/>
            <x v="4"/>
            <x v="11"/>
            <x v="16"/>
          </reference>
        </references>
      </pivotArea>
    </format>
    <format dxfId="3698">
      <pivotArea dataOnly="0" labelOnly="1" outline="0" fieldPosition="0">
        <references count="2">
          <reference field="0" count="1" selected="0">
            <x v="6"/>
          </reference>
          <reference field="13" count="1">
            <x v="13"/>
          </reference>
        </references>
      </pivotArea>
    </format>
    <format dxfId="3697">
      <pivotArea dataOnly="0" labelOnly="1" outline="0" fieldPosition="0">
        <references count="2">
          <reference field="0" count="1" selected="0">
            <x v="7"/>
          </reference>
          <reference field="13" count="1">
            <x v="18"/>
          </reference>
        </references>
      </pivotArea>
    </format>
    <format dxfId="3696">
      <pivotArea dataOnly="0" labelOnly="1" outline="0" fieldPosition="0">
        <references count="2">
          <reference field="0" count="1" selected="0">
            <x v="8"/>
          </reference>
          <reference field="13" count="1">
            <x v="17"/>
          </reference>
        </references>
      </pivotArea>
    </format>
    <format dxfId="3695">
      <pivotArea dataOnly="0" labelOnly="1" outline="0" fieldPosition="0">
        <references count="2">
          <reference field="0" count="1" selected="0">
            <x v="9"/>
          </reference>
          <reference field="13" count="1">
            <x v="9"/>
          </reference>
        </references>
      </pivotArea>
    </format>
    <format dxfId="3694">
      <pivotArea dataOnly="0" labelOnly="1" outline="0" fieldPosition="0">
        <references count="2">
          <reference field="0" count="1" selected="0">
            <x v="10"/>
          </reference>
          <reference field="13" count="1">
            <x v="5"/>
          </reference>
        </references>
      </pivotArea>
    </format>
    <format dxfId="3693">
      <pivotArea dataOnly="0" labelOnly="1" outline="0" fieldPosition="0">
        <references count="2">
          <reference field="0" count="1" selected="0">
            <x v="11"/>
          </reference>
          <reference field="13" count="1">
            <x v="12"/>
          </reference>
        </references>
      </pivotArea>
    </format>
    <format dxfId="3692">
      <pivotArea dataOnly="0" labelOnly="1" outline="0" fieldPosition="0">
        <references count="2">
          <reference field="0" count="1" selected="0">
            <x v="12"/>
          </reference>
          <reference field="13" count="2">
            <x v="22"/>
            <x v="25"/>
          </reference>
        </references>
      </pivotArea>
    </format>
    <format dxfId="3691">
      <pivotArea dataOnly="0" labelOnly="1" outline="0" fieldPosition="0">
        <references count="2">
          <reference field="0" count="1" selected="0">
            <x v="13"/>
          </reference>
          <reference field="13" count="1">
            <x v="20"/>
          </reference>
        </references>
      </pivotArea>
    </format>
    <format dxfId="3690">
      <pivotArea dataOnly="0" labelOnly="1" outline="0" fieldPosition="0">
        <references count="2">
          <reference field="0" count="1" selected="0">
            <x v="14"/>
          </reference>
          <reference field="13" count="1">
            <x v="10"/>
          </reference>
        </references>
      </pivotArea>
    </format>
    <format dxfId="3689">
      <pivotArea dataOnly="0" labelOnly="1" outline="0" fieldPosition="0">
        <references count="2">
          <reference field="0" count="1" selected="0">
            <x v="15"/>
          </reference>
          <reference field="13" count="2">
            <x v="15"/>
            <x v="21"/>
          </reference>
        </references>
      </pivotArea>
    </format>
    <format dxfId="3688">
      <pivotArea dataOnly="0" labelOnly="1" outline="0" fieldPosition="0">
        <references count="2">
          <reference field="0" count="1" selected="0">
            <x v="16"/>
          </reference>
          <reference field="13" count="1">
            <x v="14"/>
          </reference>
        </references>
      </pivotArea>
    </format>
    <format dxfId="3687">
      <pivotArea dataOnly="0" labelOnly="1" outline="0" fieldPosition="0">
        <references count="1">
          <reference field="4294967294" count="3">
            <x v="0"/>
            <x v="1"/>
            <x v="2"/>
          </reference>
        </references>
      </pivotArea>
    </format>
    <format dxfId="3686">
      <pivotArea type="all" dataOnly="0" outline="0" fieldPosition="0"/>
    </format>
    <format dxfId="3685">
      <pivotArea outline="0" collapsedLevelsAreSubtotals="1" fieldPosition="0"/>
    </format>
    <format dxfId="3684">
      <pivotArea dataOnly="0" labelOnly="1" outline="0" fieldPosition="0">
        <references count="1">
          <reference field="0" count="0"/>
        </references>
      </pivotArea>
    </format>
    <format dxfId="3683">
      <pivotArea dataOnly="0" labelOnly="1" outline="0" fieldPosition="0">
        <references count="2">
          <reference field="0" count="1" selected="0">
            <x v="0"/>
          </reference>
          <reference field="13" count="1">
            <x v="8"/>
          </reference>
        </references>
      </pivotArea>
    </format>
    <format dxfId="3682">
      <pivotArea dataOnly="0" labelOnly="1" outline="0" fieldPosition="0">
        <references count="2">
          <reference field="0" count="1" selected="0">
            <x v="1"/>
          </reference>
          <reference field="13" count="1">
            <x v="6"/>
          </reference>
        </references>
      </pivotArea>
    </format>
    <format dxfId="3681">
      <pivotArea dataOnly="0" labelOnly="1" outline="0" fieldPosition="0">
        <references count="2">
          <reference field="0" count="1" selected="0">
            <x v="2"/>
          </reference>
          <reference field="13" count="1">
            <x v="3"/>
          </reference>
        </references>
      </pivotArea>
    </format>
    <format dxfId="3680">
      <pivotArea dataOnly="0" labelOnly="1" outline="0" fieldPosition="0">
        <references count="2">
          <reference field="0" count="1" selected="0">
            <x v="3"/>
          </reference>
          <reference field="13" count="1">
            <x v="7"/>
          </reference>
        </references>
      </pivotArea>
    </format>
    <format dxfId="3679">
      <pivotArea dataOnly="0" labelOnly="1" outline="0" fieldPosition="0">
        <references count="2">
          <reference field="0" count="1" selected="0">
            <x v="4"/>
          </reference>
          <reference field="13" count="3">
            <x v="19"/>
            <x v="23"/>
            <x v="24"/>
          </reference>
        </references>
      </pivotArea>
    </format>
    <format dxfId="3678">
      <pivotArea dataOnly="0" labelOnly="1" outline="0" fieldPosition="0">
        <references count="2">
          <reference field="0" count="1" selected="0">
            <x v="5"/>
          </reference>
          <reference field="13" count="6">
            <x v="0"/>
            <x v="1"/>
            <x v="2"/>
            <x v="4"/>
            <x v="11"/>
            <x v="16"/>
          </reference>
        </references>
      </pivotArea>
    </format>
    <format dxfId="3677">
      <pivotArea dataOnly="0" labelOnly="1" outline="0" fieldPosition="0">
        <references count="2">
          <reference field="0" count="1" selected="0">
            <x v="6"/>
          </reference>
          <reference field="13" count="1">
            <x v="13"/>
          </reference>
        </references>
      </pivotArea>
    </format>
    <format dxfId="3676">
      <pivotArea dataOnly="0" labelOnly="1" outline="0" fieldPosition="0">
        <references count="2">
          <reference field="0" count="1" selected="0">
            <x v="7"/>
          </reference>
          <reference field="13" count="1">
            <x v="18"/>
          </reference>
        </references>
      </pivotArea>
    </format>
    <format dxfId="3675">
      <pivotArea dataOnly="0" labelOnly="1" outline="0" fieldPosition="0">
        <references count="2">
          <reference field="0" count="1" selected="0">
            <x v="8"/>
          </reference>
          <reference field="13" count="1">
            <x v="17"/>
          </reference>
        </references>
      </pivotArea>
    </format>
    <format dxfId="3674">
      <pivotArea dataOnly="0" labelOnly="1" outline="0" fieldPosition="0">
        <references count="2">
          <reference field="0" count="1" selected="0">
            <x v="9"/>
          </reference>
          <reference field="13" count="1">
            <x v="9"/>
          </reference>
        </references>
      </pivotArea>
    </format>
    <format dxfId="3673">
      <pivotArea dataOnly="0" labelOnly="1" outline="0" fieldPosition="0">
        <references count="2">
          <reference field="0" count="1" selected="0">
            <x v="10"/>
          </reference>
          <reference field="13" count="1">
            <x v="5"/>
          </reference>
        </references>
      </pivotArea>
    </format>
    <format dxfId="3672">
      <pivotArea dataOnly="0" labelOnly="1" outline="0" fieldPosition="0">
        <references count="2">
          <reference field="0" count="1" selected="0">
            <x v="11"/>
          </reference>
          <reference field="13" count="1">
            <x v="12"/>
          </reference>
        </references>
      </pivotArea>
    </format>
    <format dxfId="3671">
      <pivotArea dataOnly="0" labelOnly="1" outline="0" fieldPosition="0">
        <references count="2">
          <reference field="0" count="1" selected="0">
            <x v="12"/>
          </reference>
          <reference field="13" count="2">
            <x v="22"/>
            <x v="25"/>
          </reference>
        </references>
      </pivotArea>
    </format>
    <format dxfId="3670">
      <pivotArea dataOnly="0" labelOnly="1" outline="0" fieldPosition="0">
        <references count="2">
          <reference field="0" count="1" selected="0">
            <x v="13"/>
          </reference>
          <reference field="13" count="1">
            <x v="20"/>
          </reference>
        </references>
      </pivotArea>
    </format>
    <format dxfId="3669">
      <pivotArea dataOnly="0" labelOnly="1" outline="0" fieldPosition="0">
        <references count="2">
          <reference field="0" count="1" selected="0">
            <x v="14"/>
          </reference>
          <reference field="13" count="1">
            <x v="10"/>
          </reference>
        </references>
      </pivotArea>
    </format>
    <format dxfId="3668">
      <pivotArea dataOnly="0" labelOnly="1" outline="0" fieldPosition="0">
        <references count="2">
          <reference field="0" count="1" selected="0">
            <x v="15"/>
          </reference>
          <reference field="13" count="2">
            <x v="15"/>
            <x v="21"/>
          </reference>
        </references>
      </pivotArea>
    </format>
    <format dxfId="3667">
      <pivotArea dataOnly="0" labelOnly="1" outline="0" fieldPosition="0">
        <references count="2">
          <reference field="0" count="1" selected="0">
            <x v="16"/>
          </reference>
          <reference field="13" count="1">
            <x v="14"/>
          </reference>
        </references>
      </pivotArea>
    </format>
    <format dxfId="3666">
      <pivotArea dataOnly="0" labelOnly="1" outline="0" fieldPosition="0">
        <references count="1">
          <reference field="4294967294" count="3">
            <x v="0"/>
            <x v="1"/>
            <x v="2"/>
          </reference>
        </references>
      </pivotArea>
    </format>
    <format dxfId="3665">
      <pivotArea dataOnly="0" labelOnly="1" grandRow="1" outline="0" fieldPosition="0"/>
    </format>
    <format dxfId="3664">
      <pivotArea grandRow="1" outline="0" collapsedLevelsAreSubtotals="1" fieldPosition="0"/>
    </format>
    <format dxfId="3663">
      <pivotArea dataOnly="0" labelOnly="1" grandRow="1" outline="0" fieldPosition="0"/>
    </format>
    <format dxfId="3662">
      <pivotArea grandRow="1" outline="0" collapsedLevelsAreSubtotals="1" fieldPosition="0"/>
    </format>
    <format dxfId="3661">
      <pivotArea dataOnly="0" labelOnly="1" grandRow="1" outline="0" fieldPosition="0"/>
    </format>
    <format dxfId="3660">
      <pivotArea dataOnly="0" labelOnly="1" outline="0" fieldPosition="0">
        <references count="1">
          <reference field="4294967294" count="3">
            <x v="0"/>
            <x v="1"/>
            <x v="2"/>
          </reference>
        </references>
      </pivotArea>
    </format>
    <format dxfId="3659">
      <pivotArea type="all" dataOnly="0" outline="0" fieldPosition="0"/>
    </format>
    <format dxfId="3658">
      <pivotArea outline="0" collapsedLevelsAreSubtotals="1" fieldPosition="0"/>
    </format>
    <format dxfId="3657">
      <pivotArea dataOnly="0" labelOnly="1" outline="0" fieldPosition="0">
        <references count="1">
          <reference field="0" count="0"/>
        </references>
      </pivotArea>
    </format>
    <format dxfId="3656">
      <pivotArea dataOnly="0" labelOnly="1" grandRow="1" outline="0" fieldPosition="0"/>
    </format>
    <format dxfId="3655">
      <pivotArea dataOnly="0" labelOnly="1" outline="0" fieldPosition="0">
        <references count="2">
          <reference field="0" count="1" selected="0">
            <x v="0"/>
          </reference>
          <reference field="13" count="1">
            <x v="8"/>
          </reference>
        </references>
      </pivotArea>
    </format>
    <format dxfId="3654">
      <pivotArea dataOnly="0" labelOnly="1" outline="0" fieldPosition="0">
        <references count="2">
          <reference field="0" count="1" selected="0">
            <x v="1"/>
          </reference>
          <reference field="13" count="1">
            <x v="6"/>
          </reference>
        </references>
      </pivotArea>
    </format>
    <format dxfId="3653">
      <pivotArea dataOnly="0" labelOnly="1" outline="0" fieldPosition="0">
        <references count="2">
          <reference field="0" count="1" selected="0">
            <x v="2"/>
          </reference>
          <reference field="13" count="1">
            <x v="3"/>
          </reference>
        </references>
      </pivotArea>
    </format>
    <format dxfId="3652">
      <pivotArea dataOnly="0" labelOnly="1" outline="0" fieldPosition="0">
        <references count="2">
          <reference field="0" count="1" selected="0">
            <x v="3"/>
          </reference>
          <reference field="13" count="1">
            <x v="7"/>
          </reference>
        </references>
      </pivotArea>
    </format>
    <format dxfId="3651">
      <pivotArea dataOnly="0" labelOnly="1" outline="0" fieldPosition="0">
        <references count="2">
          <reference field="0" count="1" selected="0">
            <x v="4"/>
          </reference>
          <reference field="13" count="3">
            <x v="19"/>
            <x v="23"/>
            <x v="24"/>
          </reference>
        </references>
      </pivotArea>
    </format>
    <format dxfId="3650">
      <pivotArea dataOnly="0" labelOnly="1" outline="0" fieldPosition="0">
        <references count="2">
          <reference field="0" count="1" selected="0">
            <x v="5"/>
          </reference>
          <reference field="13" count="6">
            <x v="0"/>
            <x v="1"/>
            <x v="2"/>
            <x v="4"/>
            <x v="11"/>
            <x v="16"/>
          </reference>
        </references>
      </pivotArea>
    </format>
    <format dxfId="3649">
      <pivotArea dataOnly="0" labelOnly="1" outline="0" fieldPosition="0">
        <references count="2">
          <reference field="0" count="1" selected="0">
            <x v="6"/>
          </reference>
          <reference field="13" count="1">
            <x v="13"/>
          </reference>
        </references>
      </pivotArea>
    </format>
    <format dxfId="3648">
      <pivotArea dataOnly="0" labelOnly="1" outline="0" fieldPosition="0">
        <references count="2">
          <reference field="0" count="1" selected="0">
            <x v="7"/>
          </reference>
          <reference field="13" count="1">
            <x v="18"/>
          </reference>
        </references>
      </pivotArea>
    </format>
    <format dxfId="3647">
      <pivotArea dataOnly="0" labelOnly="1" outline="0" fieldPosition="0">
        <references count="2">
          <reference field="0" count="1" selected="0">
            <x v="8"/>
          </reference>
          <reference field="13" count="1">
            <x v="17"/>
          </reference>
        </references>
      </pivotArea>
    </format>
    <format dxfId="3646">
      <pivotArea dataOnly="0" labelOnly="1" outline="0" fieldPosition="0">
        <references count="2">
          <reference field="0" count="1" selected="0">
            <x v="9"/>
          </reference>
          <reference field="13" count="1">
            <x v="9"/>
          </reference>
        </references>
      </pivotArea>
    </format>
    <format dxfId="3645">
      <pivotArea dataOnly="0" labelOnly="1" outline="0" fieldPosition="0">
        <references count="2">
          <reference field="0" count="1" selected="0">
            <x v="10"/>
          </reference>
          <reference field="13" count="1">
            <x v="5"/>
          </reference>
        </references>
      </pivotArea>
    </format>
    <format dxfId="3644">
      <pivotArea dataOnly="0" labelOnly="1" outline="0" fieldPosition="0">
        <references count="2">
          <reference field="0" count="1" selected="0">
            <x v="11"/>
          </reference>
          <reference field="13" count="1">
            <x v="12"/>
          </reference>
        </references>
      </pivotArea>
    </format>
    <format dxfId="3643">
      <pivotArea dataOnly="0" labelOnly="1" outline="0" fieldPosition="0">
        <references count="2">
          <reference field="0" count="1" selected="0">
            <x v="12"/>
          </reference>
          <reference field="13" count="2">
            <x v="22"/>
            <x v="25"/>
          </reference>
        </references>
      </pivotArea>
    </format>
    <format dxfId="3642">
      <pivotArea dataOnly="0" labelOnly="1" outline="0" fieldPosition="0">
        <references count="2">
          <reference field="0" count="1" selected="0">
            <x v="13"/>
          </reference>
          <reference field="13" count="1">
            <x v="20"/>
          </reference>
        </references>
      </pivotArea>
    </format>
    <format dxfId="3641">
      <pivotArea dataOnly="0" labelOnly="1" outline="0" fieldPosition="0">
        <references count="2">
          <reference field="0" count="1" selected="0">
            <x v="14"/>
          </reference>
          <reference field="13" count="1">
            <x v="10"/>
          </reference>
        </references>
      </pivotArea>
    </format>
    <format dxfId="3640">
      <pivotArea dataOnly="0" labelOnly="1" outline="0" fieldPosition="0">
        <references count="2">
          <reference field="0" count="1" selected="0">
            <x v="15"/>
          </reference>
          <reference field="13" count="2">
            <x v="15"/>
            <x v="21"/>
          </reference>
        </references>
      </pivotArea>
    </format>
    <format dxfId="3639">
      <pivotArea dataOnly="0" labelOnly="1" outline="0" fieldPosition="0">
        <references count="2">
          <reference field="0" count="1" selected="0">
            <x v="16"/>
          </reference>
          <reference field="13" count="1">
            <x v="14"/>
          </reference>
        </references>
      </pivotArea>
    </format>
    <format dxfId="3638">
      <pivotArea dataOnly="0" labelOnly="1" outline="0" fieldPosition="0">
        <references count="1">
          <reference field="4294967294" count="3">
            <x v="0"/>
            <x v="1"/>
            <x v="2"/>
          </reference>
        </references>
      </pivotArea>
    </format>
    <format dxfId="3637">
      <pivotArea dataOnly="0" labelOnly="1" outline="0" fieldPosition="0">
        <references count="1">
          <reference field="4294967294" count="3">
            <x v="0"/>
            <x v="1"/>
            <x v="2"/>
          </reference>
        </references>
      </pivotArea>
    </format>
    <format dxfId="3636">
      <pivotArea type="all" dataOnly="0" outline="0" fieldPosition="0"/>
    </format>
    <format dxfId="3635">
      <pivotArea outline="0" collapsedLevelsAreSubtotals="1" fieldPosition="0"/>
    </format>
    <format dxfId="3634">
      <pivotArea dataOnly="0" labelOnly="1" outline="0" fieldPosition="0">
        <references count="1">
          <reference field="0" count="0"/>
        </references>
      </pivotArea>
    </format>
    <format dxfId="3633">
      <pivotArea dataOnly="0" labelOnly="1" grandRow="1" outline="0" fieldPosition="0"/>
    </format>
    <format dxfId="3632">
      <pivotArea dataOnly="0" labelOnly="1" outline="0" fieldPosition="0">
        <references count="2">
          <reference field="0" count="1" selected="0">
            <x v="0"/>
          </reference>
          <reference field="13" count="1">
            <x v="8"/>
          </reference>
        </references>
      </pivotArea>
    </format>
    <format dxfId="3631">
      <pivotArea dataOnly="0" labelOnly="1" outline="0" fieldPosition="0">
        <references count="2">
          <reference field="0" count="1" selected="0">
            <x v="1"/>
          </reference>
          <reference field="13" count="1">
            <x v="6"/>
          </reference>
        </references>
      </pivotArea>
    </format>
    <format dxfId="3630">
      <pivotArea dataOnly="0" labelOnly="1" outline="0" fieldPosition="0">
        <references count="2">
          <reference field="0" count="1" selected="0">
            <x v="2"/>
          </reference>
          <reference field="13" count="1">
            <x v="3"/>
          </reference>
        </references>
      </pivotArea>
    </format>
    <format dxfId="3629">
      <pivotArea dataOnly="0" labelOnly="1" outline="0" fieldPosition="0">
        <references count="2">
          <reference field="0" count="1" selected="0">
            <x v="3"/>
          </reference>
          <reference field="13" count="1">
            <x v="7"/>
          </reference>
        </references>
      </pivotArea>
    </format>
    <format dxfId="3628">
      <pivotArea dataOnly="0" labelOnly="1" outline="0" fieldPosition="0">
        <references count="2">
          <reference field="0" count="1" selected="0">
            <x v="4"/>
          </reference>
          <reference field="13" count="3">
            <x v="19"/>
            <x v="23"/>
            <x v="24"/>
          </reference>
        </references>
      </pivotArea>
    </format>
    <format dxfId="3627">
      <pivotArea dataOnly="0" labelOnly="1" outline="0" fieldPosition="0">
        <references count="2">
          <reference field="0" count="1" selected="0">
            <x v="5"/>
          </reference>
          <reference field="13" count="6">
            <x v="0"/>
            <x v="1"/>
            <x v="2"/>
            <x v="4"/>
            <x v="11"/>
            <x v="16"/>
          </reference>
        </references>
      </pivotArea>
    </format>
    <format dxfId="3626">
      <pivotArea dataOnly="0" labelOnly="1" outline="0" fieldPosition="0">
        <references count="2">
          <reference field="0" count="1" selected="0">
            <x v="6"/>
          </reference>
          <reference field="13" count="1">
            <x v="13"/>
          </reference>
        </references>
      </pivotArea>
    </format>
    <format dxfId="3625">
      <pivotArea dataOnly="0" labelOnly="1" outline="0" fieldPosition="0">
        <references count="2">
          <reference field="0" count="1" selected="0">
            <x v="7"/>
          </reference>
          <reference field="13" count="1">
            <x v="18"/>
          </reference>
        </references>
      </pivotArea>
    </format>
    <format dxfId="3624">
      <pivotArea dataOnly="0" labelOnly="1" outline="0" fieldPosition="0">
        <references count="2">
          <reference field="0" count="1" selected="0">
            <x v="8"/>
          </reference>
          <reference field="13" count="1">
            <x v="17"/>
          </reference>
        </references>
      </pivotArea>
    </format>
    <format dxfId="3623">
      <pivotArea dataOnly="0" labelOnly="1" outline="0" fieldPosition="0">
        <references count="2">
          <reference field="0" count="1" selected="0">
            <x v="9"/>
          </reference>
          <reference field="13" count="1">
            <x v="9"/>
          </reference>
        </references>
      </pivotArea>
    </format>
    <format dxfId="3622">
      <pivotArea dataOnly="0" labelOnly="1" outline="0" fieldPosition="0">
        <references count="2">
          <reference field="0" count="1" selected="0">
            <x v="10"/>
          </reference>
          <reference field="13" count="1">
            <x v="5"/>
          </reference>
        </references>
      </pivotArea>
    </format>
    <format dxfId="3621">
      <pivotArea dataOnly="0" labelOnly="1" outline="0" fieldPosition="0">
        <references count="2">
          <reference field="0" count="1" selected="0">
            <x v="11"/>
          </reference>
          <reference field="13" count="1">
            <x v="12"/>
          </reference>
        </references>
      </pivotArea>
    </format>
    <format dxfId="3620">
      <pivotArea dataOnly="0" labelOnly="1" outline="0" fieldPosition="0">
        <references count="2">
          <reference field="0" count="1" selected="0">
            <x v="12"/>
          </reference>
          <reference field="13" count="2">
            <x v="22"/>
            <x v="25"/>
          </reference>
        </references>
      </pivotArea>
    </format>
    <format dxfId="3619">
      <pivotArea dataOnly="0" labelOnly="1" outline="0" fieldPosition="0">
        <references count="2">
          <reference field="0" count="1" selected="0">
            <x v="13"/>
          </reference>
          <reference field="13" count="1">
            <x v="20"/>
          </reference>
        </references>
      </pivotArea>
    </format>
    <format dxfId="3618">
      <pivotArea dataOnly="0" labelOnly="1" outline="0" fieldPosition="0">
        <references count="2">
          <reference field="0" count="1" selected="0">
            <x v="14"/>
          </reference>
          <reference field="13" count="1">
            <x v="10"/>
          </reference>
        </references>
      </pivotArea>
    </format>
    <format dxfId="3617">
      <pivotArea dataOnly="0" labelOnly="1" outline="0" fieldPosition="0">
        <references count="2">
          <reference field="0" count="1" selected="0">
            <x v="15"/>
          </reference>
          <reference field="13" count="2">
            <x v="15"/>
            <x v="21"/>
          </reference>
        </references>
      </pivotArea>
    </format>
    <format dxfId="3616">
      <pivotArea dataOnly="0" labelOnly="1" outline="0" fieldPosition="0">
        <references count="2">
          <reference field="0" count="1" selected="0">
            <x v="16"/>
          </reference>
          <reference field="13" count="1">
            <x v="14"/>
          </reference>
        </references>
      </pivotArea>
    </format>
    <format dxfId="3615">
      <pivotArea dataOnly="0" labelOnly="1" outline="0" fieldPosition="0">
        <references count="1">
          <reference field="4294967294" count="3">
            <x v="0"/>
            <x v="1"/>
            <x v="2"/>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6.xml><?xml version="1.0" encoding="utf-8"?>
<pivotTableDefinition xmlns="http://schemas.openxmlformats.org/spreadsheetml/2006/main" name="Tabla dinámica12" cacheId="8" applyNumberFormats="0" applyBorderFormats="0" applyFontFormats="0" applyPatternFormats="0" applyAlignmentFormats="0" applyWidthHeightFormats="1" dataCaption="Valores" updatedVersion="5" minRefreshableVersion="3" useAutoFormatting="1" itemPrintTitles="1" createdVersion="5" indent="0" compact="0" compactData="0" multipleFieldFilters="0" colHeaderCaption="l">
  <location ref="I39:M48" firstHeaderRow="0" firstDataRow="1" firstDataCol="2"/>
  <pivotFields count="32">
    <pivotField compact="0" outline="0" showAll="0" defaultSubtota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defaultSubtotal="0"/>
    <pivotField compact="0" outline="0" showAll="0" defaultSubtotal="0"/>
    <pivotField compact="0" outline="0" showAll="0"/>
    <pivotField compact="0" outline="0" showAll="0"/>
    <pivotField compact="0" outline="0" showAll="0"/>
    <pivotField compact="0" outline="0" showAll="0" defaultSubtotal="0"/>
    <pivotField compact="0" outline="0" showAll="0"/>
    <pivotField compact="0" outline="0" showAll="0" sortType="ascending" defaultSubtotal="0"/>
    <pivotField compact="0" outline="0" showAll="0"/>
    <pivotField compact="0" outline="0" showAll="0"/>
    <pivotField compact="0" outline="0" showAll="0"/>
    <pivotField compact="0" outline="0" showAll="0"/>
    <pivotField dataField="1" compact="0" outline="0" showAll="0"/>
    <pivotField dataField="1" compact="0" outline="0" showAll="0"/>
    <pivotField dataField="1" compact="0" outline="0" showAll="0"/>
    <pivotField compact="0" outline="0" showAll="0"/>
    <pivotField compact="0" outline="0" showAll="0"/>
    <pivotField compact="0" outline="0" showAll="0"/>
    <pivotField compact="0" outline="0" showAll="0"/>
    <pivotField compact="0" outline="0" showAll="0" defaultSubtotal="0"/>
    <pivotField axis="axisRow" subtotalCaption="Total" compact="0" outline="0" showAll="0">
      <items count="3">
        <item x="0"/>
        <item x="1"/>
        <item t="default"/>
      </items>
    </pivotField>
    <pivotField axis="axisRow" compact="0" outline="0" showAll="0" sortType="descending">
      <items count="9">
        <item m="1" x="4"/>
        <item x="2"/>
        <item m="1" x="5"/>
        <item x="0"/>
        <item m="1" x="3"/>
        <item m="1" x="7"/>
        <item m="1" x="6"/>
        <item x="1"/>
        <item t="default"/>
      </items>
    </pivotField>
    <pivotField compact="0" outline="0" showAll="0"/>
    <pivotField compact="0" outline="0" showAll="0"/>
  </pivotFields>
  <rowFields count="2">
    <field x="28"/>
    <field x="29"/>
  </rowFields>
  <rowItems count="9">
    <i>
      <x/>
      <x v="1"/>
    </i>
    <i r="1">
      <x v="3"/>
    </i>
    <i r="1">
      <x v="7"/>
    </i>
    <i t="default">
      <x/>
    </i>
    <i>
      <x v="1"/>
      <x v="1"/>
    </i>
    <i r="1">
      <x v="3"/>
    </i>
    <i r="1">
      <x v="7"/>
    </i>
    <i t="default">
      <x v="1"/>
    </i>
    <i t="grand">
      <x/>
    </i>
  </rowItems>
  <colFields count="1">
    <field x="-2"/>
  </colFields>
  <colItems count="3">
    <i>
      <x/>
    </i>
    <i i="1">
      <x v="1"/>
    </i>
    <i i="2">
      <x v="2"/>
    </i>
  </colItems>
  <dataFields count="3">
    <dataField name="Nacional" fld="20" subtotal="count" baseField="0" baseItem="0"/>
    <dataField name="Regional" fld="21" subtotal="count" baseField="0" baseItem="0"/>
    <dataField name="Zonal" fld="22" subtotal="count" baseField="0" baseItem="0"/>
  </dataFields>
  <formats count="33">
    <format dxfId="3764">
      <pivotArea dataOnly="0" grandRow="1" outline="0" fieldPosition="0"/>
    </format>
    <format dxfId="3763">
      <pivotArea type="all" dataOnly="0" outline="0" fieldPosition="0"/>
    </format>
    <format dxfId="3762">
      <pivotArea outline="0" collapsedLevelsAreSubtotals="1" fieldPosition="0"/>
    </format>
    <format dxfId="3761">
      <pivotArea dataOnly="0" labelOnly="1" outline="0" axis="axisValues" fieldPosition="0"/>
    </format>
    <format dxfId="3760">
      <pivotArea dataOnly="0" labelOnly="1" outline="0" fieldPosition="0">
        <references count="1">
          <reference field="28" count="0"/>
        </references>
      </pivotArea>
    </format>
    <format dxfId="3759">
      <pivotArea dataOnly="0" labelOnly="1" outline="0" fieldPosition="0">
        <references count="1">
          <reference field="28" count="0" defaultSubtotal="1"/>
        </references>
      </pivotArea>
    </format>
    <format dxfId="3758">
      <pivotArea dataOnly="0" labelOnly="1" grandRow="1" outline="0" fieldPosition="0"/>
    </format>
    <format dxfId="3757">
      <pivotArea dataOnly="0" labelOnly="1" outline="0" fieldPosition="0">
        <references count="2">
          <reference field="28" count="1" selected="0">
            <x v="0"/>
          </reference>
          <reference field="29" count="0"/>
        </references>
      </pivotArea>
    </format>
    <format dxfId="3756">
      <pivotArea dataOnly="0" labelOnly="1" outline="0" fieldPosition="0">
        <references count="2">
          <reference field="28" count="1" selected="0">
            <x v="1"/>
          </reference>
          <reference field="29" count="0"/>
        </references>
      </pivotArea>
    </format>
    <format dxfId="3755">
      <pivotArea dataOnly="0" labelOnly="1" outline="0" fieldPosition="0">
        <references count="1">
          <reference field="4294967294" count="3">
            <x v="0"/>
            <x v="1"/>
            <x v="2"/>
          </reference>
        </references>
      </pivotArea>
    </format>
    <format dxfId="3754">
      <pivotArea dataOnly="0" labelOnly="1" outline="0" fieldPosition="0">
        <references count="1">
          <reference field="4294967294" count="3">
            <x v="0"/>
            <x v="1"/>
            <x v="2"/>
          </reference>
        </references>
      </pivotArea>
    </format>
    <format dxfId="3753">
      <pivotArea dataOnly="0" labelOnly="1" outline="0" fieldPosition="0">
        <references count="1">
          <reference field="4294967294" count="3">
            <x v="0"/>
            <x v="1"/>
            <x v="2"/>
          </reference>
        </references>
      </pivotArea>
    </format>
    <format dxfId="3752">
      <pivotArea grandRow="1" outline="0" collapsedLevelsAreSubtotals="1" fieldPosition="0"/>
    </format>
    <format dxfId="3751">
      <pivotArea dataOnly="0" labelOnly="1" grandRow="1" outline="0" fieldPosition="0"/>
    </format>
    <format dxfId="3750">
      <pivotArea grandRow="1" outline="0" collapsedLevelsAreSubtotals="1" fieldPosition="0"/>
    </format>
    <format dxfId="3749">
      <pivotArea dataOnly="0" labelOnly="1" grandRow="1" outline="0" fieldPosition="0"/>
    </format>
    <format dxfId="3748">
      <pivotArea outline="0" collapsedLevelsAreSubtotals="1" fieldPosition="0">
        <references count="1">
          <reference field="28" count="1" selected="0" defaultSubtotal="1">
            <x v="0"/>
          </reference>
        </references>
      </pivotArea>
    </format>
    <format dxfId="3747">
      <pivotArea dataOnly="0" labelOnly="1" outline="0" fieldPosition="0">
        <references count="1">
          <reference field="28" count="1" defaultSubtotal="1">
            <x v="0"/>
          </reference>
        </references>
      </pivotArea>
    </format>
    <format dxfId="3746">
      <pivotArea outline="0" collapsedLevelsAreSubtotals="1" fieldPosition="0">
        <references count="1">
          <reference field="28" count="1" selected="0" defaultSubtotal="1">
            <x v="1"/>
          </reference>
        </references>
      </pivotArea>
    </format>
    <format dxfId="3745">
      <pivotArea dataOnly="0" labelOnly="1" outline="0" fieldPosition="0">
        <references count="1">
          <reference field="28" count="1" defaultSubtotal="1">
            <x v="1"/>
          </reference>
        </references>
      </pivotArea>
    </format>
    <format dxfId="3744">
      <pivotArea type="all" dataOnly="0" outline="0" fieldPosition="0"/>
    </format>
    <format dxfId="3743">
      <pivotArea outline="0" collapsedLevelsAreSubtotals="1" fieldPosition="0"/>
    </format>
    <format dxfId="3742">
      <pivotArea dataOnly="0" labelOnly="1" outline="0" fieldPosition="0">
        <references count="1">
          <reference field="28" count="0"/>
        </references>
      </pivotArea>
    </format>
    <format dxfId="3741">
      <pivotArea dataOnly="0" labelOnly="1" outline="0" fieldPosition="0">
        <references count="1">
          <reference field="28" count="0" defaultSubtotal="1"/>
        </references>
      </pivotArea>
    </format>
    <format dxfId="3740">
      <pivotArea dataOnly="0" labelOnly="1" grandRow="1" outline="0" fieldPosition="0"/>
    </format>
    <format dxfId="3739">
      <pivotArea dataOnly="0" labelOnly="1" outline="0" fieldPosition="0">
        <references count="2">
          <reference field="28" count="1" selected="0">
            <x v="0"/>
          </reference>
          <reference field="29" count="0"/>
        </references>
      </pivotArea>
    </format>
    <format dxfId="3738">
      <pivotArea dataOnly="0" labelOnly="1" outline="0" fieldPosition="0">
        <references count="2">
          <reference field="28" count="1" selected="0">
            <x v="1"/>
          </reference>
          <reference field="29" count="0"/>
        </references>
      </pivotArea>
    </format>
    <format dxfId="3737">
      <pivotArea dataOnly="0" labelOnly="1" outline="0" fieldPosition="0">
        <references count="1">
          <reference field="4294967294" count="3">
            <x v="0"/>
            <x v="1"/>
            <x v="2"/>
          </reference>
        </references>
      </pivotArea>
    </format>
    <format dxfId="3736">
      <pivotArea dataOnly="0" labelOnly="1" outline="0" fieldPosition="0">
        <references count="1">
          <reference field="28" count="1">
            <x v="0"/>
          </reference>
        </references>
      </pivotArea>
    </format>
    <format dxfId="3735">
      <pivotArea dataOnly="0" labelOnly="1" outline="0" fieldPosition="0">
        <references count="1">
          <reference field="28" count="1">
            <x v="0"/>
          </reference>
        </references>
      </pivotArea>
    </format>
    <format dxfId="3734">
      <pivotArea dataOnly="0" labelOnly="1" outline="0" fieldPosition="0">
        <references count="1">
          <reference field="28" count="1">
            <x v="1"/>
          </reference>
        </references>
      </pivotArea>
    </format>
    <format dxfId="3733">
      <pivotArea dataOnly="0" labelOnly="1" outline="0" fieldPosition="0">
        <references count="1">
          <reference field="28" count="1">
            <x v="1"/>
          </reference>
        </references>
      </pivotArea>
    </format>
    <format dxfId="3732">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7.xml><?xml version="1.0" encoding="utf-8"?>
<pivotTableDefinition xmlns="http://schemas.openxmlformats.org/spreadsheetml/2006/main" name="Tabla dinámica5" cacheId="8" dataOnRows="1" dataPosition="0" applyNumberFormats="0" applyBorderFormats="0" applyFontFormats="0" applyPatternFormats="0" applyAlignmentFormats="0" applyWidthHeightFormats="1" dataCaption="Valores" updatedVersion="5" minRefreshableVersion="3" useAutoFormatting="1" rowGrandTotals="0" colGrandTotals="0" itemPrintTitles="1" createdVersion="5" indent="0" compact="0" compactData="0" multipleFieldFilters="0" chartFormat="3" colHeaderCaption="l">
  <location ref="Z3:AA7" firstHeaderRow="1" firstDataRow="2" firstDataCol="1"/>
  <pivotFields count="32">
    <pivotField compact="0" outline="0" showAll="0" defaultSubtota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defaultSubtotal="0"/>
    <pivotField compact="0" outline="0" showAll="0" defaultSubtotal="0"/>
    <pivotField compact="0" outline="0" showAll="0"/>
    <pivotField compact="0" outline="0" showAll="0"/>
    <pivotField compact="0" outline="0" showAll="0"/>
    <pivotField compact="0" outline="0" showAll="0" defaultSubtotal="0"/>
    <pivotField compact="0" outline="0" showAll="0"/>
    <pivotField compact="0" outline="0" showAll="0" sortType="ascending" defaultSubtotal="0"/>
    <pivotField compact="0" outline="0" showAll="0"/>
    <pivotField compact="0" outline="0" showAll="0"/>
    <pivotField compact="0" outline="0" showAll="0"/>
    <pivotField compact="0" outline="0" showAll="0"/>
    <pivotField dataField="1" compact="0" outline="0" showAll="0"/>
    <pivotField dataField="1" compact="0" outline="0" showAll="0"/>
    <pivotField dataField="1" compact="0" outline="0" showAll="0"/>
    <pivotField compact="0" outline="0" showAll="0" defaultSubtotal="0">
      <items count="3">
        <item h="1" m="1" x="2"/>
        <item x="0"/>
        <item h="1" x="1"/>
      </items>
    </pivotField>
    <pivotField compact="0" outline="0" showAll="0"/>
    <pivotField axis="axisCol" compact="0" outline="0" showAll="0">
      <items count="4">
        <item h="1" m="1" x="2"/>
        <item x="0"/>
        <item h="1" x="1"/>
        <item t="default"/>
      </items>
    </pivotField>
    <pivotField compact="0" outline="0" showAll="0"/>
    <pivotField compact="0" outline="0" showAll="0" defaultSubtotal="0"/>
    <pivotField compact="0" outline="0" showAll="0"/>
    <pivotField compact="0" outline="0" showAll="0" sortType="descending"/>
    <pivotField compact="0" outline="0" showAll="0"/>
    <pivotField compact="0" outline="0" showAll="0"/>
  </pivotFields>
  <rowFields count="1">
    <field x="-2"/>
  </rowFields>
  <rowItems count="3">
    <i>
      <x/>
    </i>
    <i i="1">
      <x v="1"/>
    </i>
    <i i="2">
      <x v="2"/>
    </i>
  </rowItems>
  <colFields count="1">
    <field x="25"/>
  </colFields>
  <colItems count="1">
    <i>
      <x v="1"/>
    </i>
  </colItems>
  <dataFields count="3">
    <dataField name="Nacional" fld="20" subtotal="count" baseField="0" baseItem="0"/>
    <dataField name="Regional" fld="21" subtotal="count" baseField="0" baseItem="0"/>
    <dataField name="Zonal" fld="22" subtotal="count" baseField="0" baseItem="0"/>
  </dataFields>
  <formats count="41">
    <format dxfId="3805">
      <pivotArea dataOnly="0" grandRow="1" outline="0" fieldPosition="0"/>
    </format>
    <format dxfId="3804">
      <pivotArea type="all" dataOnly="0" outline="0" fieldPosition="0"/>
    </format>
    <format dxfId="3803">
      <pivotArea dataOnly="0" labelOnly="1" grandRow="1" outline="0" fieldPosition="0"/>
    </format>
    <format dxfId="3802">
      <pivotArea outline="0" collapsedLevelsAreSubtotals="1" fieldPosition="0"/>
    </format>
    <format dxfId="3801">
      <pivotArea dataOnly="0" labelOnly="1" outline="0" fieldPosition="0">
        <references count="1">
          <reference field="4294967294" count="3">
            <x v="0"/>
            <x v="1"/>
            <x v="2"/>
          </reference>
        </references>
      </pivotArea>
    </format>
    <format dxfId="3800">
      <pivotArea type="all" dataOnly="0" outline="0" fieldPosition="0"/>
    </format>
    <format dxfId="3799">
      <pivotArea outline="0" collapsedLevelsAreSubtotals="1" fieldPosition="0"/>
    </format>
    <format dxfId="3798">
      <pivotArea dataOnly="0" labelOnly="1" grandRow="1" outline="0" fieldPosition="0"/>
    </format>
    <format dxfId="3797">
      <pivotArea dataOnly="0" labelOnly="1" outline="0" fieldPosition="0">
        <references count="1">
          <reference field="4294967294" count="3">
            <x v="0"/>
            <x v="1"/>
            <x v="2"/>
          </reference>
        </references>
      </pivotArea>
    </format>
    <format dxfId="3796">
      <pivotArea type="all" dataOnly="0" outline="0" fieldPosition="0"/>
    </format>
    <format dxfId="3795">
      <pivotArea outline="0" collapsedLevelsAreSubtotals="1" fieldPosition="0"/>
    </format>
    <format dxfId="3794">
      <pivotArea dataOnly="0" labelOnly="1" outline="0" fieldPosition="0">
        <references count="1">
          <reference field="4294967294" count="3">
            <x v="0"/>
            <x v="1"/>
            <x v="2"/>
          </reference>
        </references>
      </pivotArea>
    </format>
    <format dxfId="3793">
      <pivotArea dataOnly="0" labelOnly="1" grandRow="1" outline="0" fieldPosition="0"/>
    </format>
    <format dxfId="3792">
      <pivotArea grandRow="1" outline="0" collapsedLevelsAreSubtotals="1" fieldPosition="0"/>
    </format>
    <format dxfId="3791">
      <pivotArea dataOnly="0" labelOnly="1" grandRow="1" outline="0" fieldPosition="0"/>
    </format>
    <format dxfId="3790">
      <pivotArea grandRow="1" outline="0" collapsedLevelsAreSubtotals="1" fieldPosition="0"/>
    </format>
    <format dxfId="3789">
      <pivotArea dataOnly="0" labelOnly="1" grandRow="1" outline="0" fieldPosition="0"/>
    </format>
    <format dxfId="3788">
      <pivotArea outline="0" collapsedLevelsAreSubtotals="1" fieldPosition="0"/>
    </format>
    <format dxfId="3787">
      <pivotArea field="23" type="button" dataOnly="0" labelOnly="1" outline="0"/>
    </format>
    <format dxfId="3786">
      <pivotArea field="-2" type="button" dataOnly="0" labelOnly="1" outline="0" axis="axisRow" fieldPosition="0"/>
    </format>
    <format dxfId="3785">
      <pivotArea dataOnly="0" labelOnly="1" outline="0" fieldPosition="0">
        <references count="1">
          <reference field="25" count="0"/>
        </references>
      </pivotArea>
    </format>
    <format dxfId="3784">
      <pivotArea type="origin" dataOnly="0" labelOnly="1" outline="0" fieldPosition="0"/>
    </format>
    <format dxfId="3783">
      <pivotArea field="25" type="button" dataOnly="0" labelOnly="1" outline="0" axis="axisCol" fieldPosition="0"/>
    </format>
    <format dxfId="3782">
      <pivotArea type="origin" dataOnly="0" labelOnly="1" outline="0" fieldPosition="0"/>
    </format>
    <format dxfId="3781">
      <pivotArea field="25" type="button" dataOnly="0" labelOnly="1" outline="0" axis="axisCol" fieldPosition="0"/>
    </format>
    <format dxfId="3780">
      <pivotArea type="all" dataOnly="0" outline="0" fieldPosition="0"/>
    </format>
    <format dxfId="3779">
      <pivotArea outline="0" collapsedLevelsAreSubtotals="1" fieldPosition="0"/>
    </format>
    <format dxfId="3778">
      <pivotArea dataOnly="0" labelOnly="1" outline="0" fieldPosition="0">
        <references count="1">
          <reference field="4294967294" count="3">
            <x v="0"/>
            <x v="1"/>
            <x v="2"/>
          </reference>
        </references>
      </pivotArea>
    </format>
    <format dxfId="3777">
      <pivotArea dataOnly="0" labelOnly="1" outline="0" fieldPosition="0">
        <references count="1">
          <reference field="25" count="0"/>
        </references>
      </pivotArea>
    </format>
    <format dxfId="3776">
      <pivotArea type="origin" dataOnly="0" labelOnly="1" outline="0" fieldPosition="0"/>
    </format>
    <format dxfId="3775">
      <pivotArea field="25" type="button" dataOnly="0" labelOnly="1" outline="0" axis="axisCol" fieldPosition="0"/>
    </format>
    <format dxfId="3774">
      <pivotArea type="all" dataOnly="0" outline="0" fieldPosition="0"/>
    </format>
    <format dxfId="3773">
      <pivotArea outline="0" collapsedLevelsAreSubtotals="1" fieldPosition="0"/>
    </format>
    <format dxfId="3772">
      <pivotArea field="25" type="button" dataOnly="0" labelOnly="1" outline="0" axis="axisCol" fieldPosition="0"/>
    </format>
    <format dxfId="3771">
      <pivotArea dataOnly="0" labelOnly="1" outline="0" fieldPosition="0">
        <references count="1">
          <reference field="4294967294" count="3">
            <x v="0"/>
            <x v="1"/>
            <x v="2"/>
          </reference>
        </references>
      </pivotArea>
    </format>
    <format dxfId="3770">
      <pivotArea dataOnly="0" labelOnly="1" outline="0" fieldPosition="0">
        <references count="1">
          <reference field="25" count="0"/>
        </references>
      </pivotArea>
    </format>
    <format dxfId="3769">
      <pivotArea type="all" dataOnly="0" outline="0" fieldPosition="0"/>
    </format>
    <format dxfId="3768">
      <pivotArea outline="0" collapsedLevelsAreSubtotals="1" fieldPosition="0"/>
    </format>
    <format dxfId="3767">
      <pivotArea field="25" type="button" dataOnly="0" labelOnly="1" outline="0" axis="axisCol" fieldPosition="0"/>
    </format>
    <format dxfId="3766">
      <pivotArea dataOnly="0" labelOnly="1" outline="0" fieldPosition="0">
        <references count="1">
          <reference field="4294967294" count="3">
            <x v="0"/>
            <x v="1"/>
            <x v="2"/>
          </reference>
        </references>
      </pivotArea>
    </format>
    <format dxfId="3765">
      <pivotArea dataOnly="0" labelOnly="1" outline="0" fieldPosition="0">
        <references count="1">
          <reference field="25"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8.xml><?xml version="1.0" encoding="utf-8"?>
<pivotTableDefinition xmlns="http://schemas.openxmlformats.org/spreadsheetml/2006/main" name="Tabla dinámica3" cacheId="8" dataOnRows="1" dataPosition="0" applyNumberFormats="0" applyBorderFormats="0" applyFontFormats="0" applyPatternFormats="0" applyAlignmentFormats="0" applyWidthHeightFormats="1" dataCaption="Valores" updatedVersion="5" minRefreshableVersion="3" useAutoFormatting="1" rowGrandTotals="0" colGrandTotals="0" itemPrintTitles="1" createdVersion="5" indent="0" compact="0" compactData="0" multipleFieldFilters="0" chartFormat="3" colHeaderCaption="l">
  <location ref="T3:U7" firstHeaderRow="1" firstDataRow="2" firstDataCol="1"/>
  <pivotFields count="32">
    <pivotField compact="0" outline="0" showAll="0" defaultSubtota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defaultSubtotal="0"/>
    <pivotField compact="0" outline="0" showAll="0" defaultSubtotal="0"/>
    <pivotField compact="0" outline="0" showAll="0"/>
    <pivotField compact="0" outline="0" showAll="0"/>
    <pivotField compact="0" outline="0" showAll="0"/>
    <pivotField compact="0" outline="0" showAll="0" defaultSubtotal="0"/>
    <pivotField compact="0" outline="0" showAll="0"/>
    <pivotField compact="0" outline="0" showAll="0" sortType="ascending" defaultSubtotal="0"/>
    <pivotField compact="0" outline="0" showAll="0"/>
    <pivotField compact="0" outline="0" showAll="0"/>
    <pivotField compact="0" outline="0" showAll="0"/>
    <pivotField compact="0" outline="0" showAll="0"/>
    <pivotField dataField="1" compact="0" outline="0" showAll="0"/>
    <pivotField dataField="1" compact="0" outline="0" showAll="0"/>
    <pivotField dataField="1" compact="0" outline="0" showAll="0"/>
    <pivotField axis="axisCol" compact="0" outline="0" showAll="0" defaultSubtotal="0">
      <items count="3">
        <item h="1" m="1" x="2"/>
        <item x="0"/>
        <item h="1" x="1"/>
      </items>
    </pivotField>
    <pivotField compact="0" outline="0" showAll="0"/>
    <pivotField compact="0" outline="0" showAll="0"/>
    <pivotField compact="0" outline="0" showAll="0"/>
    <pivotField compact="0" outline="0" showAll="0" defaultSubtotal="0"/>
    <pivotField compact="0" outline="0" showAll="0"/>
    <pivotField compact="0" outline="0" showAll="0" sortType="descending"/>
    <pivotField compact="0" outline="0" showAll="0"/>
    <pivotField compact="0" outline="0" showAll="0"/>
  </pivotFields>
  <rowFields count="1">
    <field x="-2"/>
  </rowFields>
  <rowItems count="3">
    <i>
      <x/>
    </i>
    <i i="1">
      <x v="1"/>
    </i>
    <i i="2">
      <x v="2"/>
    </i>
  </rowItems>
  <colFields count="1">
    <field x="23"/>
  </colFields>
  <colItems count="1">
    <i>
      <x v="1"/>
    </i>
  </colItems>
  <dataFields count="3">
    <dataField name="Nacional" fld="20" subtotal="count" baseField="0" baseItem="0"/>
    <dataField name="Regional" fld="21" subtotal="count" baseField="0" baseItem="0"/>
    <dataField name="Zonal" fld="22" subtotal="count" baseField="0" baseItem="0"/>
  </dataFields>
  <formats count="36">
    <format dxfId="3841">
      <pivotArea dataOnly="0" grandRow="1" outline="0" fieldPosition="0"/>
    </format>
    <format dxfId="3840">
      <pivotArea type="all" dataOnly="0" outline="0" fieldPosition="0"/>
    </format>
    <format dxfId="3839">
      <pivotArea dataOnly="0" labelOnly="1" grandRow="1" outline="0" fieldPosition="0"/>
    </format>
    <format dxfId="3838">
      <pivotArea outline="0" collapsedLevelsAreSubtotals="1" fieldPosition="0"/>
    </format>
    <format dxfId="3837">
      <pivotArea dataOnly="0" labelOnly="1" outline="0" fieldPosition="0">
        <references count="1">
          <reference field="4294967294" count="3">
            <x v="0"/>
            <x v="1"/>
            <x v="2"/>
          </reference>
        </references>
      </pivotArea>
    </format>
    <format dxfId="3836">
      <pivotArea type="all" dataOnly="0" outline="0" fieldPosition="0"/>
    </format>
    <format dxfId="3835">
      <pivotArea outline="0" collapsedLevelsAreSubtotals="1" fieldPosition="0"/>
    </format>
    <format dxfId="3834">
      <pivotArea dataOnly="0" labelOnly="1" grandRow="1" outline="0" fieldPosition="0"/>
    </format>
    <format dxfId="3833">
      <pivotArea dataOnly="0" labelOnly="1" outline="0" fieldPosition="0">
        <references count="1">
          <reference field="4294967294" count="3">
            <x v="0"/>
            <x v="1"/>
            <x v="2"/>
          </reference>
        </references>
      </pivotArea>
    </format>
    <format dxfId="3832">
      <pivotArea type="all" dataOnly="0" outline="0" fieldPosition="0"/>
    </format>
    <format dxfId="3831">
      <pivotArea outline="0" collapsedLevelsAreSubtotals="1" fieldPosition="0"/>
    </format>
    <format dxfId="3830">
      <pivotArea dataOnly="0" labelOnly="1" outline="0" fieldPosition="0">
        <references count="1">
          <reference field="4294967294" count="3">
            <x v="0"/>
            <x v="1"/>
            <x v="2"/>
          </reference>
        </references>
      </pivotArea>
    </format>
    <format dxfId="3829">
      <pivotArea dataOnly="0" labelOnly="1" grandRow="1" outline="0" fieldPosition="0"/>
    </format>
    <format dxfId="3828">
      <pivotArea grandRow="1" outline="0" collapsedLevelsAreSubtotals="1" fieldPosition="0"/>
    </format>
    <format dxfId="3827">
      <pivotArea dataOnly="0" labelOnly="1" grandRow="1" outline="0" fieldPosition="0"/>
    </format>
    <format dxfId="3826">
      <pivotArea grandRow="1" outline="0" collapsedLevelsAreSubtotals="1" fieldPosition="0"/>
    </format>
    <format dxfId="3825">
      <pivotArea dataOnly="0" labelOnly="1" grandRow="1" outline="0" fieldPosition="0"/>
    </format>
    <format dxfId="3824">
      <pivotArea dataOnly="0" labelOnly="1" outline="0" fieldPosition="0">
        <references count="1">
          <reference field="4294967294" count="3">
            <x v="0"/>
            <x v="1"/>
            <x v="2"/>
          </reference>
        </references>
      </pivotArea>
    </format>
    <format dxfId="3823">
      <pivotArea outline="0" collapsedLevelsAreSubtotals="1" fieldPosition="0"/>
    </format>
    <format dxfId="3822">
      <pivotArea dataOnly="0" labelOnly="1" outline="0" fieldPosition="0">
        <references count="1">
          <reference field="23" count="0"/>
        </references>
      </pivotArea>
    </format>
    <format dxfId="3821">
      <pivotArea field="23" type="button" dataOnly="0" labelOnly="1" outline="0" axis="axisCol" fieldPosition="0"/>
    </format>
    <format dxfId="3820">
      <pivotArea field="23" type="button" dataOnly="0" labelOnly="1" outline="0" axis="axisCol" fieldPosition="0"/>
    </format>
    <format dxfId="3819">
      <pivotArea outline="0" collapsedLevelsAreSubtotals="1" fieldPosition="0"/>
    </format>
    <format dxfId="3818">
      <pivotArea dataOnly="0" labelOnly="1" outline="0" fieldPosition="0">
        <references count="1">
          <reference field="23" count="0"/>
        </references>
      </pivotArea>
    </format>
    <format dxfId="3817">
      <pivotArea type="origin" dataOnly="0" labelOnly="1" outline="0" fieldPosition="0"/>
    </format>
    <format dxfId="3816">
      <pivotArea field="23" type="button" dataOnly="0" labelOnly="1" outline="0" axis="axisCol" fieldPosition="0"/>
    </format>
    <format dxfId="3815">
      <pivotArea type="all" dataOnly="0" outline="0" fieldPosition="0"/>
    </format>
    <format dxfId="3814">
      <pivotArea outline="0" collapsedLevelsAreSubtotals="1" fieldPosition="0"/>
    </format>
    <format dxfId="3813">
      <pivotArea field="23" type="button" dataOnly="0" labelOnly="1" outline="0" axis="axisCol" fieldPosition="0"/>
    </format>
    <format dxfId="3812">
      <pivotArea dataOnly="0" labelOnly="1" outline="0" fieldPosition="0">
        <references count="1">
          <reference field="4294967294" count="3">
            <x v="0"/>
            <x v="1"/>
            <x v="2"/>
          </reference>
        </references>
      </pivotArea>
    </format>
    <format dxfId="3811">
      <pivotArea dataOnly="0" labelOnly="1" outline="0" fieldPosition="0">
        <references count="1">
          <reference field="23" count="0"/>
        </references>
      </pivotArea>
    </format>
    <format dxfId="3810">
      <pivotArea type="all" dataOnly="0" outline="0" fieldPosition="0"/>
    </format>
    <format dxfId="3809">
      <pivotArea outline="0" collapsedLevelsAreSubtotals="1" fieldPosition="0"/>
    </format>
    <format dxfId="3808">
      <pivotArea field="23" type="button" dataOnly="0" labelOnly="1" outline="0" axis="axisCol" fieldPosition="0"/>
    </format>
    <format dxfId="3807">
      <pivotArea dataOnly="0" labelOnly="1" outline="0" fieldPosition="0">
        <references count="1">
          <reference field="4294967294" count="3">
            <x v="0"/>
            <x v="1"/>
            <x v="2"/>
          </reference>
        </references>
      </pivotArea>
    </format>
    <format dxfId="3806">
      <pivotArea dataOnly="0" labelOnly="1" outline="0" fieldPosition="0">
        <references count="1">
          <reference field="23"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Tabla dinámica7" cacheId="8" applyNumberFormats="0" applyBorderFormats="0" applyFontFormats="0" applyPatternFormats="0" applyAlignmentFormats="0" applyWidthHeightFormats="1" dataCaption="Valores" updatedVersion="5" minRefreshableVersion="3" useAutoFormatting="1" itemPrintTitles="1" createdVersion="5" indent="0" compact="0" compactData="0" multipleFieldFilters="0" colHeaderCaption="l">
  <location ref="AD31:AI57" firstHeaderRow="0" firstDataRow="1" firstDataCol="4"/>
  <pivotFields count="32">
    <pivotField axis="axisRow" compact="0" outline="0" showAll="0" defaultSubtotal="0">
      <items count="17">
        <item x="0"/>
        <item x="1"/>
        <item x="2"/>
        <item x="3"/>
        <item x="4"/>
        <item x="5"/>
        <item x="6"/>
        <item x="7"/>
        <item x="8"/>
        <item x="9"/>
        <item x="10"/>
        <item x="11"/>
        <item x="12"/>
        <item x="13"/>
        <item x="14"/>
        <item x="15"/>
        <item x="16"/>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defaultSubtotal="0"/>
    <pivotField compact="0" outline="0" showAll="0" defaultSubtotal="0"/>
    <pivotField compact="0" outline="0" showAll="0"/>
    <pivotField compact="0" outline="0" showAll="0"/>
    <pivotField compact="0" outline="0" showAll="0"/>
    <pivotField axis="axisRow" compact="0" outline="0" showAll="0" defaultSubtotal="0">
      <items count="26">
        <item sd="0" x="11"/>
        <item sd="0" x="10"/>
        <item sd="0" x="12"/>
        <item sd="0" x="2"/>
        <item sd="0" x="7"/>
        <item sd="0" x="17"/>
        <item sd="0" x="1"/>
        <item sd="0" x="3"/>
        <item sd="0" x="0"/>
        <item sd="0" x="16"/>
        <item sd="0" x="22"/>
        <item sd="0" x="8"/>
        <item sd="0" x="18"/>
        <item sd="0" x="13"/>
        <item sd="0" x="25"/>
        <item sd="0" x="24"/>
        <item sd="0" x="9"/>
        <item sd="0" x="15"/>
        <item sd="0" x="14"/>
        <item sd="0" x="5"/>
        <item sd="0" x="21"/>
        <item sd="0" x="23"/>
        <item sd="0" x="19"/>
        <item sd="0" x="6"/>
        <item sd="0" x="4"/>
        <item sd="0" x="20"/>
      </items>
    </pivotField>
    <pivotField compact="0" outline="0" showAll="0"/>
    <pivotField dataField="1" compact="0" outline="0" showAll="0" sortType="ascending" defaultSubtotal="0"/>
    <pivotField compact="0" outline="0" showAll="0"/>
    <pivotField compact="0" outline="0" showAll="0"/>
    <pivotField dataField="1" compact="0" outline="0" showAll="0"/>
    <pivotField compact="0" outline="0" showAll="0"/>
    <pivotField compact="0" outline="0" showAll="0"/>
    <pivotField compact="0" outline="0" showAll="0"/>
    <pivotField compact="0" outline="0" showAll="0"/>
    <pivotField axis="axisRow" compact="0" outline="0" showAll="0" defaultSubtotal="0">
      <items count="3">
        <item h="1" m="1" x="2"/>
        <item x="0"/>
        <item h="1" x="1"/>
      </items>
    </pivotField>
    <pivotField axis="axisRow" compact="0" outline="0" showAll="0">
      <items count="4">
        <item m="1" x="2"/>
        <item x="0"/>
        <item x="1"/>
        <item t="default"/>
      </items>
    </pivotField>
    <pivotField compact="0" outline="0" showAll="0"/>
    <pivotField compact="0" outline="0" showAll="0"/>
    <pivotField compact="0" outline="0" showAll="0" defaultSubtotal="0"/>
    <pivotField compact="0" outline="0" showAll="0"/>
    <pivotField compact="0" outline="0" showAll="0" sortType="descending"/>
    <pivotField compact="0" outline="0" showAll="0"/>
    <pivotField compact="0" outline="0" showAll="0"/>
  </pivotFields>
  <rowFields count="4">
    <field x="0"/>
    <field x="13"/>
    <field x="23"/>
    <field x="24"/>
  </rowFields>
  <rowItems count="26">
    <i>
      <x/>
      <x v="8"/>
    </i>
    <i>
      <x v="1"/>
      <x v="6"/>
    </i>
    <i>
      <x v="2"/>
      <x v="3"/>
    </i>
    <i>
      <x v="3"/>
      <x v="7"/>
    </i>
    <i>
      <x v="4"/>
      <x v="19"/>
    </i>
    <i r="1">
      <x v="23"/>
    </i>
    <i r="1">
      <x v="24"/>
    </i>
    <i>
      <x v="5"/>
      <x/>
    </i>
    <i r="1">
      <x v="1"/>
    </i>
    <i r="1">
      <x v="2"/>
    </i>
    <i r="1">
      <x v="4"/>
    </i>
    <i r="1">
      <x v="11"/>
    </i>
    <i r="1">
      <x v="16"/>
    </i>
    <i>
      <x v="6"/>
      <x v="13"/>
    </i>
    <i>
      <x v="7"/>
      <x v="18"/>
    </i>
    <i>
      <x v="8"/>
      <x v="17"/>
    </i>
    <i>
      <x v="9"/>
      <x v="9"/>
    </i>
    <i>
      <x v="10"/>
      <x v="5"/>
    </i>
    <i>
      <x v="11"/>
      <x v="12"/>
    </i>
    <i>
      <x v="12"/>
      <x v="22"/>
    </i>
    <i>
      <x v="13"/>
      <x v="20"/>
    </i>
    <i>
      <x v="14"/>
      <x v="10"/>
    </i>
    <i>
      <x v="15"/>
      <x v="15"/>
    </i>
    <i r="1">
      <x v="21"/>
    </i>
    <i>
      <x v="16"/>
      <x v="14"/>
    </i>
    <i t="grand">
      <x/>
    </i>
  </rowItems>
  <colFields count="1">
    <field x="-2"/>
  </colFields>
  <colItems count="2">
    <i>
      <x/>
    </i>
    <i i="1">
      <x v="1"/>
    </i>
  </colItems>
  <dataFields count="2">
    <dataField name="Ind" fld="15" subtotal="count" baseField="0" baseItem="0"/>
    <dataField name="Pond %" fld="18" baseField="0" baseItem="0" numFmtId="165"/>
  </dataFields>
  <formats count="25">
    <format dxfId="3875">
      <pivotArea dataOnly="0" grandRow="1" outline="0" fieldPosition="0"/>
    </format>
    <format dxfId="3874">
      <pivotArea type="all" dataOnly="0" outline="0" fieldPosition="0"/>
    </format>
    <format dxfId="3873">
      <pivotArea dataOnly="0" labelOnly="1" outline="0" fieldPosition="0">
        <references count="1">
          <reference field="0" count="0"/>
        </references>
      </pivotArea>
    </format>
    <format dxfId="3872">
      <pivotArea dataOnly="0" labelOnly="1" grandRow="1" outline="0" fieldPosition="0"/>
    </format>
    <format dxfId="3871">
      <pivotArea dataOnly="0" labelOnly="1" outline="0" fieldPosition="0">
        <references count="2">
          <reference field="0" count="1" selected="0">
            <x v="0"/>
          </reference>
          <reference field="13" count="1">
            <x v="8"/>
          </reference>
        </references>
      </pivotArea>
    </format>
    <format dxfId="3870">
      <pivotArea dataOnly="0" labelOnly="1" outline="0" fieldPosition="0">
        <references count="2">
          <reference field="0" count="1" selected="0">
            <x v="1"/>
          </reference>
          <reference field="13" count="1">
            <x v="6"/>
          </reference>
        </references>
      </pivotArea>
    </format>
    <format dxfId="3869">
      <pivotArea dataOnly="0" labelOnly="1" outline="0" fieldPosition="0">
        <references count="2">
          <reference field="0" count="1" selected="0">
            <x v="2"/>
          </reference>
          <reference field="13" count="1">
            <x v="3"/>
          </reference>
        </references>
      </pivotArea>
    </format>
    <format dxfId="3868">
      <pivotArea dataOnly="0" labelOnly="1" outline="0" fieldPosition="0">
        <references count="2">
          <reference field="0" count="1" selected="0">
            <x v="3"/>
          </reference>
          <reference field="13" count="1">
            <x v="7"/>
          </reference>
        </references>
      </pivotArea>
    </format>
    <format dxfId="3867">
      <pivotArea dataOnly="0" labelOnly="1" outline="0" fieldPosition="0">
        <references count="2">
          <reference field="0" count="1" selected="0">
            <x v="4"/>
          </reference>
          <reference field="13" count="3">
            <x v="19"/>
            <x v="23"/>
            <x v="24"/>
          </reference>
        </references>
      </pivotArea>
    </format>
    <format dxfId="3866">
      <pivotArea dataOnly="0" labelOnly="1" outline="0" fieldPosition="0">
        <references count="2">
          <reference field="0" count="1" selected="0">
            <x v="5"/>
          </reference>
          <reference field="13" count="6">
            <x v="0"/>
            <x v="1"/>
            <x v="2"/>
            <x v="4"/>
            <x v="11"/>
            <x v="16"/>
          </reference>
        </references>
      </pivotArea>
    </format>
    <format dxfId="3865">
      <pivotArea dataOnly="0" labelOnly="1" outline="0" fieldPosition="0">
        <references count="2">
          <reference field="0" count="1" selected="0">
            <x v="6"/>
          </reference>
          <reference field="13" count="1">
            <x v="13"/>
          </reference>
        </references>
      </pivotArea>
    </format>
    <format dxfId="3864">
      <pivotArea dataOnly="0" labelOnly="1" outline="0" fieldPosition="0">
        <references count="2">
          <reference field="0" count="1" selected="0">
            <x v="7"/>
          </reference>
          <reference field="13" count="1">
            <x v="18"/>
          </reference>
        </references>
      </pivotArea>
    </format>
    <format dxfId="3863">
      <pivotArea dataOnly="0" labelOnly="1" outline="0" fieldPosition="0">
        <references count="2">
          <reference field="0" count="1" selected="0">
            <x v="8"/>
          </reference>
          <reference field="13" count="1">
            <x v="17"/>
          </reference>
        </references>
      </pivotArea>
    </format>
    <format dxfId="3862">
      <pivotArea dataOnly="0" labelOnly="1" outline="0" fieldPosition="0">
        <references count="2">
          <reference field="0" count="1" selected="0">
            <x v="9"/>
          </reference>
          <reference field="13" count="1">
            <x v="9"/>
          </reference>
        </references>
      </pivotArea>
    </format>
    <format dxfId="3861">
      <pivotArea dataOnly="0" labelOnly="1" outline="0" fieldPosition="0">
        <references count="2">
          <reference field="0" count="1" selected="0">
            <x v="10"/>
          </reference>
          <reference field="13" count="1">
            <x v="5"/>
          </reference>
        </references>
      </pivotArea>
    </format>
    <format dxfId="3860">
      <pivotArea dataOnly="0" labelOnly="1" outline="0" fieldPosition="0">
        <references count="2">
          <reference field="0" count="1" selected="0">
            <x v="11"/>
          </reference>
          <reference field="13" count="1">
            <x v="12"/>
          </reference>
        </references>
      </pivotArea>
    </format>
    <format dxfId="3859">
      <pivotArea dataOnly="0" labelOnly="1" outline="0" fieldPosition="0">
        <references count="2">
          <reference field="0" count="1" selected="0">
            <x v="12"/>
          </reference>
          <reference field="13" count="2">
            <x v="22"/>
            <x v="25"/>
          </reference>
        </references>
      </pivotArea>
    </format>
    <format dxfId="3858">
      <pivotArea dataOnly="0" labelOnly="1" outline="0" fieldPosition="0">
        <references count="2">
          <reference field="0" count="1" selected="0">
            <x v="13"/>
          </reference>
          <reference field="13" count="1">
            <x v="20"/>
          </reference>
        </references>
      </pivotArea>
    </format>
    <format dxfId="3857">
      <pivotArea dataOnly="0" labelOnly="1" outline="0" fieldPosition="0">
        <references count="2">
          <reference field="0" count="1" selected="0">
            <x v="14"/>
          </reference>
          <reference field="13" count="1">
            <x v="10"/>
          </reference>
        </references>
      </pivotArea>
    </format>
    <format dxfId="3856">
      <pivotArea dataOnly="0" labelOnly="1" outline="0" fieldPosition="0">
        <references count="2">
          <reference field="0" count="1" selected="0">
            <x v="15"/>
          </reference>
          <reference field="13" count="2">
            <x v="15"/>
            <x v="21"/>
          </reference>
        </references>
      </pivotArea>
    </format>
    <format dxfId="3855">
      <pivotArea dataOnly="0" labelOnly="1" outline="0" fieldPosition="0">
        <references count="2">
          <reference field="0" count="1" selected="0">
            <x v="16"/>
          </reference>
          <reference field="13" count="1">
            <x v="14"/>
          </reference>
        </references>
      </pivotArea>
    </format>
    <format dxfId="3854">
      <pivotArea outline="0" collapsedLevelsAreSubtotals="1" fieldPosition="0"/>
    </format>
    <format dxfId="3853">
      <pivotArea dataOnly="0" labelOnly="1" outline="0" fieldPosition="0">
        <references count="1">
          <reference field="4294967294" count="2">
            <x v="0"/>
            <x v="1"/>
          </reference>
        </references>
      </pivotArea>
    </format>
    <format dxfId="3852">
      <pivotArea outline="0" collapsedLevelsAreSubtotals="1" fieldPosition="0">
        <references count="1">
          <reference field="4294967294" count="1" selected="0">
            <x v="1"/>
          </reference>
        </references>
      </pivotArea>
    </format>
    <format dxfId="3851">
      <pivotArea dataOnly="0" labelOnly="1" outline="0" fieldPosition="0">
        <references count="1">
          <reference field="4294967294" count="1">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3.xml><?xml version="1.0" encoding="utf-8"?>
<pivotTableDefinition xmlns="http://schemas.openxmlformats.org/spreadsheetml/2006/main" name="Tabla dinámica5" cacheId="8" applyNumberFormats="0" applyBorderFormats="0" applyFontFormats="0" applyPatternFormats="0" applyAlignmentFormats="0" applyWidthHeightFormats="1" dataCaption="Valores" updatedVersion="5" minRefreshableVersion="3" useAutoFormatting="1" itemPrintTitles="1" createdVersion="5" indent="0" compact="0" compactData="0" multipleFieldFilters="0" colHeaderCaption="l">
  <location ref="K58:M67" firstHeaderRow="1" firstDataRow="1" firstDataCol="2"/>
  <pivotFields count="32">
    <pivotField compact="0" outline="0" showAll="0" defaultSubtota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defaultSubtotal="0"/>
    <pivotField compact="0" outline="0" showAll="0" defaultSubtotal="0"/>
    <pivotField compact="0" outline="0" showAll="0"/>
    <pivotField compact="0" outline="0" showAll="0"/>
    <pivotField compact="0" outline="0" showAll="0"/>
    <pivotField compact="0" outline="0" showAll="0" defaultSubtotal="0"/>
    <pivotField compact="0" outline="0" showAll="0"/>
    <pivotField dataField="1" compact="0" outline="0" showAll="0" sortType="ascending" defaultSubtota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defaultSubtotal="0"/>
    <pivotField axis="axisRow" compact="0" outline="0" showAll="0">
      <items count="3">
        <item x="0"/>
        <item x="1"/>
        <item t="default"/>
      </items>
    </pivotField>
    <pivotField axis="axisRow" compact="0" outline="0" showAll="0" sortType="descending">
      <items count="9">
        <item m="1" x="4"/>
        <item x="2"/>
        <item m="1" x="5"/>
        <item x="0"/>
        <item m="1" x="3"/>
        <item m="1" x="7"/>
        <item m="1" x="6"/>
        <item x="1"/>
        <item t="default"/>
      </items>
    </pivotField>
    <pivotField compact="0" outline="0" showAll="0"/>
    <pivotField compact="0" outline="0" showAll="0"/>
  </pivotFields>
  <rowFields count="2">
    <field x="28"/>
    <field x="29"/>
  </rowFields>
  <rowItems count="9">
    <i>
      <x/>
      <x v="1"/>
    </i>
    <i r="1">
      <x v="3"/>
    </i>
    <i r="1">
      <x v="7"/>
    </i>
    <i t="default">
      <x/>
    </i>
    <i>
      <x v="1"/>
      <x v="1"/>
    </i>
    <i r="1">
      <x v="3"/>
    </i>
    <i r="1">
      <x v="7"/>
    </i>
    <i t="default">
      <x v="1"/>
    </i>
    <i t="grand">
      <x/>
    </i>
  </rowItems>
  <colItems count="1">
    <i/>
  </colItems>
  <dataFields count="1">
    <dataField name="Cuenta de Cod6" fld="15" subtotal="count" baseField="0" baseItem="0"/>
  </dataFields>
  <formats count="9">
    <format dxfId="3884">
      <pivotArea dataOnly="0" grandRow="1" outline="0" fieldPosition="0"/>
    </format>
    <format dxfId="3883">
      <pivotArea type="all" dataOnly="0" outline="0" fieldPosition="0"/>
    </format>
    <format dxfId="3882">
      <pivotArea outline="0" collapsedLevelsAreSubtotals="1" fieldPosition="0"/>
    </format>
    <format dxfId="3881">
      <pivotArea dataOnly="0" labelOnly="1" outline="0" axis="axisValues" fieldPosition="0"/>
    </format>
    <format dxfId="3880">
      <pivotArea dataOnly="0" labelOnly="1" outline="0" fieldPosition="0">
        <references count="1">
          <reference field="28" count="0"/>
        </references>
      </pivotArea>
    </format>
    <format dxfId="3879">
      <pivotArea dataOnly="0" labelOnly="1" outline="0" fieldPosition="0">
        <references count="1">
          <reference field="28" count="0" defaultSubtotal="1"/>
        </references>
      </pivotArea>
    </format>
    <format dxfId="3878">
      <pivotArea dataOnly="0" labelOnly="1" grandRow="1" outline="0" fieldPosition="0"/>
    </format>
    <format dxfId="3877">
      <pivotArea dataOnly="0" labelOnly="1" outline="0" fieldPosition="0">
        <references count="2">
          <reference field="28" count="1" selected="0">
            <x v="0"/>
          </reference>
          <reference field="29" count="0"/>
        </references>
      </pivotArea>
    </format>
    <format dxfId="3876">
      <pivotArea dataOnly="0" labelOnly="1" outline="0" fieldPosition="0">
        <references count="2">
          <reference field="28" count="1" selected="0">
            <x v="1"/>
          </reference>
          <reference field="29"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4.xml><?xml version="1.0" encoding="utf-8"?>
<pivotTableDefinition xmlns="http://schemas.openxmlformats.org/spreadsheetml/2006/main" name="Tabla dinámica6" cacheId="8" applyNumberFormats="0" applyBorderFormats="0" applyFontFormats="0" applyPatternFormats="0" applyAlignmentFormats="0" applyWidthHeightFormats="1" dataCaption="Valores" updatedVersion="5" minRefreshableVersion="3" useAutoFormatting="1" itemPrintTitles="1" createdVersion="5" indent="0" compact="0" compactData="0" multipleFieldFilters="0" colHeaderCaption="l">
  <location ref="AD1:AI28" firstHeaderRow="0" firstDataRow="1" firstDataCol="4"/>
  <pivotFields count="32">
    <pivotField axis="axisRow" compact="0" outline="0" showAll="0" defaultSubtotal="0">
      <items count="17">
        <item x="0"/>
        <item x="1"/>
        <item x="2"/>
        <item x="3"/>
        <item x="4"/>
        <item x="5"/>
        <item x="6"/>
        <item x="7"/>
        <item x="8"/>
        <item x="9"/>
        <item x="10"/>
        <item x="11"/>
        <item x="12"/>
        <item x="13"/>
        <item x="14"/>
        <item x="15"/>
        <item x="16"/>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defaultSubtotal="0"/>
    <pivotField compact="0" outline="0" showAll="0" defaultSubtotal="0"/>
    <pivotField compact="0" outline="0" showAll="0"/>
    <pivotField compact="0" outline="0" showAll="0"/>
    <pivotField compact="0" outline="0" showAll="0"/>
    <pivotField axis="axisRow" compact="0" outline="0" showAll="0" defaultSubtotal="0">
      <items count="26">
        <item sd="0" x="11"/>
        <item sd="0" x="10"/>
        <item sd="0" x="12"/>
        <item sd="0" x="2"/>
        <item sd="0" x="7"/>
        <item sd="0" x="17"/>
        <item sd="0" x="1"/>
        <item sd="0" x="3"/>
        <item sd="0" x="0"/>
        <item sd="0" x="16"/>
        <item sd="0" x="22"/>
        <item sd="0" x="8"/>
        <item sd="0" x="18"/>
        <item sd="0" x="13"/>
        <item sd="0" x="25"/>
        <item sd="0" x="24"/>
        <item sd="0" x="9"/>
        <item sd="0" x="15"/>
        <item sd="0" x="14"/>
        <item sd="0" x="5"/>
        <item sd="0" x="21"/>
        <item sd="0" x="23"/>
        <item sd="0" x="19"/>
        <item sd="0" x="6"/>
        <item sd="0" x="4"/>
        <item sd="0" x="20"/>
      </items>
    </pivotField>
    <pivotField compact="0" outline="0" showAll="0"/>
    <pivotField dataField="1" compact="0" outline="0" showAll="0" sortType="ascending" defaultSubtotal="0"/>
    <pivotField compact="0" outline="0" showAll="0"/>
    <pivotField compact="0" outline="0" showAll="0"/>
    <pivotField dataField="1" compact="0" outline="0" showAll="0"/>
    <pivotField compact="0" outline="0" showAll="0"/>
    <pivotField compact="0" outline="0" showAll="0"/>
    <pivotField compact="0" outline="0" showAll="0"/>
    <pivotField compact="0" outline="0" showAll="0"/>
    <pivotField axis="axisRow" compact="0" outline="0" showAll="0" defaultSubtotal="0">
      <items count="3">
        <item m="1" x="2"/>
        <item x="0"/>
        <item x="1"/>
      </items>
    </pivotField>
    <pivotField axis="axisRow" compact="0" outline="0" showAll="0">
      <items count="4">
        <item m="1" x="2"/>
        <item x="0"/>
        <item x="1"/>
        <item t="default"/>
      </items>
    </pivotField>
    <pivotField compact="0" outline="0" showAll="0"/>
    <pivotField compact="0" outline="0" showAll="0"/>
    <pivotField compact="0" outline="0" showAll="0" defaultSubtotal="0"/>
    <pivotField compact="0" outline="0" showAll="0"/>
    <pivotField compact="0" outline="0" showAll="0" sortType="descending"/>
    <pivotField compact="0" outline="0" showAll="0"/>
    <pivotField compact="0" outline="0" showAll="0"/>
  </pivotFields>
  <rowFields count="4">
    <field x="0"/>
    <field x="13"/>
    <field x="23"/>
    <field x="24"/>
  </rowFields>
  <rowItems count="27">
    <i>
      <x/>
      <x v="8"/>
    </i>
    <i>
      <x v="1"/>
      <x v="6"/>
    </i>
    <i>
      <x v="2"/>
      <x v="3"/>
    </i>
    <i>
      <x v="3"/>
      <x v="7"/>
    </i>
    <i>
      <x v="4"/>
      <x v="19"/>
    </i>
    <i r="1">
      <x v="23"/>
    </i>
    <i r="1">
      <x v="24"/>
    </i>
    <i>
      <x v="5"/>
      <x/>
    </i>
    <i r="1">
      <x v="1"/>
    </i>
    <i r="1">
      <x v="2"/>
    </i>
    <i r="1">
      <x v="4"/>
    </i>
    <i r="1">
      <x v="11"/>
    </i>
    <i r="1">
      <x v="16"/>
    </i>
    <i>
      <x v="6"/>
      <x v="13"/>
    </i>
    <i>
      <x v="7"/>
      <x v="18"/>
    </i>
    <i>
      <x v="8"/>
      <x v="17"/>
    </i>
    <i>
      <x v="9"/>
      <x v="9"/>
    </i>
    <i>
      <x v="10"/>
      <x v="5"/>
    </i>
    <i>
      <x v="11"/>
      <x v="12"/>
    </i>
    <i>
      <x v="12"/>
      <x v="22"/>
    </i>
    <i r="1">
      <x v="25"/>
    </i>
    <i>
      <x v="13"/>
      <x v="20"/>
    </i>
    <i>
      <x v="14"/>
      <x v="10"/>
    </i>
    <i>
      <x v="15"/>
      <x v="15"/>
    </i>
    <i r="1">
      <x v="21"/>
    </i>
    <i>
      <x v="16"/>
      <x v="14"/>
    </i>
    <i t="grand">
      <x/>
    </i>
  </rowItems>
  <colFields count="1">
    <field x="-2"/>
  </colFields>
  <colItems count="2">
    <i>
      <x/>
    </i>
    <i i="1">
      <x v="1"/>
    </i>
  </colItems>
  <dataFields count="2">
    <dataField name="Ind" fld="15" subtotal="count" baseField="0" baseItem="0"/>
    <dataField name="Pond %" fld="18" baseField="0" baseItem="0" numFmtId="165"/>
  </dataFields>
  <formats count="25">
    <format dxfId="3909">
      <pivotArea dataOnly="0" grandRow="1" outline="0" fieldPosition="0"/>
    </format>
    <format dxfId="3908">
      <pivotArea type="all" dataOnly="0" outline="0" fieldPosition="0"/>
    </format>
    <format dxfId="3907">
      <pivotArea dataOnly="0" labelOnly="1" outline="0" fieldPosition="0">
        <references count="1">
          <reference field="0" count="0"/>
        </references>
      </pivotArea>
    </format>
    <format dxfId="3906">
      <pivotArea dataOnly="0" labelOnly="1" grandRow="1" outline="0" fieldPosition="0"/>
    </format>
    <format dxfId="3905">
      <pivotArea dataOnly="0" labelOnly="1" outline="0" fieldPosition="0">
        <references count="2">
          <reference field="0" count="1" selected="0">
            <x v="0"/>
          </reference>
          <reference field="13" count="1">
            <x v="8"/>
          </reference>
        </references>
      </pivotArea>
    </format>
    <format dxfId="3904">
      <pivotArea dataOnly="0" labelOnly="1" outline="0" fieldPosition="0">
        <references count="2">
          <reference field="0" count="1" selected="0">
            <x v="1"/>
          </reference>
          <reference field="13" count="1">
            <x v="6"/>
          </reference>
        </references>
      </pivotArea>
    </format>
    <format dxfId="3903">
      <pivotArea dataOnly="0" labelOnly="1" outline="0" fieldPosition="0">
        <references count="2">
          <reference field="0" count="1" selected="0">
            <x v="2"/>
          </reference>
          <reference field="13" count="1">
            <x v="3"/>
          </reference>
        </references>
      </pivotArea>
    </format>
    <format dxfId="3902">
      <pivotArea dataOnly="0" labelOnly="1" outline="0" fieldPosition="0">
        <references count="2">
          <reference field="0" count="1" selected="0">
            <x v="3"/>
          </reference>
          <reference field="13" count="1">
            <x v="7"/>
          </reference>
        </references>
      </pivotArea>
    </format>
    <format dxfId="3901">
      <pivotArea dataOnly="0" labelOnly="1" outline="0" fieldPosition="0">
        <references count="2">
          <reference field="0" count="1" selected="0">
            <x v="4"/>
          </reference>
          <reference field="13" count="3">
            <x v="19"/>
            <x v="23"/>
            <x v="24"/>
          </reference>
        </references>
      </pivotArea>
    </format>
    <format dxfId="3900">
      <pivotArea dataOnly="0" labelOnly="1" outline="0" fieldPosition="0">
        <references count="2">
          <reference field="0" count="1" selected="0">
            <x v="5"/>
          </reference>
          <reference field="13" count="6">
            <x v="0"/>
            <x v="1"/>
            <x v="2"/>
            <x v="4"/>
            <x v="11"/>
            <x v="16"/>
          </reference>
        </references>
      </pivotArea>
    </format>
    <format dxfId="3899">
      <pivotArea dataOnly="0" labelOnly="1" outline="0" fieldPosition="0">
        <references count="2">
          <reference field="0" count="1" selected="0">
            <x v="6"/>
          </reference>
          <reference field="13" count="1">
            <x v="13"/>
          </reference>
        </references>
      </pivotArea>
    </format>
    <format dxfId="3898">
      <pivotArea dataOnly="0" labelOnly="1" outline="0" fieldPosition="0">
        <references count="2">
          <reference field="0" count="1" selected="0">
            <x v="7"/>
          </reference>
          <reference field="13" count="1">
            <x v="18"/>
          </reference>
        </references>
      </pivotArea>
    </format>
    <format dxfId="3897">
      <pivotArea dataOnly="0" labelOnly="1" outline="0" fieldPosition="0">
        <references count="2">
          <reference field="0" count="1" selected="0">
            <x v="8"/>
          </reference>
          <reference field="13" count="1">
            <x v="17"/>
          </reference>
        </references>
      </pivotArea>
    </format>
    <format dxfId="3896">
      <pivotArea dataOnly="0" labelOnly="1" outline="0" fieldPosition="0">
        <references count="2">
          <reference field="0" count="1" selected="0">
            <x v="9"/>
          </reference>
          <reference field="13" count="1">
            <x v="9"/>
          </reference>
        </references>
      </pivotArea>
    </format>
    <format dxfId="3895">
      <pivotArea dataOnly="0" labelOnly="1" outline="0" fieldPosition="0">
        <references count="2">
          <reference field="0" count="1" selected="0">
            <x v="10"/>
          </reference>
          <reference field="13" count="1">
            <x v="5"/>
          </reference>
        </references>
      </pivotArea>
    </format>
    <format dxfId="3894">
      <pivotArea dataOnly="0" labelOnly="1" outline="0" fieldPosition="0">
        <references count="2">
          <reference field="0" count="1" selected="0">
            <x v="11"/>
          </reference>
          <reference field="13" count="1">
            <x v="12"/>
          </reference>
        </references>
      </pivotArea>
    </format>
    <format dxfId="3893">
      <pivotArea dataOnly="0" labelOnly="1" outline="0" fieldPosition="0">
        <references count="2">
          <reference field="0" count="1" selected="0">
            <x v="12"/>
          </reference>
          <reference field="13" count="2">
            <x v="22"/>
            <x v="25"/>
          </reference>
        </references>
      </pivotArea>
    </format>
    <format dxfId="3892">
      <pivotArea dataOnly="0" labelOnly="1" outline="0" fieldPosition="0">
        <references count="2">
          <reference field="0" count="1" selected="0">
            <x v="13"/>
          </reference>
          <reference field="13" count="1">
            <x v="20"/>
          </reference>
        </references>
      </pivotArea>
    </format>
    <format dxfId="3891">
      <pivotArea dataOnly="0" labelOnly="1" outline="0" fieldPosition="0">
        <references count="2">
          <reference field="0" count="1" selected="0">
            <x v="14"/>
          </reference>
          <reference field="13" count="1">
            <x v="10"/>
          </reference>
        </references>
      </pivotArea>
    </format>
    <format dxfId="3890">
      <pivotArea dataOnly="0" labelOnly="1" outline="0" fieldPosition="0">
        <references count="2">
          <reference field="0" count="1" selected="0">
            <x v="15"/>
          </reference>
          <reference field="13" count="2">
            <x v="15"/>
            <x v="21"/>
          </reference>
        </references>
      </pivotArea>
    </format>
    <format dxfId="3889">
      <pivotArea dataOnly="0" labelOnly="1" outline="0" fieldPosition="0">
        <references count="2">
          <reference field="0" count="1" selected="0">
            <x v="16"/>
          </reference>
          <reference field="13" count="1">
            <x v="14"/>
          </reference>
        </references>
      </pivotArea>
    </format>
    <format dxfId="3888">
      <pivotArea outline="0" collapsedLevelsAreSubtotals="1" fieldPosition="0"/>
    </format>
    <format dxfId="3887">
      <pivotArea dataOnly="0" labelOnly="1" outline="0" fieldPosition="0">
        <references count="1">
          <reference field="4294967294" count="2">
            <x v="0"/>
            <x v="1"/>
          </reference>
        </references>
      </pivotArea>
    </format>
    <format dxfId="3886">
      <pivotArea outline="0" collapsedLevelsAreSubtotals="1" fieldPosition="0">
        <references count="1">
          <reference field="4294967294" count="1" selected="0">
            <x v="1"/>
          </reference>
        </references>
      </pivotArea>
    </format>
    <format dxfId="3885">
      <pivotArea dataOnly="0" labelOnly="1" outline="0" fieldPosition="0">
        <references count="1">
          <reference field="4294967294" count="1">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5.xml><?xml version="1.0" encoding="utf-8"?>
<pivotTableDefinition xmlns="http://schemas.openxmlformats.org/spreadsheetml/2006/main" name="Tabla dinámica4" cacheId="8" applyNumberFormats="0" applyBorderFormats="0" applyFontFormats="0" applyPatternFormats="0" applyAlignmentFormats="0" applyWidthHeightFormats="1" dataCaption="Valores" updatedVersion="5" minRefreshableVersion="3" useAutoFormatting="1" itemPrintTitles="1" createdVersion="5" indent="0" compact="0" compactData="0" multipleFieldFilters="0" colHeaderCaption="l">
  <location ref="K36:O55" firstHeaderRow="1" firstDataRow="2" firstDataCol="2"/>
  <pivotFields count="32">
    <pivotField axis="axisRow" compact="0" outline="0" showAll="0" defaultSubtotal="0">
      <items count="17">
        <item x="0"/>
        <item x="1"/>
        <item x="2"/>
        <item x="3"/>
        <item x="4"/>
        <item x="5"/>
        <item x="6"/>
        <item x="7"/>
        <item x="8"/>
        <item x="9"/>
        <item x="10"/>
        <item x="11"/>
        <item x="12"/>
        <item x="13"/>
        <item x="14"/>
        <item x="15"/>
        <item x="16"/>
      </items>
    </pivotField>
    <pivotField axis="axisRow" compact="0" outline="0" showAll="0">
      <items count="18">
        <item x="16"/>
        <item x="14"/>
        <item x="12"/>
        <item x="15"/>
        <item x="11"/>
        <item x="8"/>
        <item x="6"/>
        <item x="2"/>
        <item x="0"/>
        <item x="3"/>
        <item x="1"/>
        <item x="4"/>
        <item x="7"/>
        <item x="9"/>
        <item x="5"/>
        <item x="10"/>
        <item x="13"/>
        <item t="default"/>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defaultSubtotal="0"/>
    <pivotField compact="0" outline="0" showAll="0" defaultSubtotal="0"/>
    <pivotField compact="0" outline="0" showAll="0"/>
    <pivotField compact="0" outline="0" showAll="0"/>
    <pivotField compact="0" outline="0" showAll="0"/>
    <pivotField compact="0" outline="0" showAll="0" defaultSubtotal="0"/>
    <pivotField compact="0" outline="0" showAll="0"/>
    <pivotField dataField="1" compact="0" outline="0" showAll="0" sortType="ascending" defaultSubtota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defaultSubtotal="0"/>
    <pivotField axis="axisCol" compact="0" outline="0" showAll="0">
      <items count="3">
        <item x="0"/>
        <item x="1"/>
        <item t="default"/>
      </items>
    </pivotField>
    <pivotField compact="0" outline="0" showAll="0" sortType="descending"/>
    <pivotField compact="0" outline="0" showAll="0"/>
    <pivotField compact="0" outline="0" showAll="0"/>
  </pivotFields>
  <rowFields count="2">
    <field x="0"/>
    <field x="1"/>
  </rowFields>
  <rowItems count="18">
    <i>
      <x/>
      <x v="8"/>
    </i>
    <i>
      <x v="1"/>
      <x v="10"/>
    </i>
    <i>
      <x v="2"/>
      <x v="7"/>
    </i>
    <i>
      <x v="3"/>
      <x v="9"/>
    </i>
    <i>
      <x v="4"/>
      <x v="11"/>
    </i>
    <i>
      <x v="5"/>
      <x v="14"/>
    </i>
    <i>
      <x v="6"/>
      <x v="6"/>
    </i>
    <i>
      <x v="7"/>
      <x v="12"/>
    </i>
    <i>
      <x v="8"/>
      <x v="5"/>
    </i>
    <i>
      <x v="9"/>
      <x v="13"/>
    </i>
    <i>
      <x v="10"/>
      <x v="15"/>
    </i>
    <i>
      <x v="11"/>
      <x v="4"/>
    </i>
    <i>
      <x v="12"/>
      <x v="2"/>
    </i>
    <i>
      <x v="13"/>
      <x v="16"/>
    </i>
    <i>
      <x v="14"/>
      <x v="1"/>
    </i>
    <i>
      <x v="15"/>
      <x v="3"/>
    </i>
    <i>
      <x v="16"/>
      <x/>
    </i>
    <i t="grand">
      <x/>
    </i>
  </rowItems>
  <colFields count="1">
    <field x="28"/>
  </colFields>
  <colItems count="3">
    <i>
      <x/>
    </i>
    <i>
      <x v="1"/>
    </i>
    <i t="grand">
      <x/>
    </i>
  </colItems>
  <dataFields count="1">
    <dataField name="Cuenta de Cod6" fld="15" subtotal="count" baseField="0" baseItem="0"/>
  </dataFields>
  <formats count="49">
    <format dxfId="3958">
      <pivotArea dataOnly="0" grandRow="1" outline="0" fieldPosition="0"/>
    </format>
    <format dxfId="3957">
      <pivotArea outline="0" collapsedLevelsAreSubtotals="1" fieldPosition="0">
        <references count="2">
          <reference field="0" count="5" selected="0">
            <x v="0"/>
            <x v="1"/>
            <x v="2"/>
            <x v="3"/>
            <x v="4"/>
          </reference>
          <reference field="1" count="5" selected="0">
            <x v="7"/>
            <x v="8"/>
            <x v="9"/>
            <x v="10"/>
            <x v="11"/>
          </reference>
        </references>
      </pivotArea>
    </format>
    <format dxfId="3956">
      <pivotArea dataOnly="0" labelOnly="1" outline="0" fieldPosition="0">
        <references count="1">
          <reference field="0" count="5">
            <x v="0"/>
            <x v="1"/>
            <x v="2"/>
            <x v="3"/>
            <x v="4"/>
          </reference>
        </references>
      </pivotArea>
    </format>
    <format dxfId="3955">
      <pivotArea dataOnly="0" labelOnly="1" outline="0" fieldPosition="0">
        <references count="2">
          <reference field="0" count="1" selected="0">
            <x v="0"/>
          </reference>
          <reference field="1" count="1">
            <x v="8"/>
          </reference>
        </references>
      </pivotArea>
    </format>
    <format dxfId="3954">
      <pivotArea dataOnly="0" labelOnly="1" outline="0" fieldPosition="0">
        <references count="2">
          <reference field="0" count="1" selected="0">
            <x v="1"/>
          </reference>
          <reference field="1" count="1">
            <x v="10"/>
          </reference>
        </references>
      </pivotArea>
    </format>
    <format dxfId="3953">
      <pivotArea dataOnly="0" labelOnly="1" outline="0" fieldPosition="0">
        <references count="2">
          <reference field="0" count="1" selected="0">
            <x v="2"/>
          </reference>
          <reference field="1" count="1">
            <x v="7"/>
          </reference>
        </references>
      </pivotArea>
    </format>
    <format dxfId="3952">
      <pivotArea dataOnly="0" labelOnly="1" outline="0" fieldPosition="0">
        <references count="2">
          <reference field="0" count="1" selected="0">
            <x v="3"/>
          </reference>
          <reference field="1" count="1">
            <x v="9"/>
          </reference>
        </references>
      </pivotArea>
    </format>
    <format dxfId="3951">
      <pivotArea dataOnly="0" labelOnly="1" outline="0" fieldPosition="0">
        <references count="2">
          <reference field="0" count="1" selected="0">
            <x v="4"/>
          </reference>
          <reference field="1" count="1">
            <x v="11"/>
          </reference>
        </references>
      </pivotArea>
    </format>
    <format dxfId="3950">
      <pivotArea outline="0" collapsedLevelsAreSubtotals="1" fieldPosition="0">
        <references count="2">
          <reference field="0" count="7" selected="0">
            <x v="5"/>
            <x v="6"/>
            <x v="7"/>
            <x v="8"/>
            <x v="9"/>
            <x v="10"/>
            <x v="11"/>
          </reference>
          <reference field="1" count="7" selected="0">
            <x v="4"/>
            <x v="5"/>
            <x v="6"/>
            <x v="12"/>
            <x v="13"/>
            <x v="14"/>
            <x v="15"/>
          </reference>
        </references>
      </pivotArea>
    </format>
    <format dxfId="3949">
      <pivotArea dataOnly="0" labelOnly="1" outline="0" fieldPosition="0">
        <references count="1">
          <reference field="0" count="7">
            <x v="5"/>
            <x v="6"/>
            <x v="7"/>
            <x v="8"/>
            <x v="9"/>
            <x v="10"/>
            <x v="11"/>
          </reference>
        </references>
      </pivotArea>
    </format>
    <format dxfId="3948">
      <pivotArea dataOnly="0" labelOnly="1" outline="0" fieldPosition="0">
        <references count="2">
          <reference field="0" count="1" selected="0">
            <x v="5"/>
          </reference>
          <reference field="1" count="1">
            <x v="14"/>
          </reference>
        </references>
      </pivotArea>
    </format>
    <format dxfId="3947">
      <pivotArea dataOnly="0" labelOnly="1" outline="0" fieldPosition="0">
        <references count="2">
          <reference field="0" count="1" selected="0">
            <x v="6"/>
          </reference>
          <reference field="1" count="1">
            <x v="6"/>
          </reference>
        </references>
      </pivotArea>
    </format>
    <format dxfId="3946">
      <pivotArea dataOnly="0" labelOnly="1" outline="0" fieldPosition="0">
        <references count="2">
          <reference field="0" count="1" selected="0">
            <x v="7"/>
          </reference>
          <reference field="1" count="1">
            <x v="12"/>
          </reference>
        </references>
      </pivotArea>
    </format>
    <format dxfId="3945">
      <pivotArea dataOnly="0" labelOnly="1" outline="0" fieldPosition="0">
        <references count="2">
          <reference field="0" count="1" selected="0">
            <x v="8"/>
          </reference>
          <reference field="1" count="1">
            <x v="5"/>
          </reference>
        </references>
      </pivotArea>
    </format>
    <format dxfId="3944">
      <pivotArea dataOnly="0" labelOnly="1" outline="0" fieldPosition="0">
        <references count="2">
          <reference field="0" count="1" selected="0">
            <x v="9"/>
          </reference>
          <reference field="1" count="1">
            <x v="13"/>
          </reference>
        </references>
      </pivotArea>
    </format>
    <format dxfId="3943">
      <pivotArea dataOnly="0" labelOnly="1" outline="0" fieldPosition="0">
        <references count="2">
          <reference field="0" count="1" selected="0">
            <x v="10"/>
          </reference>
          <reference field="1" count="1">
            <x v="15"/>
          </reference>
        </references>
      </pivotArea>
    </format>
    <format dxfId="3942">
      <pivotArea dataOnly="0" labelOnly="1" outline="0" fieldPosition="0">
        <references count="2">
          <reference field="0" count="1" selected="0">
            <x v="11"/>
          </reference>
          <reference field="1" count="1">
            <x v="4"/>
          </reference>
        </references>
      </pivotArea>
    </format>
    <format dxfId="3941">
      <pivotArea outline="0" collapsedLevelsAreSubtotals="1" fieldPosition="0">
        <references count="2">
          <reference field="0" count="3" selected="0">
            <x v="12"/>
            <x v="13"/>
            <x v="14"/>
          </reference>
          <reference field="1" count="3" selected="0">
            <x v="1"/>
            <x v="2"/>
            <x v="16"/>
          </reference>
        </references>
      </pivotArea>
    </format>
    <format dxfId="3940">
      <pivotArea dataOnly="0" labelOnly="1" outline="0" fieldPosition="0">
        <references count="1">
          <reference field="0" count="3">
            <x v="12"/>
            <x v="13"/>
            <x v="14"/>
          </reference>
        </references>
      </pivotArea>
    </format>
    <format dxfId="3939">
      <pivotArea dataOnly="0" labelOnly="1" outline="0" fieldPosition="0">
        <references count="2">
          <reference field="0" count="1" selected="0">
            <x v="12"/>
          </reference>
          <reference field="1" count="1">
            <x v="2"/>
          </reference>
        </references>
      </pivotArea>
    </format>
    <format dxfId="3938">
      <pivotArea dataOnly="0" labelOnly="1" outline="0" fieldPosition="0">
        <references count="2">
          <reference field="0" count="1" selected="0">
            <x v="13"/>
          </reference>
          <reference field="1" count="1">
            <x v="16"/>
          </reference>
        </references>
      </pivotArea>
    </format>
    <format dxfId="3937">
      <pivotArea dataOnly="0" labelOnly="1" outline="0" fieldPosition="0">
        <references count="2">
          <reference field="0" count="1" selected="0">
            <x v="14"/>
          </reference>
          <reference field="1" count="1">
            <x v="1"/>
          </reference>
        </references>
      </pivotArea>
    </format>
    <format dxfId="3936">
      <pivotArea outline="0" collapsedLevelsAreSubtotals="1" fieldPosition="0">
        <references count="2">
          <reference field="0" count="2" selected="0">
            <x v="15"/>
            <x v="16"/>
          </reference>
          <reference field="1" count="2" selected="0">
            <x v="0"/>
            <x v="3"/>
          </reference>
        </references>
      </pivotArea>
    </format>
    <format dxfId="3935">
      <pivotArea dataOnly="0" labelOnly="1" outline="0" fieldPosition="0">
        <references count="1">
          <reference field="0" count="2">
            <x v="15"/>
            <x v="16"/>
          </reference>
        </references>
      </pivotArea>
    </format>
    <format dxfId="3934">
      <pivotArea dataOnly="0" labelOnly="1" outline="0" fieldPosition="0">
        <references count="2">
          <reference field="0" count="1" selected="0">
            <x v="15"/>
          </reference>
          <reference field="1" count="1">
            <x v="3"/>
          </reference>
        </references>
      </pivotArea>
    </format>
    <format dxfId="3933">
      <pivotArea dataOnly="0" labelOnly="1" outline="0" fieldPosition="0">
        <references count="2">
          <reference field="0" count="1" selected="0">
            <x v="16"/>
          </reference>
          <reference field="1" count="1">
            <x v="0"/>
          </reference>
        </references>
      </pivotArea>
    </format>
    <format dxfId="3932">
      <pivotArea type="all" dataOnly="0" outline="0" fieldPosition="0"/>
    </format>
    <format dxfId="3931">
      <pivotArea outline="0" collapsedLevelsAreSubtotals="1" fieldPosition="0"/>
    </format>
    <format dxfId="3930">
      <pivotArea dataOnly="0" labelOnly="1" outline="0" fieldPosition="0">
        <references count="1">
          <reference field="0" count="0"/>
        </references>
      </pivotArea>
    </format>
    <format dxfId="3929">
      <pivotArea dataOnly="0" labelOnly="1" grandRow="1" outline="0" fieldPosition="0"/>
    </format>
    <format dxfId="3928">
      <pivotArea dataOnly="0" labelOnly="1" outline="0" fieldPosition="0">
        <references count="2">
          <reference field="0" count="1" selected="0">
            <x v="0"/>
          </reference>
          <reference field="1" count="1">
            <x v="8"/>
          </reference>
        </references>
      </pivotArea>
    </format>
    <format dxfId="3927">
      <pivotArea dataOnly="0" labelOnly="1" outline="0" fieldPosition="0">
        <references count="2">
          <reference field="0" count="1" selected="0">
            <x v="1"/>
          </reference>
          <reference field="1" count="1">
            <x v="10"/>
          </reference>
        </references>
      </pivotArea>
    </format>
    <format dxfId="3926">
      <pivotArea dataOnly="0" labelOnly="1" outline="0" fieldPosition="0">
        <references count="2">
          <reference field="0" count="1" selected="0">
            <x v="2"/>
          </reference>
          <reference field="1" count="1">
            <x v="7"/>
          </reference>
        </references>
      </pivotArea>
    </format>
    <format dxfId="3925">
      <pivotArea dataOnly="0" labelOnly="1" outline="0" fieldPosition="0">
        <references count="2">
          <reference field="0" count="1" selected="0">
            <x v="3"/>
          </reference>
          <reference field="1" count="1">
            <x v="9"/>
          </reference>
        </references>
      </pivotArea>
    </format>
    <format dxfId="3924">
      <pivotArea dataOnly="0" labelOnly="1" outline="0" fieldPosition="0">
        <references count="2">
          <reference field="0" count="1" selected="0">
            <x v="4"/>
          </reference>
          <reference field="1" count="1">
            <x v="11"/>
          </reference>
        </references>
      </pivotArea>
    </format>
    <format dxfId="3923">
      <pivotArea dataOnly="0" labelOnly="1" outline="0" fieldPosition="0">
        <references count="2">
          <reference field="0" count="1" selected="0">
            <x v="5"/>
          </reference>
          <reference field="1" count="1">
            <x v="14"/>
          </reference>
        </references>
      </pivotArea>
    </format>
    <format dxfId="3922">
      <pivotArea dataOnly="0" labelOnly="1" outline="0" fieldPosition="0">
        <references count="2">
          <reference field="0" count="1" selected="0">
            <x v="6"/>
          </reference>
          <reference field="1" count="1">
            <x v="6"/>
          </reference>
        </references>
      </pivotArea>
    </format>
    <format dxfId="3921">
      <pivotArea dataOnly="0" labelOnly="1" outline="0" fieldPosition="0">
        <references count="2">
          <reference field="0" count="1" selected="0">
            <x v="7"/>
          </reference>
          <reference field="1" count="1">
            <x v="12"/>
          </reference>
        </references>
      </pivotArea>
    </format>
    <format dxfId="3920">
      <pivotArea dataOnly="0" labelOnly="1" outline="0" fieldPosition="0">
        <references count="2">
          <reference field="0" count="1" selected="0">
            <x v="8"/>
          </reference>
          <reference field="1" count="1">
            <x v="5"/>
          </reference>
        </references>
      </pivotArea>
    </format>
    <format dxfId="3919">
      <pivotArea dataOnly="0" labelOnly="1" outline="0" fieldPosition="0">
        <references count="2">
          <reference field="0" count="1" selected="0">
            <x v="9"/>
          </reference>
          <reference field="1" count="1">
            <x v="13"/>
          </reference>
        </references>
      </pivotArea>
    </format>
    <format dxfId="3918">
      <pivotArea dataOnly="0" labelOnly="1" outline="0" fieldPosition="0">
        <references count="2">
          <reference field="0" count="1" selected="0">
            <x v="10"/>
          </reference>
          <reference field="1" count="1">
            <x v="15"/>
          </reference>
        </references>
      </pivotArea>
    </format>
    <format dxfId="3917">
      <pivotArea dataOnly="0" labelOnly="1" outline="0" fieldPosition="0">
        <references count="2">
          <reference field="0" count="1" selected="0">
            <x v="11"/>
          </reference>
          <reference field="1" count="1">
            <x v="4"/>
          </reference>
        </references>
      </pivotArea>
    </format>
    <format dxfId="3916">
      <pivotArea dataOnly="0" labelOnly="1" outline="0" fieldPosition="0">
        <references count="2">
          <reference field="0" count="1" selected="0">
            <x v="12"/>
          </reference>
          <reference field="1" count="1">
            <x v="2"/>
          </reference>
        </references>
      </pivotArea>
    </format>
    <format dxfId="3915">
      <pivotArea dataOnly="0" labelOnly="1" outline="0" fieldPosition="0">
        <references count="2">
          <reference field="0" count="1" selected="0">
            <x v="13"/>
          </reference>
          <reference field="1" count="1">
            <x v="16"/>
          </reference>
        </references>
      </pivotArea>
    </format>
    <format dxfId="3914">
      <pivotArea dataOnly="0" labelOnly="1" outline="0" fieldPosition="0">
        <references count="2">
          <reference field="0" count="1" selected="0">
            <x v="14"/>
          </reference>
          <reference field="1" count="1">
            <x v="1"/>
          </reference>
        </references>
      </pivotArea>
    </format>
    <format dxfId="3913">
      <pivotArea dataOnly="0" labelOnly="1" outline="0" fieldPosition="0">
        <references count="2">
          <reference field="0" count="1" selected="0">
            <x v="15"/>
          </reference>
          <reference field="1" count="1">
            <x v="3"/>
          </reference>
        </references>
      </pivotArea>
    </format>
    <format dxfId="3912">
      <pivotArea dataOnly="0" labelOnly="1" outline="0" fieldPosition="0">
        <references count="2">
          <reference field="0" count="1" selected="0">
            <x v="16"/>
          </reference>
          <reference field="1" count="1">
            <x v="0"/>
          </reference>
        </references>
      </pivotArea>
    </format>
    <format dxfId="3911">
      <pivotArea dataOnly="0" labelOnly="1" outline="0" fieldPosition="0">
        <references count="1">
          <reference field="28" count="0"/>
        </references>
      </pivotArea>
    </format>
    <format dxfId="3910">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6.xml><?xml version="1.0" encoding="utf-8"?>
<pivotTableDefinition xmlns="http://schemas.openxmlformats.org/spreadsheetml/2006/main" name="Tabla dinámica2" cacheId="8" applyNumberFormats="0" applyBorderFormats="0" applyFontFormats="0" applyPatternFormats="0" applyAlignmentFormats="0" applyWidthHeightFormats="1" dataCaption="Valores" updatedVersion="5" minRefreshableVersion="3" useAutoFormatting="1" itemPrintTitles="1" createdVersion="5" indent="0" compact="0" compactData="0" multipleFieldFilters="0" colHeaderCaption="l">
  <location ref="K20:N27" firstHeaderRow="1" firstDataRow="1" firstDataCol="3"/>
  <pivotFields count="32">
    <pivotField compact="0" outline="0" showAll="0" defaultSubtota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axis="axisRow" compact="0" outline="0" showAll="0" defaultSubtotal="0">
      <items count="6">
        <item x="0"/>
        <item x="5"/>
        <item x="2"/>
        <item x="4"/>
        <item x="3"/>
        <item x="1"/>
      </items>
    </pivotField>
    <pivotField axis="axisRow" compact="0" outline="0" showAll="0" defaultSubtotal="0">
      <items count="6">
        <item h="1" x="4"/>
        <item h="1" x="2"/>
        <item h="1" x="3"/>
        <item h="1" x="0"/>
        <item x="1"/>
        <item h="1" x="5"/>
      </items>
    </pivotField>
    <pivotField compact="0" outline="0" showAll="0"/>
    <pivotField compact="0" outline="0" showAll="0"/>
    <pivotField compact="0" outline="0" showAll="0"/>
    <pivotField compact="0" outline="0" showAll="0" defaultSubtotal="0"/>
    <pivotField compact="0" outline="0" showAll="0"/>
    <pivotField dataField="1" compact="0" outline="0" showAll="0" sortType="ascending" defaultSubtota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defaultSubtotal="0"/>
    <pivotField compact="0" outline="0" showAll="0"/>
    <pivotField axis="axisRow" compact="0" outline="0" showAll="0" sortType="descending">
      <items count="9">
        <item m="1" x="4"/>
        <item x="2"/>
        <item m="1" x="5"/>
        <item x="0"/>
        <item m="1" x="3"/>
        <item m="1" x="7"/>
        <item m="1" x="6"/>
        <item x="1"/>
        <item t="default"/>
      </items>
    </pivotField>
    <pivotField compact="0" outline="0" showAll="0"/>
    <pivotField compact="0" outline="0" showAll="0"/>
  </pivotFields>
  <rowFields count="3">
    <field x="29"/>
    <field x="8"/>
    <field x="9"/>
  </rowFields>
  <rowItems count="7">
    <i>
      <x v="1"/>
      <x v="5"/>
      <x v="4"/>
    </i>
    <i t="default">
      <x v="1"/>
    </i>
    <i>
      <x v="3"/>
      <x v="5"/>
      <x v="4"/>
    </i>
    <i t="default">
      <x v="3"/>
    </i>
    <i>
      <x v="7"/>
      <x v="5"/>
      <x v="4"/>
    </i>
    <i t="default">
      <x v="7"/>
    </i>
    <i t="grand">
      <x/>
    </i>
  </rowItems>
  <colItems count="1">
    <i/>
  </colItems>
  <dataFields count="1">
    <dataField name="Cuenta de Cod6" fld="15" subtotal="count" baseField="0" baseItem="0"/>
  </dataFields>
  <formats count="14">
    <format dxfId="3972">
      <pivotArea dataOnly="0" outline="0" fieldPosition="0">
        <references count="1">
          <reference field="29" count="0" defaultSubtotal="1"/>
        </references>
      </pivotArea>
    </format>
    <format dxfId="3971">
      <pivotArea dataOnly="0" grandRow="1" outline="0" fieldPosition="0"/>
    </format>
    <format dxfId="3970">
      <pivotArea type="all" dataOnly="0" outline="0" fieldPosition="0"/>
    </format>
    <format dxfId="3969">
      <pivotArea outline="0" collapsedLevelsAreSubtotals="1" fieldPosition="0"/>
    </format>
    <format dxfId="3968">
      <pivotArea dataOnly="0" labelOnly="1" outline="0" axis="axisValues" fieldPosition="0"/>
    </format>
    <format dxfId="3967">
      <pivotArea dataOnly="0" labelOnly="1" outline="0" fieldPosition="0">
        <references count="1">
          <reference field="29" count="0"/>
        </references>
      </pivotArea>
    </format>
    <format dxfId="3966">
      <pivotArea dataOnly="0" labelOnly="1" outline="0" fieldPosition="0">
        <references count="1">
          <reference field="29" count="0" defaultSubtotal="1"/>
        </references>
      </pivotArea>
    </format>
    <format dxfId="3965">
      <pivotArea dataOnly="0" labelOnly="1" grandRow="1" outline="0" fieldPosition="0"/>
    </format>
    <format dxfId="3964">
      <pivotArea dataOnly="0" labelOnly="1" outline="0" fieldPosition="0">
        <references count="2">
          <reference field="8" count="1">
            <x v="5"/>
          </reference>
          <reference field="29" count="1" selected="0">
            <x v="1"/>
          </reference>
        </references>
      </pivotArea>
    </format>
    <format dxfId="3963">
      <pivotArea dataOnly="0" labelOnly="1" outline="0" fieldPosition="0">
        <references count="2">
          <reference field="8" count="1">
            <x v="5"/>
          </reference>
          <reference field="29" count="1" selected="0">
            <x v="3"/>
          </reference>
        </references>
      </pivotArea>
    </format>
    <format dxfId="3962">
      <pivotArea dataOnly="0" labelOnly="1" outline="0" fieldPosition="0">
        <references count="2">
          <reference field="8" count="1">
            <x v="5"/>
          </reference>
          <reference field="29" count="1" selected="0">
            <x v="7"/>
          </reference>
        </references>
      </pivotArea>
    </format>
    <format dxfId="3961">
      <pivotArea dataOnly="0" labelOnly="1" outline="0" fieldPosition="0">
        <references count="3">
          <reference field="8" count="1" selected="0">
            <x v="5"/>
          </reference>
          <reference field="9" count="0"/>
          <reference field="29" count="1" selected="0">
            <x v="1"/>
          </reference>
        </references>
      </pivotArea>
    </format>
    <format dxfId="3960">
      <pivotArea dataOnly="0" labelOnly="1" outline="0" fieldPosition="0">
        <references count="3">
          <reference field="8" count="1" selected="0">
            <x v="5"/>
          </reference>
          <reference field="9" count="0"/>
          <reference field="29" count="1" selected="0">
            <x v="3"/>
          </reference>
        </references>
      </pivotArea>
    </format>
    <format dxfId="3959">
      <pivotArea dataOnly="0" labelOnly="1" outline="0" fieldPosition="0">
        <references count="3">
          <reference field="8" count="1" selected="0">
            <x v="5"/>
          </reference>
          <reference field="9" count="0"/>
          <reference field="29" count="1" selected="0">
            <x v="7"/>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7.xml><?xml version="1.0" encoding="utf-8"?>
<pivotTableDefinition xmlns="http://schemas.openxmlformats.org/spreadsheetml/2006/main" name="Tabla dinámica3" cacheId="8" applyNumberFormats="0" applyBorderFormats="0" applyFontFormats="0" applyPatternFormats="0" applyAlignmentFormats="0" applyWidthHeightFormats="1" dataCaption="Valores" updatedVersion="5" minRefreshableVersion="3" useAutoFormatting="1" itemPrintTitles="1" createdVersion="5" indent="0" compact="0" compactData="0" multipleFieldFilters="0" colHeaderCaption="l">
  <location ref="F1:H107" firstHeaderRow="1" firstDataRow="1" firstDataCol="3"/>
  <pivotFields count="32">
    <pivotField axis="axisRow" compact="0" outline="0" showAll="0" defaultSubtotal="0">
      <items count="17">
        <item x="0"/>
        <item x="1"/>
        <item x="2"/>
        <item x="3"/>
        <item x="4"/>
        <item x="5"/>
        <item x="6"/>
        <item x="7"/>
        <item x="8"/>
        <item x="9"/>
        <item x="10"/>
        <item x="11"/>
        <item x="12"/>
        <item x="13"/>
        <item x="14"/>
        <item x="15"/>
        <item x="16"/>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defaultSubtotal="0"/>
    <pivotField compact="0" outline="0" showAll="0"/>
    <pivotField axis="axisRow" compact="0" outline="0" showAll="0" sortType="ascending" defaultSubtotal="0">
      <items count="202">
        <item h="1" x="82"/>
        <item h="1" x="83"/>
        <item h="1" x="84"/>
        <item h="1" x="85"/>
        <item h="1" x="86"/>
        <item h="1" m="1" x="198"/>
        <item h="1" x="87"/>
        <item h="1" x="88"/>
        <item h="1" x="89"/>
        <item h="1" x="90"/>
        <item h="1" x="93"/>
        <item h="1" x="94"/>
        <item h="1" x="95"/>
        <item h="1" x="97"/>
        <item h="1" x="98"/>
        <item h="1" x="99"/>
        <item h="1" x="100"/>
        <item h="1" x="104"/>
        <item h="1" x="105"/>
        <item h="1" x="106"/>
        <item h="1" x="107"/>
        <item h="1" x="115"/>
        <item h="1" x="116"/>
        <item h="1" x="117"/>
        <item h="1" x="118"/>
        <item h="1" x="119"/>
        <item h="1" x="120"/>
        <item h="1" x="121"/>
        <item h="1" x="122"/>
        <item h="1" x="123"/>
        <item h="1" x="124"/>
        <item h="1" x="125"/>
        <item h="1" x="126"/>
        <item h="1" x="130"/>
        <item h="1" x="131"/>
        <item h="1" x="132"/>
        <item h="1" m="1" x="199"/>
        <item h="1" x="139"/>
        <item h="1" x="143"/>
        <item h="1" x="144"/>
        <item h="1" x="145"/>
        <item h="1" x="148"/>
        <item h="1" x="149"/>
        <item h="1" x="150"/>
        <item h="1" x="151"/>
        <item h="1" x="152"/>
        <item h="1" x="156"/>
        <item h="1" x="163"/>
        <item h="1" x="164"/>
        <item h="1" x="169"/>
        <item h="1" x="170"/>
        <item h="1" x="171"/>
        <item h="1" x="172"/>
        <item h="1" x="173"/>
        <item h="1" x="174"/>
        <item h="1" x="181"/>
        <item h="1" x="185"/>
        <item h="1" x="186"/>
        <item h="1" m="1" x="200"/>
        <item h="1" x="9"/>
        <item h="1" x="10"/>
        <item h="1" x="11"/>
        <item h="1" x="12"/>
        <item h="1" x="13"/>
        <item h="1" x="14"/>
        <item h="1" x="15"/>
        <item h="1" x="16"/>
        <item h="1" x="17"/>
        <item h="1" x="18"/>
        <item h="1" x="26"/>
        <item h="1" x="27"/>
        <item h="1" x="28"/>
        <item h="1" x="29"/>
        <item h="1" x="30"/>
        <item h="1" x="35"/>
        <item h="1" x="45"/>
        <item h="1" x="46"/>
        <item h="1" m="1" x="195"/>
        <item h="1" x="47"/>
        <item h="1" m="1" x="196"/>
        <item h="1" m="1" x="197"/>
        <item h="1" x="48"/>
        <item h="1" x="49"/>
        <item h="1" x="50"/>
        <item h="1" x="59"/>
        <item h="1" x="60"/>
        <item h="1" x="61"/>
        <item h="1" x="62"/>
        <item h="1" x="63"/>
        <item h="1" x="64"/>
        <item h="1" x="65"/>
        <item h="1" x="66"/>
        <item h="1" x="67"/>
        <item h="1" x="68"/>
        <item h="1" x="72"/>
        <item h="1" x="77"/>
        <item x="0"/>
        <item x="1"/>
        <item x="2"/>
        <item x="3"/>
        <item x="4"/>
        <item x="5"/>
        <item x="6"/>
        <item x="7"/>
        <item m="1" x="201"/>
        <item x="8"/>
        <item x="188"/>
        <item x="189"/>
        <item x="190"/>
        <item x="191"/>
        <item x="192"/>
        <item x="193"/>
        <item x="194"/>
        <item x="19"/>
        <item x="20"/>
        <item x="21"/>
        <item x="22"/>
        <item x="23"/>
        <item x="24"/>
        <item x="25"/>
        <item x="31"/>
        <item x="32"/>
        <item x="33"/>
        <item x="34"/>
        <item x="36"/>
        <item x="37"/>
        <item x="38"/>
        <item x="39"/>
        <item x="40"/>
        <item x="41"/>
        <item x="42"/>
        <item x="43"/>
        <item x="44"/>
        <item x="51"/>
        <item x="52"/>
        <item x="53"/>
        <item x="54"/>
        <item x="55"/>
        <item x="56"/>
        <item x="57"/>
        <item x="58"/>
        <item x="69"/>
        <item x="70"/>
        <item x="71"/>
        <item x="73"/>
        <item x="74"/>
        <item x="75"/>
        <item x="76"/>
        <item x="78"/>
        <item x="79"/>
        <item x="80"/>
        <item x="81"/>
        <item x="91"/>
        <item x="92"/>
        <item x="96"/>
        <item x="101"/>
        <item x="102"/>
        <item x="103"/>
        <item x="108"/>
        <item x="109"/>
        <item x="110"/>
        <item x="111"/>
        <item x="112"/>
        <item x="113"/>
        <item x="114"/>
        <item x="127"/>
        <item x="128"/>
        <item x="129"/>
        <item x="133"/>
        <item x="134"/>
        <item x="135"/>
        <item x="136"/>
        <item x="137"/>
        <item x="138"/>
        <item x="140"/>
        <item x="141"/>
        <item x="142"/>
        <item x="146"/>
        <item x="147"/>
        <item x="153"/>
        <item x="154"/>
        <item x="155"/>
        <item x="157"/>
        <item x="158"/>
        <item x="159"/>
        <item x="160"/>
        <item x="161"/>
        <item x="162"/>
        <item x="165"/>
        <item x="166"/>
        <item x="167"/>
        <item x="168"/>
        <item x="175"/>
        <item x="176"/>
        <item x="177"/>
        <item x="178"/>
        <item x="179"/>
        <item x="180"/>
        <item x="182"/>
        <item x="183"/>
        <item x="184"/>
        <item x="187"/>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defaultSubtotal="0"/>
    <pivotField compact="0" outline="0" showAll="0"/>
    <pivotField axis="axisRow" compact="0" outline="0" showAll="0">
      <items count="9">
        <item x="1"/>
        <item m="1" x="6"/>
        <item m="1" x="7"/>
        <item m="1" x="3"/>
        <item x="0"/>
        <item m="1" x="5"/>
        <item x="2"/>
        <item m="1" x="4"/>
        <item t="default"/>
      </items>
    </pivotField>
    <pivotField compact="0" outline="0" showAll="0"/>
    <pivotField compact="0" outline="0" showAll="0"/>
  </pivotFields>
  <rowFields count="3">
    <field x="0"/>
    <field x="15"/>
    <field x="29"/>
  </rowFields>
  <rowItems count="106">
    <i>
      <x/>
      <x v="96"/>
      <x v="4"/>
    </i>
    <i r="1">
      <x v="97"/>
      <x v="4"/>
    </i>
    <i r="1">
      <x v="98"/>
      <x/>
    </i>
    <i r="1">
      <x v="99"/>
      <x v="4"/>
    </i>
    <i r="1">
      <x v="100"/>
      <x v="4"/>
    </i>
    <i r="1">
      <x v="101"/>
      <x v="4"/>
    </i>
    <i r="1">
      <x v="102"/>
      <x/>
    </i>
    <i r="1">
      <x v="103"/>
      <x/>
    </i>
    <i r="1">
      <x v="105"/>
      <x v="4"/>
    </i>
    <i>
      <x v="1"/>
      <x v="113"/>
      <x/>
    </i>
    <i r="1">
      <x v="114"/>
      <x/>
    </i>
    <i r="1">
      <x v="115"/>
      <x v="6"/>
    </i>
    <i r="1">
      <x v="116"/>
      <x v="6"/>
    </i>
    <i r="1">
      <x v="117"/>
      <x v="4"/>
    </i>
    <i r="1">
      <x v="118"/>
      <x v="4"/>
    </i>
    <i r="1">
      <x v="119"/>
      <x/>
    </i>
    <i>
      <x v="2"/>
      <x v="120"/>
      <x v="4"/>
    </i>
    <i r="1">
      <x v="121"/>
      <x v="4"/>
    </i>
    <i r="1">
      <x v="122"/>
      <x v="4"/>
    </i>
    <i r="1">
      <x v="123"/>
      <x v="6"/>
    </i>
    <i>
      <x v="3"/>
      <x v="124"/>
      <x v="6"/>
    </i>
    <i r="1">
      <x v="125"/>
      <x v="6"/>
    </i>
    <i r="1">
      <x v="126"/>
      <x/>
    </i>
    <i r="1">
      <x v="127"/>
      <x/>
    </i>
    <i r="1">
      <x v="128"/>
      <x v="6"/>
    </i>
    <i r="1">
      <x v="129"/>
      <x v="6"/>
    </i>
    <i r="1">
      <x v="130"/>
      <x v="4"/>
    </i>
    <i r="1">
      <x v="131"/>
      <x v="4"/>
    </i>
    <i r="1">
      <x v="132"/>
      <x v="4"/>
    </i>
    <i>
      <x v="4"/>
      <x v="133"/>
      <x v="6"/>
    </i>
    <i r="1">
      <x v="134"/>
      <x v="6"/>
    </i>
    <i r="1">
      <x v="135"/>
      <x v="6"/>
    </i>
    <i r="1">
      <x v="136"/>
      <x/>
    </i>
    <i r="1">
      <x v="137"/>
      <x/>
    </i>
    <i r="1">
      <x v="138"/>
      <x/>
    </i>
    <i r="1">
      <x v="139"/>
      <x/>
    </i>
    <i r="1">
      <x v="140"/>
      <x/>
    </i>
    <i r="1">
      <x v="141"/>
      <x v="6"/>
    </i>
    <i r="1">
      <x v="142"/>
      <x v="6"/>
    </i>
    <i r="1">
      <x v="143"/>
      <x/>
    </i>
    <i r="1">
      <x v="144"/>
      <x v="6"/>
    </i>
    <i r="1">
      <x v="145"/>
      <x/>
    </i>
    <i r="1">
      <x v="146"/>
      <x/>
    </i>
    <i r="1">
      <x v="147"/>
      <x/>
    </i>
    <i>
      <x v="5"/>
      <x v="148"/>
      <x/>
    </i>
    <i r="1">
      <x v="149"/>
      <x/>
    </i>
    <i r="1">
      <x v="150"/>
      <x/>
    </i>
    <i r="1">
      <x v="151"/>
      <x/>
    </i>
    <i r="1">
      <x v="152"/>
      <x/>
    </i>
    <i r="1">
      <x v="153"/>
      <x/>
    </i>
    <i r="1">
      <x v="154"/>
      <x/>
    </i>
    <i r="1">
      <x v="155"/>
      <x v="4"/>
    </i>
    <i r="1">
      <x v="156"/>
      <x v="4"/>
    </i>
    <i r="1">
      <x v="157"/>
      <x/>
    </i>
    <i r="1">
      <x v="158"/>
      <x/>
    </i>
    <i r="1">
      <x v="159"/>
      <x/>
    </i>
    <i r="1">
      <x v="160"/>
      <x/>
    </i>
    <i r="1">
      <x v="161"/>
      <x v="6"/>
    </i>
    <i r="1">
      <x v="162"/>
      <x v="6"/>
    </i>
    <i r="1">
      <x v="163"/>
      <x v="6"/>
    </i>
    <i r="1">
      <x v="164"/>
      <x/>
    </i>
    <i r="1">
      <x v="165"/>
      <x v="6"/>
    </i>
    <i r="1">
      <x v="166"/>
      <x v="6"/>
    </i>
    <i>
      <x v="6"/>
      <x v="167"/>
      <x/>
    </i>
    <i>
      <x v="7"/>
      <x v="168"/>
      <x v="6"/>
    </i>
    <i r="1">
      <x v="169"/>
      <x v="6"/>
    </i>
    <i>
      <x v="8"/>
      <x v="170"/>
      <x/>
    </i>
    <i r="1">
      <x v="171"/>
      <x/>
    </i>
    <i r="1">
      <x v="172"/>
      <x v="4"/>
    </i>
    <i r="1">
      <x v="173"/>
      <x/>
    </i>
    <i>
      <x v="9"/>
      <x v="174"/>
      <x v="6"/>
    </i>
    <i r="1">
      <x v="175"/>
      <x/>
    </i>
    <i r="1">
      <x v="176"/>
      <x v="6"/>
    </i>
    <i>
      <x v="10"/>
      <x v="177"/>
      <x v="6"/>
    </i>
    <i r="1">
      <x v="178"/>
      <x v="6"/>
    </i>
    <i>
      <x v="11"/>
      <x v="179"/>
      <x v="6"/>
    </i>
    <i r="1">
      <x v="180"/>
      <x v="6"/>
    </i>
    <i r="1">
      <x v="181"/>
      <x v="4"/>
    </i>
    <i>
      <x v="12"/>
      <x v="182"/>
      <x/>
    </i>
    <i r="1">
      <x v="183"/>
      <x/>
    </i>
    <i r="1">
      <x v="184"/>
      <x/>
    </i>
    <i r="1">
      <x v="185"/>
      <x/>
    </i>
    <i r="1">
      <x v="186"/>
      <x v="6"/>
    </i>
    <i r="1">
      <x v="187"/>
      <x/>
    </i>
    <i>
      <x v="13"/>
      <x v="188"/>
      <x v="6"/>
    </i>
    <i r="1">
      <x v="189"/>
      <x v="6"/>
    </i>
    <i r="1">
      <x v="190"/>
      <x/>
    </i>
    <i r="1">
      <x v="191"/>
      <x/>
    </i>
    <i>
      <x v="14"/>
      <x v="192"/>
      <x v="6"/>
    </i>
    <i r="1">
      <x v="193"/>
      <x v="6"/>
    </i>
    <i r="1">
      <x v="194"/>
      <x v="6"/>
    </i>
    <i r="1">
      <x v="195"/>
      <x v="6"/>
    </i>
    <i r="1">
      <x v="196"/>
      <x v="6"/>
    </i>
    <i r="1">
      <x v="197"/>
      <x v="6"/>
    </i>
    <i>
      <x v="15"/>
      <x v="106"/>
      <x v="6"/>
    </i>
    <i r="1">
      <x v="107"/>
      <x v="6"/>
    </i>
    <i r="1">
      <x v="108"/>
      <x v="6"/>
    </i>
    <i r="1">
      <x v="198"/>
      <x v="6"/>
    </i>
    <i r="1">
      <x v="199"/>
      <x v="6"/>
    </i>
    <i r="1">
      <x v="200"/>
      <x v="6"/>
    </i>
    <i r="1">
      <x v="201"/>
      <x v="6"/>
    </i>
    <i>
      <x v="16"/>
      <x v="109"/>
      <x/>
    </i>
    <i r="1">
      <x v="110"/>
      <x/>
    </i>
    <i r="1">
      <x v="111"/>
      <x v="6"/>
    </i>
    <i r="1">
      <x v="112"/>
      <x v="4"/>
    </i>
    <i t="grand">
      <x/>
    </i>
  </rowItems>
  <colItems count="1">
    <i/>
  </colItems>
  <formats count="126">
    <format dxfId="4098">
      <pivotArea type="all" dataOnly="0" outline="0" fieldPosition="0"/>
    </format>
    <format dxfId="4097">
      <pivotArea dataOnly="0" labelOnly="1" outline="0" fieldPosition="0">
        <references count="1">
          <reference field="0" count="0"/>
        </references>
      </pivotArea>
    </format>
    <format dxfId="4096">
      <pivotArea dataOnly="0" labelOnly="1" grandRow="1" outline="0" fieldPosition="0"/>
    </format>
    <format dxfId="4095">
      <pivotArea dataOnly="0" labelOnly="1" outline="0" fieldPosition="0">
        <references count="2">
          <reference field="0" count="1" selected="0">
            <x v="0"/>
          </reference>
          <reference field="15" count="10">
            <x v="96"/>
            <x v="97"/>
            <x v="98"/>
            <x v="99"/>
            <x v="100"/>
            <x v="101"/>
            <x v="102"/>
            <x v="103"/>
            <x v="104"/>
            <x v="105"/>
          </reference>
        </references>
      </pivotArea>
    </format>
    <format dxfId="4094">
      <pivotArea dataOnly="0" labelOnly="1" outline="0" fieldPosition="0">
        <references count="2">
          <reference field="0" count="1" selected="0">
            <x v="1"/>
          </reference>
          <reference field="15" count="7">
            <x v="113"/>
            <x v="114"/>
            <x v="115"/>
            <x v="116"/>
            <x v="117"/>
            <x v="118"/>
            <x v="119"/>
          </reference>
        </references>
      </pivotArea>
    </format>
    <format dxfId="4093">
      <pivotArea dataOnly="0" labelOnly="1" outline="0" fieldPosition="0">
        <references count="2">
          <reference field="0" count="1" selected="0">
            <x v="2"/>
          </reference>
          <reference field="15" count="4">
            <x v="120"/>
            <x v="121"/>
            <x v="122"/>
            <x v="123"/>
          </reference>
        </references>
      </pivotArea>
    </format>
    <format dxfId="4092">
      <pivotArea dataOnly="0" labelOnly="1" outline="0" fieldPosition="0">
        <references count="2">
          <reference field="0" count="1" selected="0">
            <x v="3"/>
          </reference>
          <reference field="15" count="9">
            <x v="124"/>
            <x v="125"/>
            <x v="126"/>
            <x v="127"/>
            <x v="128"/>
            <x v="129"/>
            <x v="130"/>
            <x v="131"/>
            <x v="132"/>
          </reference>
        </references>
      </pivotArea>
    </format>
    <format dxfId="4091">
      <pivotArea dataOnly="0" labelOnly="1" outline="0" fieldPosition="0">
        <references count="2">
          <reference field="0" count="1" selected="0">
            <x v="4"/>
          </reference>
          <reference field="15" count="15">
            <x v="133"/>
            <x v="134"/>
            <x v="135"/>
            <x v="136"/>
            <x v="137"/>
            <x v="138"/>
            <x v="139"/>
            <x v="140"/>
            <x v="141"/>
            <x v="142"/>
            <x v="143"/>
            <x v="144"/>
            <x v="145"/>
            <x v="146"/>
            <x v="147"/>
          </reference>
        </references>
      </pivotArea>
    </format>
    <format dxfId="4090">
      <pivotArea dataOnly="0" labelOnly="1" outline="0" fieldPosition="0">
        <references count="2">
          <reference field="0" count="1" selected="0">
            <x v="5"/>
          </reference>
          <reference field="15" count="19">
            <x v="148"/>
            <x v="149"/>
            <x v="150"/>
            <x v="151"/>
            <x v="152"/>
            <x v="153"/>
            <x v="154"/>
            <x v="155"/>
            <x v="156"/>
            <x v="157"/>
            <x v="158"/>
            <x v="159"/>
            <x v="160"/>
            <x v="161"/>
            <x v="162"/>
            <x v="163"/>
            <x v="164"/>
            <x v="165"/>
            <x v="166"/>
          </reference>
        </references>
      </pivotArea>
    </format>
    <format dxfId="4089">
      <pivotArea dataOnly="0" labelOnly="1" outline="0" fieldPosition="0">
        <references count="2">
          <reference field="0" count="1" selected="0">
            <x v="6"/>
          </reference>
          <reference field="15" count="1">
            <x v="167"/>
          </reference>
        </references>
      </pivotArea>
    </format>
    <format dxfId="4088">
      <pivotArea dataOnly="0" labelOnly="1" outline="0" fieldPosition="0">
        <references count="2">
          <reference field="0" count="1" selected="0">
            <x v="7"/>
          </reference>
          <reference field="15" count="2">
            <x v="168"/>
            <x v="169"/>
          </reference>
        </references>
      </pivotArea>
    </format>
    <format dxfId="4087">
      <pivotArea dataOnly="0" labelOnly="1" outline="0" fieldPosition="0">
        <references count="2">
          <reference field="0" count="1" selected="0">
            <x v="8"/>
          </reference>
          <reference field="15" count="4">
            <x v="170"/>
            <x v="171"/>
            <x v="172"/>
            <x v="173"/>
          </reference>
        </references>
      </pivotArea>
    </format>
    <format dxfId="4086">
      <pivotArea dataOnly="0" labelOnly="1" outline="0" fieldPosition="0">
        <references count="2">
          <reference field="0" count="1" selected="0">
            <x v="9"/>
          </reference>
          <reference field="15" count="3">
            <x v="174"/>
            <x v="175"/>
            <x v="176"/>
          </reference>
        </references>
      </pivotArea>
    </format>
    <format dxfId="4085">
      <pivotArea dataOnly="0" labelOnly="1" outline="0" fieldPosition="0">
        <references count="2">
          <reference field="0" count="1" selected="0">
            <x v="10"/>
          </reference>
          <reference field="15" count="2">
            <x v="177"/>
            <x v="178"/>
          </reference>
        </references>
      </pivotArea>
    </format>
    <format dxfId="4084">
      <pivotArea dataOnly="0" labelOnly="1" outline="0" fieldPosition="0">
        <references count="2">
          <reference field="0" count="1" selected="0">
            <x v="11"/>
          </reference>
          <reference field="15" count="3">
            <x v="179"/>
            <x v="180"/>
            <x v="181"/>
          </reference>
        </references>
      </pivotArea>
    </format>
    <format dxfId="4083">
      <pivotArea dataOnly="0" labelOnly="1" outline="0" fieldPosition="0">
        <references count="2">
          <reference field="0" count="1" selected="0">
            <x v="12"/>
          </reference>
          <reference field="15" count="6">
            <x v="182"/>
            <x v="183"/>
            <x v="184"/>
            <x v="185"/>
            <x v="186"/>
            <x v="187"/>
          </reference>
        </references>
      </pivotArea>
    </format>
    <format dxfId="4082">
      <pivotArea dataOnly="0" labelOnly="1" outline="0" fieldPosition="0">
        <references count="2">
          <reference field="0" count="1" selected="0">
            <x v="13"/>
          </reference>
          <reference field="15" count="4">
            <x v="188"/>
            <x v="189"/>
            <x v="190"/>
            <x v="191"/>
          </reference>
        </references>
      </pivotArea>
    </format>
    <format dxfId="4081">
      <pivotArea dataOnly="0" labelOnly="1" outline="0" fieldPosition="0">
        <references count="2">
          <reference field="0" count="1" selected="0">
            <x v="14"/>
          </reference>
          <reference field="15" count="6">
            <x v="192"/>
            <x v="193"/>
            <x v="194"/>
            <x v="195"/>
            <x v="196"/>
            <x v="197"/>
          </reference>
        </references>
      </pivotArea>
    </format>
    <format dxfId="4080">
      <pivotArea dataOnly="0" labelOnly="1" outline="0" fieldPosition="0">
        <references count="2">
          <reference field="0" count="1" selected="0">
            <x v="15"/>
          </reference>
          <reference field="15" count="7">
            <x v="106"/>
            <x v="107"/>
            <x v="108"/>
            <x v="198"/>
            <x v="199"/>
            <x v="200"/>
            <x v="201"/>
          </reference>
        </references>
      </pivotArea>
    </format>
    <format dxfId="4079">
      <pivotArea dataOnly="0" labelOnly="1" outline="0" fieldPosition="0">
        <references count="2">
          <reference field="0" count="1" selected="0">
            <x v="16"/>
          </reference>
          <reference field="15" count="4">
            <x v="109"/>
            <x v="110"/>
            <x v="111"/>
            <x v="112"/>
          </reference>
        </references>
      </pivotArea>
    </format>
    <format dxfId="4078">
      <pivotArea dataOnly="0" labelOnly="1" outline="0" fieldPosition="0">
        <references count="3">
          <reference field="0" count="1" selected="0">
            <x v="0"/>
          </reference>
          <reference field="15" count="1" selected="0">
            <x v="96"/>
          </reference>
          <reference field="29" count="1">
            <x v="4"/>
          </reference>
        </references>
      </pivotArea>
    </format>
    <format dxfId="4077">
      <pivotArea dataOnly="0" labelOnly="1" outline="0" fieldPosition="0">
        <references count="3">
          <reference field="0" count="1" selected="0">
            <x v="0"/>
          </reference>
          <reference field="15" count="1" selected="0">
            <x v="97"/>
          </reference>
          <reference field="29" count="1">
            <x v="4"/>
          </reference>
        </references>
      </pivotArea>
    </format>
    <format dxfId="4076">
      <pivotArea dataOnly="0" labelOnly="1" outline="0" fieldPosition="0">
        <references count="3">
          <reference field="0" count="1" selected="0">
            <x v="0"/>
          </reference>
          <reference field="15" count="1" selected="0">
            <x v="98"/>
          </reference>
          <reference field="29" count="1">
            <x v="0"/>
          </reference>
        </references>
      </pivotArea>
    </format>
    <format dxfId="4075">
      <pivotArea dataOnly="0" labelOnly="1" outline="0" fieldPosition="0">
        <references count="3">
          <reference field="0" count="1" selected="0">
            <x v="0"/>
          </reference>
          <reference field="15" count="1" selected="0">
            <x v="99"/>
          </reference>
          <reference field="29" count="1">
            <x v="4"/>
          </reference>
        </references>
      </pivotArea>
    </format>
    <format dxfId="4074">
      <pivotArea dataOnly="0" labelOnly="1" outline="0" fieldPosition="0">
        <references count="3">
          <reference field="0" count="1" selected="0">
            <x v="0"/>
          </reference>
          <reference field="15" count="1" selected="0">
            <x v="100"/>
          </reference>
          <reference field="29" count="1">
            <x v="4"/>
          </reference>
        </references>
      </pivotArea>
    </format>
    <format dxfId="4073">
      <pivotArea dataOnly="0" labelOnly="1" outline="0" fieldPosition="0">
        <references count="3">
          <reference field="0" count="1" selected="0">
            <x v="0"/>
          </reference>
          <reference field="15" count="1" selected="0">
            <x v="101"/>
          </reference>
          <reference field="29" count="1">
            <x v="4"/>
          </reference>
        </references>
      </pivotArea>
    </format>
    <format dxfId="4072">
      <pivotArea dataOnly="0" labelOnly="1" outline="0" fieldPosition="0">
        <references count="3">
          <reference field="0" count="1" selected="0">
            <x v="0"/>
          </reference>
          <reference field="15" count="1" selected="0">
            <x v="102"/>
          </reference>
          <reference field="29" count="1">
            <x v="0"/>
          </reference>
        </references>
      </pivotArea>
    </format>
    <format dxfId="4071">
      <pivotArea dataOnly="0" labelOnly="1" outline="0" fieldPosition="0">
        <references count="3">
          <reference field="0" count="1" selected="0">
            <x v="0"/>
          </reference>
          <reference field="15" count="1" selected="0">
            <x v="103"/>
          </reference>
          <reference field="29" count="1">
            <x v="0"/>
          </reference>
        </references>
      </pivotArea>
    </format>
    <format dxfId="4070">
      <pivotArea dataOnly="0" labelOnly="1" outline="0" fieldPosition="0">
        <references count="3">
          <reference field="0" count="1" selected="0">
            <x v="0"/>
          </reference>
          <reference field="15" count="1" selected="0">
            <x v="104"/>
          </reference>
          <reference field="29" count="1">
            <x v="0"/>
          </reference>
        </references>
      </pivotArea>
    </format>
    <format dxfId="4069">
      <pivotArea dataOnly="0" labelOnly="1" outline="0" fieldPosition="0">
        <references count="3">
          <reference field="0" count="1" selected="0">
            <x v="0"/>
          </reference>
          <reference field="15" count="1" selected="0">
            <x v="105"/>
          </reference>
          <reference field="29" count="1">
            <x v="4"/>
          </reference>
        </references>
      </pivotArea>
    </format>
    <format dxfId="4068">
      <pivotArea dataOnly="0" labelOnly="1" outline="0" fieldPosition="0">
        <references count="3">
          <reference field="0" count="1" selected="0">
            <x v="1"/>
          </reference>
          <reference field="15" count="1" selected="0">
            <x v="113"/>
          </reference>
          <reference field="29" count="1">
            <x v="0"/>
          </reference>
        </references>
      </pivotArea>
    </format>
    <format dxfId="4067">
      <pivotArea dataOnly="0" labelOnly="1" outline="0" fieldPosition="0">
        <references count="3">
          <reference field="0" count="1" selected="0">
            <x v="1"/>
          </reference>
          <reference field="15" count="1" selected="0">
            <x v="114"/>
          </reference>
          <reference field="29" count="1">
            <x v="0"/>
          </reference>
        </references>
      </pivotArea>
    </format>
    <format dxfId="4066">
      <pivotArea dataOnly="0" labelOnly="1" outline="0" fieldPosition="0">
        <references count="3">
          <reference field="0" count="1" selected="0">
            <x v="1"/>
          </reference>
          <reference field="15" count="1" selected="0">
            <x v="115"/>
          </reference>
          <reference field="29" count="1">
            <x v="6"/>
          </reference>
        </references>
      </pivotArea>
    </format>
    <format dxfId="4065">
      <pivotArea dataOnly="0" labelOnly="1" outline="0" fieldPosition="0">
        <references count="3">
          <reference field="0" count="1" selected="0">
            <x v="1"/>
          </reference>
          <reference field="15" count="1" selected="0">
            <x v="116"/>
          </reference>
          <reference field="29" count="1">
            <x v="6"/>
          </reference>
        </references>
      </pivotArea>
    </format>
    <format dxfId="4064">
      <pivotArea dataOnly="0" labelOnly="1" outline="0" fieldPosition="0">
        <references count="3">
          <reference field="0" count="1" selected="0">
            <x v="1"/>
          </reference>
          <reference field="15" count="1" selected="0">
            <x v="117"/>
          </reference>
          <reference field="29" count="1">
            <x v="4"/>
          </reference>
        </references>
      </pivotArea>
    </format>
    <format dxfId="4063">
      <pivotArea dataOnly="0" labelOnly="1" outline="0" fieldPosition="0">
        <references count="3">
          <reference field="0" count="1" selected="0">
            <x v="1"/>
          </reference>
          <reference field="15" count="1" selected="0">
            <x v="118"/>
          </reference>
          <reference field="29" count="1">
            <x v="4"/>
          </reference>
        </references>
      </pivotArea>
    </format>
    <format dxfId="4062">
      <pivotArea dataOnly="0" labelOnly="1" outline="0" fieldPosition="0">
        <references count="3">
          <reference field="0" count="1" selected="0">
            <x v="1"/>
          </reference>
          <reference field="15" count="1" selected="0">
            <x v="119"/>
          </reference>
          <reference field="29" count="1">
            <x v="0"/>
          </reference>
        </references>
      </pivotArea>
    </format>
    <format dxfId="4061">
      <pivotArea dataOnly="0" labelOnly="1" outline="0" fieldPosition="0">
        <references count="3">
          <reference field="0" count="1" selected="0">
            <x v="2"/>
          </reference>
          <reference field="15" count="1" selected="0">
            <x v="120"/>
          </reference>
          <reference field="29" count="1">
            <x v="4"/>
          </reference>
        </references>
      </pivotArea>
    </format>
    <format dxfId="4060">
      <pivotArea dataOnly="0" labelOnly="1" outline="0" fieldPosition="0">
        <references count="3">
          <reference field="0" count="1" selected="0">
            <x v="2"/>
          </reference>
          <reference field="15" count="1" selected="0">
            <x v="121"/>
          </reference>
          <reference field="29" count="1">
            <x v="4"/>
          </reference>
        </references>
      </pivotArea>
    </format>
    <format dxfId="4059">
      <pivotArea dataOnly="0" labelOnly="1" outline="0" fieldPosition="0">
        <references count="3">
          <reference field="0" count="1" selected="0">
            <x v="2"/>
          </reference>
          <reference field="15" count="1" selected="0">
            <x v="122"/>
          </reference>
          <reference field="29" count="1">
            <x v="4"/>
          </reference>
        </references>
      </pivotArea>
    </format>
    <format dxfId="4058">
      <pivotArea dataOnly="0" labelOnly="1" outline="0" fieldPosition="0">
        <references count="3">
          <reference field="0" count="1" selected="0">
            <x v="2"/>
          </reference>
          <reference field="15" count="1" selected="0">
            <x v="123"/>
          </reference>
          <reference field="29" count="1">
            <x v="6"/>
          </reference>
        </references>
      </pivotArea>
    </format>
    <format dxfId="4057">
      <pivotArea dataOnly="0" labelOnly="1" outline="0" fieldPosition="0">
        <references count="3">
          <reference field="0" count="1" selected="0">
            <x v="3"/>
          </reference>
          <reference field="15" count="1" selected="0">
            <x v="124"/>
          </reference>
          <reference field="29" count="1">
            <x v="6"/>
          </reference>
        </references>
      </pivotArea>
    </format>
    <format dxfId="4056">
      <pivotArea dataOnly="0" labelOnly="1" outline="0" fieldPosition="0">
        <references count="3">
          <reference field="0" count="1" selected="0">
            <x v="3"/>
          </reference>
          <reference field="15" count="1" selected="0">
            <x v="125"/>
          </reference>
          <reference field="29" count="1">
            <x v="6"/>
          </reference>
        </references>
      </pivotArea>
    </format>
    <format dxfId="4055">
      <pivotArea dataOnly="0" labelOnly="1" outline="0" fieldPosition="0">
        <references count="3">
          <reference field="0" count="1" selected="0">
            <x v="3"/>
          </reference>
          <reference field="15" count="1" selected="0">
            <x v="126"/>
          </reference>
          <reference field="29" count="1">
            <x v="0"/>
          </reference>
        </references>
      </pivotArea>
    </format>
    <format dxfId="4054">
      <pivotArea dataOnly="0" labelOnly="1" outline="0" fieldPosition="0">
        <references count="3">
          <reference field="0" count="1" selected="0">
            <x v="3"/>
          </reference>
          <reference field="15" count="1" selected="0">
            <x v="127"/>
          </reference>
          <reference field="29" count="1">
            <x v="0"/>
          </reference>
        </references>
      </pivotArea>
    </format>
    <format dxfId="4053">
      <pivotArea dataOnly="0" labelOnly="1" outline="0" fieldPosition="0">
        <references count="3">
          <reference field="0" count="1" selected="0">
            <x v="3"/>
          </reference>
          <reference field="15" count="1" selected="0">
            <x v="128"/>
          </reference>
          <reference field="29" count="1">
            <x v="6"/>
          </reference>
        </references>
      </pivotArea>
    </format>
    <format dxfId="4052">
      <pivotArea dataOnly="0" labelOnly="1" outline="0" fieldPosition="0">
        <references count="3">
          <reference field="0" count="1" selected="0">
            <x v="3"/>
          </reference>
          <reference field="15" count="1" selected="0">
            <x v="129"/>
          </reference>
          <reference field="29" count="1">
            <x v="6"/>
          </reference>
        </references>
      </pivotArea>
    </format>
    <format dxfId="4051">
      <pivotArea dataOnly="0" labelOnly="1" outline="0" fieldPosition="0">
        <references count="3">
          <reference field="0" count="1" selected="0">
            <x v="3"/>
          </reference>
          <reference field="15" count="1" selected="0">
            <x v="130"/>
          </reference>
          <reference field="29" count="1">
            <x v="4"/>
          </reference>
        </references>
      </pivotArea>
    </format>
    <format dxfId="4050">
      <pivotArea dataOnly="0" labelOnly="1" outline="0" fieldPosition="0">
        <references count="3">
          <reference field="0" count="1" selected="0">
            <x v="3"/>
          </reference>
          <reference field="15" count="1" selected="0">
            <x v="131"/>
          </reference>
          <reference field="29" count="1">
            <x v="4"/>
          </reference>
        </references>
      </pivotArea>
    </format>
    <format dxfId="4049">
      <pivotArea dataOnly="0" labelOnly="1" outline="0" fieldPosition="0">
        <references count="3">
          <reference field="0" count="1" selected="0">
            <x v="3"/>
          </reference>
          <reference field="15" count="1" selected="0">
            <x v="132"/>
          </reference>
          <reference field="29" count="1">
            <x v="4"/>
          </reference>
        </references>
      </pivotArea>
    </format>
    <format dxfId="4048">
      <pivotArea dataOnly="0" labelOnly="1" outline="0" fieldPosition="0">
        <references count="3">
          <reference field="0" count="1" selected="0">
            <x v="4"/>
          </reference>
          <reference field="15" count="1" selected="0">
            <x v="133"/>
          </reference>
          <reference field="29" count="1">
            <x v="6"/>
          </reference>
        </references>
      </pivotArea>
    </format>
    <format dxfId="4047">
      <pivotArea dataOnly="0" labelOnly="1" outline="0" fieldPosition="0">
        <references count="3">
          <reference field="0" count="1" selected="0">
            <x v="4"/>
          </reference>
          <reference field="15" count="1" selected="0">
            <x v="134"/>
          </reference>
          <reference field="29" count="1">
            <x v="6"/>
          </reference>
        </references>
      </pivotArea>
    </format>
    <format dxfId="4046">
      <pivotArea dataOnly="0" labelOnly="1" outline="0" fieldPosition="0">
        <references count="3">
          <reference field="0" count="1" selected="0">
            <x v="4"/>
          </reference>
          <reference field="15" count="1" selected="0">
            <x v="135"/>
          </reference>
          <reference field="29" count="1">
            <x v="6"/>
          </reference>
        </references>
      </pivotArea>
    </format>
    <format dxfId="4045">
      <pivotArea dataOnly="0" labelOnly="1" outline="0" fieldPosition="0">
        <references count="3">
          <reference field="0" count="1" selected="0">
            <x v="4"/>
          </reference>
          <reference field="15" count="1" selected="0">
            <x v="136"/>
          </reference>
          <reference field="29" count="1">
            <x v="0"/>
          </reference>
        </references>
      </pivotArea>
    </format>
    <format dxfId="4044">
      <pivotArea dataOnly="0" labelOnly="1" outline="0" fieldPosition="0">
        <references count="3">
          <reference field="0" count="1" selected="0">
            <x v="4"/>
          </reference>
          <reference field="15" count="1" selected="0">
            <x v="137"/>
          </reference>
          <reference field="29" count="1">
            <x v="0"/>
          </reference>
        </references>
      </pivotArea>
    </format>
    <format dxfId="4043">
      <pivotArea dataOnly="0" labelOnly="1" outline="0" fieldPosition="0">
        <references count="3">
          <reference field="0" count="1" selected="0">
            <x v="4"/>
          </reference>
          <reference field="15" count="1" selected="0">
            <x v="138"/>
          </reference>
          <reference field="29" count="1">
            <x v="0"/>
          </reference>
        </references>
      </pivotArea>
    </format>
    <format dxfId="4042">
      <pivotArea dataOnly="0" labelOnly="1" outline="0" fieldPosition="0">
        <references count="3">
          <reference field="0" count="1" selected="0">
            <x v="4"/>
          </reference>
          <reference field="15" count="1" selected="0">
            <x v="139"/>
          </reference>
          <reference field="29" count="1">
            <x v="0"/>
          </reference>
        </references>
      </pivotArea>
    </format>
    <format dxfId="4041">
      <pivotArea dataOnly="0" labelOnly="1" outline="0" fieldPosition="0">
        <references count="3">
          <reference field="0" count="1" selected="0">
            <x v="4"/>
          </reference>
          <reference field="15" count="1" selected="0">
            <x v="140"/>
          </reference>
          <reference field="29" count="1">
            <x v="0"/>
          </reference>
        </references>
      </pivotArea>
    </format>
    <format dxfId="4040">
      <pivotArea dataOnly="0" labelOnly="1" outline="0" fieldPosition="0">
        <references count="3">
          <reference field="0" count="1" selected="0">
            <x v="4"/>
          </reference>
          <reference field="15" count="1" selected="0">
            <x v="141"/>
          </reference>
          <reference field="29" count="1">
            <x v="6"/>
          </reference>
        </references>
      </pivotArea>
    </format>
    <format dxfId="4039">
      <pivotArea dataOnly="0" labelOnly="1" outline="0" fieldPosition="0">
        <references count="3">
          <reference field="0" count="1" selected="0">
            <x v="4"/>
          </reference>
          <reference field="15" count="1" selected="0">
            <x v="142"/>
          </reference>
          <reference field="29" count="1">
            <x v="6"/>
          </reference>
        </references>
      </pivotArea>
    </format>
    <format dxfId="4038">
      <pivotArea dataOnly="0" labelOnly="1" outline="0" fieldPosition="0">
        <references count="3">
          <reference field="0" count="1" selected="0">
            <x v="4"/>
          </reference>
          <reference field="15" count="1" selected="0">
            <x v="143"/>
          </reference>
          <reference field="29" count="1">
            <x v="0"/>
          </reference>
        </references>
      </pivotArea>
    </format>
    <format dxfId="4037">
      <pivotArea dataOnly="0" labelOnly="1" outline="0" fieldPosition="0">
        <references count="3">
          <reference field="0" count="1" selected="0">
            <x v="4"/>
          </reference>
          <reference field="15" count="1" selected="0">
            <x v="144"/>
          </reference>
          <reference field="29" count="1">
            <x v="6"/>
          </reference>
        </references>
      </pivotArea>
    </format>
    <format dxfId="4036">
      <pivotArea dataOnly="0" labelOnly="1" outline="0" fieldPosition="0">
        <references count="3">
          <reference field="0" count="1" selected="0">
            <x v="4"/>
          </reference>
          <reference field="15" count="1" selected="0">
            <x v="145"/>
          </reference>
          <reference field="29" count="1">
            <x v="0"/>
          </reference>
        </references>
      </pivotArea>
    </format>
    <format dxfId="4035">
      <pivotArea dataOnly="0" labelOnly="1" outline="0" fieldPosition="0">
        <references count="3">
          <reference field="0" count="1" selected="0">
            <x v="4"/>
          </reference>
          <reference field="15" count="1" selected="0">
            <x v="146"/>
          </reference>
          <reference field="29" count="1">
            <x v="0"/>
          </reference>
        </references>
      </pivotArea>
    </format>
    <format dxfId="4034">
      <pivotArea dataOnly="0" labelOnly="1" outline="0" fieldPosition="0">
        <references count="3">
          <reference field="0" count="1" selected="0">
            <x v="4"/>
          </reference>
          <reference field="15" count="1" selected="0">
            <x v="147"/>
          </reference>
          <reference field="29" count="1">
            <x v="0"/>
          </reference>
        </references>
      </pivotArea>
    </format>
    <format dxfId="4033">
      <pivotArea dataOnly="0" labelOnly="1" outline="0" fieldPosition="0">
        <references count="3">
          <reference field="0" count="1" selected="0">
            <x v="5"/>
          </reference>
          <reference field="15" count="1" selected="0">
            <x v="148"/>
          </reference>
          <reference field="29" count="1">
            <x v="0"/>
          </reference>
        </references>
      </pivotArea>
    </format>
    <format dxfId="4032">
      <pivotArea dataOnly="0" labelOnly="1" outline="0" fieldPosition="0">
        <references count="3">
          <reference field="0" count="1" selected="0">
            <x v="5"/>
          </reference>
          <reference field="15" count="1" selected="0">
            <x v="149"/>
          </reference>
          <reference field="29" count="1">
            <x v="0"/>
          </reference>
        </references>
      </pivotArea>
    </format>
    <format dxfId="4031">
      <pivotArea dataOnly="0" labelOnly="1" outline="0" fieldPosition="0">
        <references count="3">
          <reference field="0" count="1" selected="0">
            <x v="5"/>
          </reference>
          <reference field="15" count="1" selected="0">
            <x v="150"/>
          </reference>
          <reference field="29" count="1">
            <x v="0"/>
          </reference>
        </references>
      </pivotArea>
    </format>
    <format dxfId="4030">
      <pivotArea dataOnly="0" labelOnly="1" outline="0" fieldPosition="0">
        <references count="3">
          <reference field="0" count="1" selected="0">
            <x v="5"/>
          </reference>
          <reference field="15" count="1" selected="0">
            <x v="151"/>
          </reference>
          <reference field="29" count="1">
            <x v="0"/>
          </reference>
        </references>
      </pivotArea>
    </format>
    <format dxfId="4029">
      <pivotArea dataOnly="0" labelOnly="1" outline="0" fieldPosition="0">
        <references count="3">
          <reference field="0" count="1" selected="0">
            <x v="5"/>
          </reference>
          <reference field="15" count="1" selected="0">
            <x v="152"/>
          </reference>
          <reference field="29" count="1">
            <x v="0"/>
          </reference>
        </references>
      </pivotArea>
    </format>
    <format dxfId="4028">
      <pivotArea dataOnly="0" labelOnly="1" outline="0" fieldPosition="0">
        <references count="3">
          <reference field="0" count="1" selected="0">
            <x v="5"/>
          </reference>
          <reference field="15" count="1" selected="0">
            <x v="153"/>
          </reference>
          <reference field="29" count="1">
            <x v="0"/>
          </reference>
        </references>
      </pivotArea>
    </format>
    <format dxfId="4027">
      <pivotArea dataOnly="0" labelOnly="1" outline="0" fieldPosition="0">
        <references count="3">
          <reference field="0" count="1" selected="0">
            <x v="5"/>
          </reference>
          <reference field="15" count="1" selected="0">
            <x v="154"/>
          </reference>
          <reference field="29" count="1">
            <x v="0"/>
          </reference>
        </references>
      </pivotArea>
    </format>
    <format dxfId="4026">
      <pivotArea dataOnly="0" labelOnly="1" outline="0" fieldPosition="0">
        <references count="3">
          <reference field="0" count="1" selected="0">
            <x v="5"/>
          </reference>
          <reference field="15" count="1" selected="0">
            <x v="155"/>
          </reference>
          <reference field="29" count="1">
            <x v="4"/>
          </reference>
        </references>
      </pivotArea>
    </format>
    <format dxfId="4025">
      <pivotArea dataOnly="0" labelOnly="1" outline="0" fieldPosition="0">
        <references count="3">
          <reference field="0" count="1" selected="0">
            <x v="5"/>
          </reference>
          <reference field="15" count="1" selected="0">
            <x v="156"/>
          </reference>
          <reference field="29" count="1">
            <x v="4"/>
          </reference>
        </references>
      </pivotArea>
    </format>
    <format dxfId="4024">
      <pivotArea dataOnly="0" labelOnly="1" outline="0" fieldPosition="0">
        <references count="3">
          <reference field="0" count="1" selected="0">
            <x v="5"/>
          </reference>
          <reference field="15" count="1" selected="0">
            <x v="157"/>
          </reference>
          <reference field="29" count="1">
            <x v="0"/>
          </reference>
        </references>
      </pivotArea>
    </format>
    <format dxfId="4023">
      <pivotArea dataOnly="0" labelOnly="1" outline="0" fieldPosition="0">
        <references count="3">
          <reference field="0" count="1" selected="0">
            <x v="5"/>
          </reference>
          <reference field="15" count="1" selected="0">
            <x v="158"/>
          </reference>
          <reference field="29" count="1">
            <x v="0"/>
          </reference>
        </references>
      </pivotArea>
    </format>
    <format dxfId="4022">
      <pivotArea dataOnly="0" labelOnly="1" outline="0" fieldPosition="0">
        <references count="3">
          <reference field="0" count="1" selected="0">
            <x v="5"/>
          </reference>
          <reference field="15" count="1" selected="0">
            <x v="159"/>
          </reference>
          <reference field="29" count="1">
            <x v="0"/>
          </reference>
        </references>
      </pivotArea>
    </format>
    <format dxfId="4021">
      <pivotArea dataOnly="0" labelOnly="1" outline="0" fieldPosition="0">
        <references count="3">
          <reference field="0" count="1" selected="0">
            <x v="5"/>
          </reference>
          <reference field="15" count="1" selected="0">
            <x v="160"/>
          </reference>
          <reference field="29" count="1">
            <x v="0"/>
          </reference>
        </references>
      </pivotArea>
    </format>
    <format dxfId="4020">
      <pivotArea dataOnly="0" labelOnly="1" outline="0" fieldPosition="0">
        <references count="3">
          <reference field="0" count="1" selected="0">
            <x v="5"/>
          </reference>
          <reference field="15" count="1" selected="0">
            <x v="161"/>
          </reference>
          <reference field="29" count="1">
            <x v="6"/>
          </reference>
        </references>
      </pivotArea>
    </format>
    <format dxfId="4019">
      <pivotArea dataOnly="0" labelOnly="1" outline="0" fieldPosition="0">
        <references count="3">
          <reference field="0" count="1" selected="0">
            <x v="5"/>
          </reference>
          <reference field="15" count="1" selected="0">
            <x v="162"/>
          </reference>
          <reference field="29" count="1">
            <x v="6"/>
          </reference>
        </references>
      </pivotArea>
    </format>
    <format dxfId="4018">
      <pivotArea dataOnly="0" labelOnly="1" outline="0" fieldPosition="0">
        <references count="3">
          <reference field="0" count="1" selected="0">
            <x v="5"/>
          </reference>
          <reference field="15" count="1" selected="0">
            <x v="163"/>
          </reference>
          <reference field="29" count="1">
            <x v="6"/>
          </reference>
        </references>
      </pivotArea>
    </format>
    <format dxfId="4017">
      <pivotArea dataOnly="0" labelOnly="1" outline="0" fieldPosition="0">
        <references count="3">
          <reference field="0" count="1" selected="0">
            <x v="5"/>
          </reference>
          <reference field="15" count="1" selected="0">
            <x v="164"/>
          </reference>
          <reference field="29" count="1">
            <x v="0"/>
          </reference>
        </references>
      </pivotArea>
    </format>
    <format dxfId="4016">
      <pivotArea dataOnly="0" labelOnly="1" outline="0" fieldPosition="0">
        <references count="3">
          <reference field="0" count="1" selected="0">
            <x v="5"/>
          </reference>
          <reference field="15" count="1" selected="0">
            <x v="165"/>
          </reference>
          <reference field="29" count="1">
            <x v="6"/>
          </reference>
        </references>
      </pivotArea>
    </format>
    <format dxfId="4015">
      <pivotArea dataOnly="0" labelOnly="1" outline="0" fieldPosition="0">
        <references count="3">
          <reference field="0" count="1" selected="0">
            <x v="5"/>
          </reference>
          <reference field="15" count="1" selected="0">
            <x v="166"/>
          </reference>
          <reference field="29" count="1">
            <x v="6"/>
          </reference>
        </references>
      </pivotArea>
    </format>
    <format dxfId="4014">
      <pivotArea dataOnly="0" labelOnly="1" outline="0" fieldPosition="0">
        <references count="3">
          <reference field="0" count="1" selected="0">
            <x v="6"/>
          </reference>
          <reference field="15" count="1" selected="0">
            <x v="167"/>
          </reference>
          <reference field="29" count="1">
            <x v="0"/>
          </reference>
        </references>
      </pivotArea>
    </format>
    <format dxfId="4013">
      <pivotArea dataOnly="0" labelOnly="1" outline="0" fieldPosition="0">
        <references count="3">
          <reference field="0" count="1" selected="0">
            <x v="7"/>
          </reference>
          <reference field="15" count="1" selected="0">
            <x v="168"/>
          </reference>
          <reference field="29" count="1">
            <x v="6"/>
          </reference>
        </references>
      </pivotArea>
    </format>
    <format dxfId="4012">
      <pivotArea dataOnly="0" labelOnly="1" outline="0" fieldPosition="0">
        <references count="3">
          <reference field="0" count="1" selected="0">
            <x v="7"/>
          </reference>
          <reference field="15" count="1" selected="0">
            <x v="169"/>
          </reference>
          <reference field="29" count="1">
            <x v="6"/>
          </reference>
        </references>
      </pivotArea>
    </format>
    <format dxfId="4011">
      <pivotArea dataOnly="0" labelOnly="1" outline="0" fieldPosition="0">
        <references count="3">
          <reference field="0" count="1" selected="0">
            <x v="8"/>
          </reference>
          <reference field="15" count="1" selected="0">
            <x v="170"/>
          </reference>
          <reference field="29" count="1">
            <x v="0"/>
          </reference>
        </references>
      </pivotArea>
    </format>
    <format dxfId="4010">
      <pivotArea dataOnly="0" labelOnly="1" outline="0" fieldPosition="0">
        <references count="3">
          <reference field="0" count="1" selected="0">
            <x v="8"/>
          </reference>
          <reference field="15" count="1" selected="0">
            <x v="171"/>
          </reference>
          <reference field="29" count="1">
            <x v="0"/>
          </reference>
        </references>
      </pivotArea>
    </format>
    <format dxfId="4009">
      <pivotArea dataOnly="0" labelOnly="1" outline="0" fieldPosition="0">
        <references count="3">
          <reference field="0" count="1" selected="0">
            <x v="8"/>
          </reference>
          <reference field="15" count="1" selected="0">
            <x v="172"/>
          </reference>
          <reference field="29" count="1">
            <x v="4"/>
          </reference>
        </references>
      </pivotArea>
    </format>
    <format dxfId="4008">
      <pivotArea dataOnly="0" labelOnly="1" outline="0" fieldPosition="0">
        <references count="3">
          <reference field="0" count="1" selected="0">
            <x v="8"/>
          </reference>
          <reference field="15" count="1" selected="0">
            <x v="173"/>
          </reference>
          <reference field="29" count="1">
            <x v="0"/>
          </reference>
        </references>
      </pivotArea>
    </format>
    <format dxfId="4007">
      <pivotArea dataOnly="0" labelOnly="1" outline="0" fieldPosition="0">
        <references count="3">
          <reference field="0" count="1" selected="0">
            <x v="9"/>
          </reference>
          <reference field="15" count="1" selected="0">
            <x v="174"/>
          </reference>
          <reference field="29" count="1">
            <x v="6"/>
          </reference>
        </references>
      </pivotArea>
    </format>
    <format dxfId="4006">
      <pivotArea dataOnly="0" labelOnly="1" outline="0" fieldPosition="0">
        <references count="3">
          <reference field="0" count="1" selected="0">
            <x v="9"/>
          </reference>
          <reference field="15" count="1" selected="0">
            <x v="175"/>
          </reference>
          <reference field="29" count="1">
            <x v="0"/>
          </reference>
        </references>
      </pivotArea>
    </format>
    <format dxfId="4005">
      <pivotArea dataOnly="0" labelOnly="1" outline="0" fieldPosition="0">
        <references count="3">
          <reference field="0" count="1" selected="0">
            <x v="9"/>
          </reference>
          <reference field="15" count="1" selected="0">
            <x v="176"/>
          </reference>
          <reference field="29" count="1">
            <x v="6"/>
          </reference>
        </references>
      </pivotArea>
    </format>
    <format dxfId="4004">
      <pivotArea dataOnly="0" labelOnly="1" outline="0" fieldPosition="0">
        <references count="3">
          <reference field="0" count="1" selected="0">
            <x v="10"/>
          </reference>
          <reference field="15" count="1" selected="0">
            <x v="177"/>
          </reference>
          <reference field="29" count="1">
            <x v="6"/>
          </reference>
        </references>
      </pivotArea>
    </format>
    <format dxfId="4003">
      <pivotArea dataOnly="0" labelOnly="1" outline="0" fieldPosition="0">
        <references count="3">
          <reference field="0" count="1" selected="0">
            <x v="10"/>
          </reference>
          <reference field="15" count="1" selected="0">
            <x v="178"/>
          </reference>
          <reference field="29" count="1">
            <x v="6"/>
          </reference>
        </references>
      </pivotArea>
    </format>
    <format dxfId="4002">
      <pivotArea dataOnly="0" labelOnly="1" outline="0" fieldPosition="0">
        <references count="3">
          <reference field="0" count="1" selected="0">
            <x v="11"/>
          </reference>
          <reference field="15" count="1" selected="0">
            <x v="179"/>
          </reference>
          <reference field="29" count="1">
            <x v="6"/>
          </reference>
        </references>
      </pivotArea>
    </format>
    <format dxfId="4001">
      <pivotArea dataOnly="0" labelOnly="1" outline="0" fieldPosition="0">
        <references count="3">
          <reference field="0" count="1" selected="0">
            <x v="11"/>
          </reference>
          <reference field="15" count="1" selected="0">
            <x v="180"/>
          </reference>
          <reference field="29" count="1">
            <x v="6"/>
          </reference>
        </references>
      </pivotArea>
    </format>
    <format dxfId="4000">
      <pivotArea dataOnly="0" labelOnly="1" outline="0" fieldPosition="0">
        <references count="3">
          <reference field="0" count="1" selected="0">
            <x v="11"/>
          </reference>
          <reference field="15" count="1" selected="0">
            <x v="181"/>
          </reference>
          <reference field="29" count="1">
            <x v="4"/>
          </reference>
        </references>
      </pivotArea>
    </format>
    <format dxfId="3999">
      <pivotArea dataOnly="0" labelOnly="1" outline="0" fieldPosition="0">
        <references count="3">
          <reference field="0" count="1" selected="0">
            <x v="12"/>
          </reference>
          <reference field="15" count="1" selected="0">
            <x v="182"/>
          </reference>
          <reference field="29" count="1">
            <x v="0"/>
          </reference>
        </references>
      </pivotArea>
    </format>
    <format dxfId="3998">
      <pivotArea dataOnly="0" labelOnly="1" outline="0" fieldPosition="0">
        <references count="3">
          <reference field="0" count="1" selected="0">
            <x v="12"/>
          </reference>
          <reference field="15" count="1" selected="0">
            <x v="183"/>
          </reference>
          <reference field="29" count="1">
            <x v="0"/>
          </reference>
        </references>
      </pivotArea>
    </format>
    <format dxfId="3997">
      <pivotArea dataOnly="0" labelOnly="1" outline="0" fieldPosition="0">
        <references count="3">
          <reference field="0" count="1" selected="0">
            <x v="12"/>
          </reference>
          <reference field="15" count="1" selected="0">
            <x v="184"/>
          </reference>
          <reference field="29" count="1">
            <x v="0"/>
          </reference>
        </references>
      </pivotArea>
    </format>
    <format dxfId="3996">
      <pivotArea dataOnly="0" labelOnly="1" outline="0" fieldPosition="0">
        <references count="3">
          <reference field="0" count="1" selected="0">
            <x v="12"/>
          </reference>
          <reference field="15" count="1" selected="0">
            <x v="185"/>
          </reference>
          <reference field="29" count="1">
            <x v="0"/>
          </reference>
        </references>
      </pivotArea>
    </format>
    <format dxfId="3995">
      <pivotArea dataOnly="0" labelOnly="1" outline="0" fieldPosition="0">
        <references count="3">
          <reference field="0" count="1" selected="0">
            <x v="12"/>
          </reference>
          <reference field="15" count="1" selected="0">
            <x v="186"/>
          </reference>
          <reference field="29" count="1">
            <x v="6"/>
          </reference>
        </references>
      </pivotArea>
    </format>
    <format dxfId="3994">
      <pivotArea dataOnly="0" labelOnly="1" outline="0" fieldPosition="0">
        <references count="3">
          <reference field="0" count="1" selected="0">
            <x v="12"/>
          </reference>
          <reference field="15" count="1" selected="0">
            <x v="187"/>
          </reference>
          <reference field="29" count="1">
            <x v="0"/>
          </reference>
        </references>
      </pivotArea>
    </format>
    <format dxfId="3993">
      <pivotArea dataOnly="0" labelOnly="1" outline="0" fieldPosition="0">
        <references count="3">
          <reference field="0" count="1" selected="0">
            <x v="13"/>
          </reference>
          <reference field="15" count="1" selected="0">
            <x v="188"/>
          </reference>
          <reference field="29" count="1">
            <x v="6"/>
          </reference>
        </references>
      </pivotArea>
    </format>
    <format dxfId="3992">
      <pivotArea dataOnly="0" labelOnly="1" outline="0" fieldPosition="0">
        <references count="3">
          <reference field="0" count="1" selected="0">
            <x v="13"/>
          </reference>
          <reference field="15" count="1" selected="0">
            <x v="189"/>
          </reference>
          <reference field="29" count="1">
            <x v="6"/>
          </reference>
        </references>
      </pivotArea>
    </format>
    <format dxfId="3991">
      <pivotArea dataOnly="0" labelOnly="1" outline="0" fieldPosition="0">
        <references count="3">
          <reference field="0" count="1" selected="0">
            <x v="13"/>
          </reference>
          <reference field="15" count="1" selected="0">
            <x v="190"/>
          </reference>
          <reference field="29" count="1">
            <x v="0"/>
          </reference>
        </references>
      </pivotArea>
    </format>
    <format dxfId="3990">
      <pivotArea dataOnly="0" labelOnly="1" outline="0" fieldPosition="0">
        <references count="3">
          <reference field="0" count="1" selected="0">
            <x v="13"/>
          </reference>
          <reference field="15" count="1" selected="0">
            <x v="191"/>
          </reference>
          <reference field="29" count="1">
            <x v="0"/>
          </reference>
        </references>
      </pivotArea>
    </format>
    <format dxfId="3989">
      <pivotArea dataOnly="0" labelOnly="1" outline="0" fieldPosition="0">
        <references count="3">
          <reference field="0" count="1" selected="0">
            <x v="14"/>
          </reference>
          <reference field="15" count="1" selected="0">
            <x v="192"/>
          </reference>
          <reference field="29" count="1">
            <x v="6"/>
          </reference>
        </references>
      </pivotArea>
    </format>
    <format dxfId="3988">
      <pivotArea dataOnly="0" labelOnly="1" outline="0" fieldPosition="0">
        <references count="3">
          <reference field="0" count="1" selected="0">
            <x v="14"/>
          </reference>
          <reference field="15" count="1" selected="0">
            <x v="193"/>
          </reference>
          <reference field="29" count="1">
            <x v="6"/>
          </reference>
        </references>
      </pivotArea>
    </format>
    <format dxfId="3987">
      <pivotArea dataOnly="0" labelOnly="1" outline="0" fieldPosition="0">
        <references count="3">
          <reference field="0" count="1" selected="0">
            <x v="14"/>
          </reference>
          <reference field="15" count="1" selected="0">
            <x v="194"/>
          </reference>
          <reference field="29" count="1">
            <x v="6"/>
          </reference>
        </references>
      </pivotArea>
    </format>
    <format dxfId="3986">
      <pivotArea dataOnly="0" labelOnly="1" outline="0" fieldPosition="0">
        <references count="3">
          <reference field="0" count="1" selected="0">
            <x v="14"/>
          </reference>
          <reference field="15" count="1" selected="0">
            <x v="195"/>
          </reference>
          <reference field="29" count="1">
            <x v="6"/>
          </reference>
        </references>
      </pivotArea>
    </format>
    <format dxfId="3985">
      <pivotArea dataOnly="0" labelOnly="1" outline="0" fieldPosition="0">
        <references count="3">
          <reference field="0" count="1" selected="0">
            <x v="14"/>
          </reference>
          <reference field="15" count="1" selected="0">
            <x v="196"/>
          </reference>
          <reference field="29" count="1">
            <x v="6"/>
          </reference>
        </references>
      </pivotArea>
    </format>
    <format dxfId="3984">
      <pivotArea dataOnly="0" labelOnly="1" outline="0" fieldPosition="0">
        <references count="3">
          <reference field="0" count="1" selected="0">
            <x v="14"/>
          </reference>
          <reference field="15" count="1" selected="0">
            <x v="197"/>
          </reference>
          <reference field="29" count="1">
            <x v="6"/>
          </reference>
        </references>
      </pivotArea>
    </format>
    <format dxfId="3983">
      <pivotArea dataOnly="0" labelOnly="1" outline="0" fieldPosition="0">
        <references count="3">
          <reference field="0" count="1" selected="0">
            <x v="15"/>
          </reference>
          <reference field="15" count="1" selected="0">
            <x v="106"/>
          </reference>
          <reference field="29" count="1">
            <x v="6"/>
          </reference>
        </references>
      </pivotArea>
    </format>
    <format dxfId="3982">
      <pivotArea dataOnly="0" labelOnly="1" outline="0" fieldPosition="0">
        <references count="3">
          <reference field="0" count="1" selected="0">
            <x v="15"/>
          </reference>
          <reference field="15" count="1" selected="0">
            <x v="107"/>
          </reference>
          <reference field="29" count="1">
            <x v="6"/>
          </reference>
        </references>
      </pivotArea>
    </format>
    <format dxfId="3981">
      <pivotArea dataOnly="0" labelOnly="1" outline="0" fieldPosition="0">
        <references count="3">
          <reference field="0" count="1" selected="0">
            <x v="15"/>
          </reference>
          <reference field="15" count="1" selected="0">
            <x v="108"/>
          </reference>
          <reference field="29" count="1">
            <x v="6"/>
          </reference>
        </references>
      </pivotArea>
    </format>
    <format dxfId="3980">
      <pivotArea dataOnly="0" labelOnly="1" outline="0" fieldPosition="0">
        <references count="3">
          <reference field="0" count="1" selected="0">
            <x v="15"/>
          </reference>
          <reference field="15" count="1" selected="0">
            <x v="198"/>
          </reference>
          <reference field="29" count="1">
            <x v="6"/>
          </reference>
        </references>
      </pivotArea>
    </format>
    <format dxfId="3979">
      <pivotArea dataOnly="0" labelOnly="1" outline="0" fieldPosition="0">
        <references count="3">
          <reference field="0" count="1" selected="0">
            <x v="15"/>
          </reference>
          <reference field="15" count="1" selected="0">
            <x v="199"/>
          </reference>
          <reference field="29" count="1">
            <x v="6"/>
          </reference>
        </references>
      </pivotArea>
    </format>
    <format dxfId="3978">
      <pivotArea dataOnly="0" labelOnly="1" outline="0" fieldPosition="0">
        <references count="3">
          <reference field="0" count="1" selected="0">
            <x v="15"/>
          </reference>
          <reference field="15" count="1" selected="0">
            <x v="200"/>
          </reference>
          <reference field="29" count="1">
            <x v="6"/>
          </reference>
        </references>
      </pivotArea>
    </format>
    <format dxfId="3977">
      <pivotArea dataOnly="0" labelOnly="1" outline="0" fieldPosition="0">
        <references count="3">
          <reference field="0" count="1" selected="0">
            <x v="15"/>
          </reference>
          <reference field="15" count="1" selected="0">
            <x v="201"/>
          </reference>
          <reference field="29" count="1">
            <x v="6"/>
          </reference>
        </references>
      </pivotArea>
    </format>
    <format dxfId="3976">
      <pivotArea dataOnly="0" labelOnly="1" outline="0" fieldPosition="0">
        <references count="3">
          <reference field="0" count="1" selected="0">
            <x v="16"/>
          </reference>
          <reference field="15" count="1" selected="0">
            <x v="109"/>
          </reference>
          <reference field="29" count="1">
            <x v="0"/>
          </reference>
        </references>
      </pivotArea>
    </format>
    <format dxfId="3975">
      <pivotArea dataOnly="0" labelOnly="1" outline="0" fieldPosition="0">
        <references count="3">
          <reference field="0" count="1" selected="0">
            <x v="16"/>
          </reference>
          <reference field="15" count="1" selected="0">
            <x v="110"/>
          </reference>
          <reference field="29" count="1">
            <x v="0"/>
          </reference>
        </references>
      </pivotArea>
    </format>
    <format dxfId="3974">
      <pivotArea dataOnly="0" labelOnly="1" outline="0" fieldPosition="0">
        <references count="3">
          <reference field="0" count="1" selected="0">
            <x v="16"/>
          </reference>
          <reference field="15" count="1" selected="0">
            <x v="111"/>
          </reference>
          <reference field="29" count="1">
            <x v="6"/>
          </reference>
        </references>
      </pivotArea>
    </format>
    <format dxfId="3973">
      <pivotArea dataOnly="0" labelOnly="1" outline="0" fieldPosition="0">
        <references count="3">
          <reference field="0" count="1" selected="0">
            <x v="16"/>
          </reference>
          <reference field="15" count="1" selected="0">
            <x v="112"/>
          </reference>
          <reference field="29" count="1">
            <x v="4"/>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8.xml><?xml version="1.0" encoding="utf-8"?>
<pivotTableDefinition xmlns="http://schemas.openxmlformats.org/spreadsheetml/2006/main" name="Tabla dinámica9" cacheId="8" applyNumberFormats="0" applyBorderFormats="0" applyFontFormats="0" applyPatternFormats="0" applyAlignmentFormats="0" applyWidthHeightFormats="1" dataCaption="Valores" updatedVersion="5" minRefreshableVersion="3" useAutoFormatting="1" itemPrintTitles="1" createdVersion="5" indent="0" compact="0" compactData="0" multipleFieldFilters="0" colHeaderCaption="l">
  <location ref="BH2:BQ23" firstHeaderRow="1" firstDataRow="3" firstDataCol="2"/>
  <pivotFields count="32">
    <pivotField axis="axisRow" compact="0" outline="0" showAll="0" defaultSubtotal="0">
      <items count="17">
        <item x="0"/>
        <item x="1"/>
        <item x="2"/>
        <item x="3"/>
        <item x="4"/>
        <item x="5"/>
        <item x="6"/>
        <item x="7"/>
        <item x="8"/>
        <item x="9"/>
        <item x="10"/>
        <item x="11"/>
        <item x="12"/>
        <item x="13"/>
        <item x="14"/>
        <item x="15"/>
        <item x="16"/>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defaultSubtotal="0"/>
    <pivotField compact="0" outline="0" showAll="0" defaultSubtotal="0"/>
    <pivotField compact="0" outline="0" showAll="0"/>
    <pivotField compact="0" outline="0" showAll="0"/>
    <pivotField compact="0" outline="0" showAll="0"/>
    <pivotField axis="axisRow" compact="0" outline="0" showAll="0" defaultSubtotal="0">
      <items count="26">
        <item sd="0" x="11"/>
        <item sd="0" x="10"/>
        <item sd="0" x="12"/>
        <item sd="0" x="2"/>
        <item sd="0" x="7"/>
        <item sd="0" x="17"/>
        <item sd="0" x="1"/>
        <item sd="0" x="3"/>
        <item sd="0" x="0"/>
        <item sd="0" x="16"/>
        <item sd="0" x="22"/>
        <item sd="0" x="8"/>
        <item sd="0" x="18"/>
        <item sd="0" x="13"/>
        <item sd="0" x="25"/>
        <item sd="0" x="24"/>
        <item sd="0" x="9"/>
        <item sd="0" x="15"/>
        <item sd="0" x="14"/>
        <item sd="0" x="5"/>
        <item sd="0" x="21"/>
        <item sd="0" x="23"/>
        <item sd="0" x="19"/>
        <item sd="0" x="6"/>
        <item sd="0" x="4"/>
        <item sd="0" x="20"/>
      </items>
    </pivotField>
    <pivotField compact="0" outline="0" showAll="0"/>
    <pivotField compact="0" outline="0" showAll="0" sortType="ascending" defaultSubtotal="0"/>
    <pivotField compact="0" outline="0" showAll="0"/>
    <pivotField compact="0" outline="0" showAll="0"/>
    <pivotField compact="0" outline="0" showAll="0"/>
    <pivotField compact="0" outline="0" showAll="0"/>
    <pivotField compact="0" outline="0" showAll="0"/>
    <pivotField axis="axisCol" dataField="1" compact="0" outline="0" showAll="0">
      <items count="3">
        <item x="0"/>
        <item h="1" x="1"/>
        <item t="default"/>
      </items>
    </pivotField>
    <pivotField dataField="1" compact="0" outline="0" showAll="0"/>
    <pivotField dataField="1" compact="0" outline="0" showAll="0" defaultSubtotal="0"/>
    <pivotField dataField="1" compact="0" outline="0" showAll="0"/>
    <pivotField compact="0" outline="0" showAll="0"/>
    <pivotField compact="0" outline="0" showAll="0"/>
    <pivotField compact="0" outline="0" showAll="0" defaultSubtotal="0"/>
    <pivotField compact="0" outline="0" showAll="0"/>
    <pivotField compact="0" outline="0" showAll="0" sortType="descending"/>
    <pivotField compact="0" outline="0" showAll="0"/>
    <pivotField compact="0" outline="0" showAll="0"/>
  </pivotFields>
  <rowFields count="2">
    <field x="0"/>
    <field x="13"/>
  </rowFields>
  <rowItems count="19">
    <i>
      <x/>
      <x v="8"/>
    </i>
    <i>
      <x v="1"/>
      <x v="6"/>
    </i>
    <i>
      <x v="2"/>
      <x v="3"/>
    </i>
    <i>
      <x v="3"/>
      <x v="7"/>
    </i>
    <i>
      <x v="4"/>
      <x v="19"/>
    </i>
    <i r="1">
      <x v="23"/>
    </i>
    <i r="1">
      <x v="24"/>
    </i>
    <i>
      <x v="5"/>
      <x/>
    </i>
    <i r="1">
      <x v="1"/>
    </i>
    <i r="1">
      <x v="2"/>
    </i>
    <i r="1">
      <x v="4"/>
    </i>
    <i r="1">
      <x v="11"/>
    </i>
    <i>
      <x v="6"/>
      <x v="13"/>
    </i>
    <i>
      <x v="9"/>
      <x v="9"/>
    </i>
    <i>
      <x v="10"/>
      <x v="5"/>
    </i>
    <i>
      <x v="13"/>
      <x v="20"/>
    </i>
    <i>
      <x v="14"/>
      <x v="10"/>
    </i>
    <i>
      <x v="15"/>
      <x v="21"/>
    </i>
    <i t="grand">
      <x/>
    </i>
  </rowItems>
  <colFields count="2">
    <field x="21"/>
    <field x="-2"/>
  </colFields>
  <colItems count="8">
    <i>
      <x/>
      <x/>
    </i>
    <i r="1" i="1">
      <x v="1"/>
    </i>
    <i r="1" i="2">
      <x v="2"/>
    </i>
    <i r="1" i="3">
      <x v="3"/>
    </i>
    <i t="grand">
      <x/>
    </i>
    <i t="grand" i="1">
      <x/>
    </i>
    <i t="grand" i="2">
      <x/>
    </i>
    <i t="grand" i="3">
      <x/>
    </i>
  </colItems>
  <dataFields count="4">
    <dataField name="Ind. Regionales" fld="21" subtotal="count" baseField="0" baseItem="0"/>
    <dataField name="Ind. Zonales" fld="22" subtotal="count" baseField="0" baseItem="0"/>
    <dataField name="Plan de Acción" fld="23" subtotal="count" baseField="0" baseItem="0"/>
    <dataField name="Plan Indicativo" fld="24" subtotal="count" baseField="0" baseItem="0"/>
  </dataFields>
  <formats count="22">
    <format dxfId="4120">
      <pivotArea dataOnly="0" grandRow="1" outline="0" fieldPosition="0"/>
    </format>
    <format dxfId="4119">
      <pivotArea type="all" dataOnly="0" outline="0" fieldPosition="0"/>
    </format>
    <format dxfId="4118">
      <pivotArea dataOnly="0" labelOnly="1" outline="0" fieldPosition="0">
        <references count="1">
          <reference field="0" count="0"/>
        </references>
      </pivotArea>
    </format>
    <format dxfId="4117">
      <pivotArea dataOnly="0" labelOnly="1" grandRow="1" outline="0" fieldPosition="0"/>
    </format>
    <format dxfId="4116">
      <pivotArea dataOnly="0" labelOnly="1" outline="0" fieldPosition="0">
        <references count="2">
          <reference field="0" count="1" selected="0">
            <x v="0"/>
          </reference>
          <reference field="13" count="1">
            <x v="8"/>
          </reference>
        </references>
      </pivotArea>
    </format>
    <format dxfId="4115">
      <pivotArea dataOnly="0" labelOnly="1" outline="0" fieldPosition="0">
        <references count="2">
          <reference field="0" count="1" selected="0">
            <x v="1"/>
          </reference>
          <reference field="13" count="1">
            <x v="6"/>
          </reference>
        </references>
      </pivotArea>
    </format>
    <format dxfId="4114">
      <pivotArea dataOnly="0" labelOnly="1" outline="0" fieldPosition="0">
        <references count="2">
          <reference field="0" count="1" selected="0">
            <x v="2"/>
          </reference>
          <reference field="13" count="1">
            <x v="3"/>
          </reference>
        </references>
      </pivotArea>
    </format>
    <format dxfId="4113">
      <pivotArea dataOnly="0" labelOnly="1" outline="0" fieldPosition="0">
        <references count="2">
          <reference field="0" count="1" selected="0">
            <x v="3"/>
          </reference>
          <reference field="13" count="1">
            <x v="7"/>
          </reference>
        </references>
      </pivotArea>
    </format>
    <format dxfId="4112">
      <pivotArea dataOnly="0" labelOnly="1" outline="0" fieldPosition="0">
        <references count="2">
          <reference field="0" count="1" selected="0">
            <x v="4"/>
          </reference>
          <reference field="13" count="3">
            <x v="19"/>
            <x v="23"/>
            <x v="24"/>
          </reference>
        </references>
      </pivotArea>
    </format>
    <format dxfId="4111">
      <pivotArea dataOnly="0" labelOnly="1" outline="0" fieldPosition="0">
        <references count="2">
          <reference field="0" count="1" selected="0">
            <x v="5"/>
          </reference>
          <reference field="13" count="6">
            <x v="0"/>
            <x v="1"/>
            <x v="2"/>
            <x v="4"/>
            <x v="11"/>
            <x v="16"/>
          </reference>
        </references>
      </pivotArea>
    </format>
    <format dxfId="4110">
      <pivotArea dataOnly="0" labelOnly="1" outline="0" fieldPosition="0">
        <references count="2">
          <reference field="0" count="1" selected="0">
            <x v="6"/>
          </reference>
          <reference field="13" count="1">
            <x v="13"/>
          </reference>
        </references>
      </pivotArea>
    </format>
    <format dxfId="4109">
      <pivotArea dataOnly="0" labelOnly="1" outline="0" fieldPosition="0">
        <references count="2">
          <reference field="0" count="1" selected="0">
            <x v="7"/>
          </reference>
          <reference field="13" count="1">
            <x v="18"/>
          </reference>
        </references>
      </pivotArea>
    </format>
    <format dxfId="4108">
      <pivotArea dataOnly="0" labelOnly="1" outline="0" fieldPosition="0">
        <references count="2">
          <reference field="0" count="1" selected="0">
            <x v="8"/>
          </reference>
          <reference field="13" count="1">
            <x v="17"/>
          </reference>
        </references>
      </pivotArea>
    </format>
    <format dxfId="4107">
      <pivotArea dataOnly="0" labelOnly="1" outline="0" fieldPosition="0">
        <references count="2">
          <reference field="0" count="1" selected="0">
            <x v="9"/>
          </reference>
          <reference field="13" count="1">
            <x v="9"/>
          </reference>
        </references>
      </pivotArea>
    </format>
    <format dxfId="4106">
      <pivotArea dataOnly="0" labelOnly="1" outline="0" fieldPosition="0">
        <references count="2">
          <reference field="0" count="1" selected="0">
            <x v="10"/>
          </reference>
          <reference field="13" count="1">
            <x v="5"/>
          </reference>
        </references>
      </pivotArea>
    </format>
    <format dxfId="4105">
      <pivotArea dataOnly="0" labelOnly="1" outline="0" fieldPosition="0">
        <references count="2">
          <reference field="0" count="1" selected="0">
            <x v="11"/>
          </reference>
          <reference field="13" count="1">
            <x v="12"/>
          </reference>
        </references>
      </pivotArea>
    </format>
    <format dxfId="4104">
      <pivotArea dataOnly="0" labelOnly="1" outline="0" fieldPosition="0">
        <references count="2">
          <reference field="0" count="1" selected="0">
            <x v="12"/>
          </reference>
          <reference field="13" count="2">
            <x v="22"/>
            <x v="25"/>
          </reference>
        </references>
      </pivotArea>
    </format>
    <format dxfId="4103">
      <pivotArea dataOnly="0" labelOnly="1" outline="0" fieldPosition="0">
        <references count="2">
          <reference field="0" count="1" selected="0">
            <x v="13"/>
          </reference>
          <reference field="13" count="1">
            <x v="20"/>
          </reference>
        </references>
      </pivotArea>
    </format>
    <format dxfId="4102">
      <pivotArea dataOnly="0" labelOnly="1" outline="0" fieldPosition="0">
        <references count="2">
          <reference field="0" count="1" selected="0">
            <x v="14"/>
          </reference>
          <reference field="13" count="1">
            <x v="10"/>
          </reference>
        </references>
      </pivotArea>
    </format>
    <format dxfId="4101">
      <pivotArea dataOnly="0" labelOnly="1" outline="0" fieldPosition="0">
        <references count="2">
          <reference field="0" count="1" selected="0">
            <x v="15"/>
          </reference>
          <reference field="13" count="2">
            <x v="15"/>
            <x v="21"/>
          </reference>
        </references>
      </pivotArea>
    </format>
    <format dxfId="4100">
      <pivotArea dataOnly="0" labelOnly="1" outline="0" fieldPosition="0">
        <references count="2">
          <reference field="0" count="1" selected="0">
            <x v="16"/>
          </reference>
          <reference field="13" count="1">
            <x v="14"/>
          </reference>
        </references>
      </pivotArea>
    </format>
    <format dxfId="4099">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9.xml><?xml version="1.0" encoding="utf-8"?>
<pivotTableDefinition xmlns="http://schemas.openxmlformats.org/spreadsheetml/2006/main" name="Tabla dinámica8" cacheId="8" applyNumberFormats="0" applyBorderFormats="0" applyFontFormats="0" applyPatternFormats="0" applyAlignmentFormats="0" applyWidthHeightFormats="1" dataCaption="Valores" updatedVersion="5" minRefreshableVersion="3" useAutoFormatting="1" itemPrintTitles="1" createdVersion="5" indent="0" compact="0" compactData="0" multipleFieldFilters="0" colHeaderCaption="l">
  <location ref="AD61:AI87" firstHeaderRow="0" firstDataRow="1" firstDataCol="4"/>
  <pivotFields count="32">
    <pivotField axis="axisRow" compact="0" outline="0" showAll="0" defaultSubtotal="0">
      <items count="17">
        <item x="0"/>
        <item x="1"/>
        <item x="2"/>
        <item x="3"/>
        <item x="4"/>
        <item x="5"/>
        <item x="6"/>
        <item x="7"/>
        <item x="8"/>
        <item x="9"/>
        <item x="10"/>
        <item x="11"/>
        <item x="12"/>
        <item x="13"/>
        <item x="14"/>
        <item x="15"/>
        <item x="16"/>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defaultSubtotal="0"/>
    <pivotField compact="0" outline="0" showAll="0" defaultSubtotal="0"/>
    <pivotField compact="0" outline="0" showAll="0"/>
    <pivotField compact="0" outline="0" showAll="0"/>
    <pivotField compact="0" outline="0" showAll="0"/>
    <pivotField axis="axisRow" compact="0" outline="0" showAll="0" defaultSubtotal="0">
      <items count="26">
        <item sd="0" x="11"/>
        <item sd="0" x="10"/>
        <item sd="0" x="12"/>
        <item sd="0" x="2"/>
        <item sd="0" x="7"/>
        <item sd="0" x="17"/>
        <item sd="0" x="1"/>
        <item sd="0" x="3"/>
        <item sd="0" x="0"/>
        <item sd="0" x="16"/>
        <item sd="0" x="22"/>
        <item sd="0" x="8"/>
        <item sd="0" x="18"/>
        <item sd="0" x="13"/>
        <item sd="0" x="25"/>
        <item sd="0" x="24"/>
        <item sd="0" x="9"/>
        <item sd="0" x="15"/>
        <item sd="0" x="14"/>
        <item sd="0" x="5"/>
        <item sd="0" x="21"/>
        <item sd="0" x="23"/>
        <item sd="0" x="19"/>
        <item sd="0" x="6"/>
        <item sd="0" x="4"/>
        <item sd="0" x="20"/>
      </items>
    </pivotField>
    <pivotField compact="0" outline="0" showAll="0"/>
    <pivotField dataField="1" compact="0" outline="0" showAll="0" sortType="ascending" defaultSubtotal="0"/>
    <pivotField compact="0" outline="0" showAll="0"/>
    <pivotField compact="0" outline="0" showAll="0"/>
    <pivotField dataField="1" compact="0" outline="0" showAll="0"/>
    <pivotField compact="0" outline="0" showAll="0"/>
    <pivotField compact="0" outline="0" showAll="0"/>
    <pivotField compact="0" outline="0" showAll="0"/>
    <pivotField compact="0" outline="0" showAll="0"/>
    <pivotField axis="axisRow" compact="0" outline="0" showAll="0" defaultSubtotal="0">
      <items count="3">
        <item m="1" x="2"/>
        <item x="0"/>
        <item x="1"/>
      </items>
    </pivotField>
    <pivotField axis="axisRow" compact="0" outline="0" showAll="0">
      <items count="4">
        <item h="1" m="1" x="2"/>
        <item x="0"/>
        <item h="1" x="1"/>
        <item t="default"/>
      </items>
    </pivotField>
    <pivotField compact="0" outline="0" showAll="0"/>
    <pivotField compact="0" outline="0" showAll="0"/>
    <pivotField compact="0" outline="0" showAll="0" defaultSubtotal="0"/>
    <pivotField compact="0" outline="0" showAll="0"/>
    <pivotField compact="0" outline="0" showAll="0" sortType="descending"/>
    <pivotField compact="0" outline="0" showAll="0"/>
    <pivotField compact="0" outline="0" showAll="0"/>
  </pivotFields>
  <rowFields count="4">
    <field x="0"/>
    <field x="13"/>
    <field x="23"/>
    <field x="24"/>
  </rowFields>
  <rowItems count="26">
    <i>
      <x/>
      <x v="8"/>
    </i>
    <i>
      <x v="1"/>
      <x v="6"/>
    </i>
    <i>
      <x v="2"/>
      <x v="3"/>
    </i>
    <i>
      <x v="3"/>
      <x v="7"/>
    </i>
    <i>
      <x v="4"/>
      <x v="19"/>
    </i>
    <i r="1">
      <x v="23"/>
    </i>
    <i r="1">
      <x v="24"/>
    </i>
    <i>
      <x v="5"/>
      <x/>
    </i>
    <i r="1">
      <x v="1"/>
    </i>
    <i r="1">
      <x v="2"/>
    </i>
    <i r="1">
      <x v="4"/>
    </i>
    <i r="1">
      <x v="11"/>
    </i>
    <i r="1">
      <x v="16"/>
    </i>
    <i>
      <x v="6"/>
      <x v="13"/>
    </i>
    <i>
      <x v="7"/>
      <x v="18"/>
    </i>
    <i>
      <x v="8"/>
      <x v="17"/>
    </i>
    <i>
      <x v="9"/>
      <x v="9"/>
    </i>
    <i>
      <x v="10"/>
      <x v="5"/>
    </i>
    <i>
      <x v="11"/>
      <x v="12"/>
    </i>
    <i>
      <x v="12"/>
      <x v="22"/>
    </i>
    <i>
      <x v="13"/>
      <x v="20"/>
    </i>
    <i>
      <x v="14"/>
      <x v="10"/>
    </i>
    <i>
      <x v="15"/>
      <x v="15"/>
    </i>
    <i r="1">
      <x v="21"/>
    </i>
    <i>
      <x v="16"/>
      <x v="14"/>
    </i>
    <i t="grand">
      <x/>
    </i>
  </rowItems>
  <colFields count="1">
    <field x="-2"/>
  </colFields>
  <colItems count="2">
    <i>
      <x/>
    </i>
    <i i="1">
      <x v="1"/>
    </i>
  </colItems>
  <dataFields count="2">
    <dataField name="Ind" fld="15" subtotal="count" baseField="0" baseItem="0"/>
    <dataField name="Pond %" fld="18" baseField="0" baseItem="0" numFmtId="165"/>
  </dataFields>
  <formats count="25">
    <format dxfId="4145">
      <pivotArea dataOnly="0" grandRow="1" outline="0" fieldPosition="0"/>
    </format>
    <format dxfId="4144">
      <pivotArea type="all" dataOnly="0" outline="0" fieldPosition="0"/>
    </format>
    <format dxfId="4143">
      <pivotArea dataOnly="0" labelOnly="1" outline="0" fieldPosition="0">
        <references count="1">
          <reference field="0" count="0"/>
        </references>
      </pivotArea>
    </format>
    <format dxfId="4142">
      <pivotArea dataOnly="0" labelOnly="1" grandRow="1" outline="0" fieldPosition="0"/>
    </format>
    <format dxfId="4141">
      <pivotArea dataOnly="0" labelOnly="1" outline="0" fieldPosition="0">
        <references count="2">
          <reference field="0" count="1" selected="0">
            <x v="0"/>
          </reference>
          <reference field="13" count="1">
            <x v="8"/>
          </reference>
        </references>
      </pivotArea>
    </format>
    <format dxfId="4140">
      <pivotArea dataOnly="0" labelOnly="1" outline="0" fieldPosition="0">
        <references count="2">
          <reference field="0" count="1" selected="0">
            <x v="1"/>
          </reference>
          <reference field="13" count="1">
            <x v="6"/>
          </reference>
        </references>
      </pivotArea>
    </format>
    <format dxfId="4139">
      <pivotArea dataOnly="0" labelOnly="1" outline="0" fieldPosition="0">
        <references count="2">
          <reference field="0" count="1" selected="0">
            <x v="2"/>
          </reference>
          <reference field="13" count="1">
            <x v="3"/>
          </reference>
        </references>
      </pivotArea>
    </format>
    <format dxfId="4138">
      <pivotArea dataOnly="0" labelOnly="1" outline="0" fieldPosition="0">
        <references count="2">
          <reference field="0" count="1" selected="0">
            <x v="3"/>
          </reference>
          <reference field="13" count="1">
            <x v="7"/>
          </reference>
        </references>
      </pivotArea>
    </format>
    <format dxfId="4137">
      <pivotArea dataOnly="0" labelOnly="1" outline="0" fieldPosition="0">
        <references count="2">
          <reference field="0" count="1" selected="0">
            <x v="4"/>
          </reference>
          <reference field="13" count="3">
            <x v="19"/>
            <x v="23"/>
            <x v="24"/>
          </reference>
        </references>
      </pivotArea>
    </format>
    <format dxfId="4136">
      <pivotArea dataOnly="0" labelOnly="1" outline="0" fieldPosition="0">
        <references count="2">
          <reference field="0" count="1" selected="0">
            <x v="5"/>
          </reference>
          <reference field="13" count="6">
            <x v="0"/>
            <x v="1"/>
            <x v="2"/>
            <x v="4"/>
            <x v="11"/>
            <x v="16"/>
          </reference>
        </references>
      </pivotArea>
    </format>
    <format dxfId="4135">
      <pivotArea dataOnly="0" labelOnly="1" outline="0" fieldPosition="0">
        <references count="2">
          <reference field="0" count="1" selected="0">
            <x v="6"/>
          </reference>
          <reference field="13" count="1">
            <x v="13"/>
          </reference>
        </references>
      </pivotArea>
    </format>
    <format dxfId="4134">
      <pivotArea dataOnly="0" labelOnly="1" outline="0" fieldPosition="0">
        <references count="2">
          <reference field="0" count="1" selected="0">
            <x v="7"/>
          </reference>
          <reference field="13" count="1">
            <x v="18"/>
          </reference>
        </references>
      </pivotArea>
    </format>
    <format dxfId="4133">
      <pivotArea dataOnly="0" labelOnly="1" outline="0" fieldPosition="0">
        <references count="2">
          <reference field="0" count="1" selected="0">
            <x v="8"/>
          </reference>
          <reference field="13" count="1">
            <x v="17"/>
          </reference>
        </references>
      </pivotArea>
    </format>
    <format dxfId="4132">
      <pivotArea dataOnly="0" labelOnly="1" outline="0" fieldPosition="0">
        <references count="2">
          <reference field="0" count="1" selected="0">
            <x v="9"/>
          </reference>
          <reference field="13" count="1">
            <x v="9"/>
          </reference>
        </references>
      </pivotArea>
    </format>
    <format dxfId="4131">
      <pivotArea dataOnly="0" labelOnly="1" outline="0" fieldPosition="0">
        <references count="2">
          <reference field="0" count="1" selected="0">
            <x v="10"/>
          </reference>
          <reference field="13" count="1">
            <x v="5"/>
          </reference>
        </references>
      </pivotArea>
    </format>
    <format dxfId="4130">
      <pivotArea dataOnly="0" labelOnly="1" outline="0" fieldPosition="0">
        <references count="2">
          <reference field="0" count="1" selected="0">
            <x v="11"/>
          </reference>
          <reference field="13" count="1">
            <x v="12"/>
          </reference>
        </references>
      </pivotArea>
    </format>
    <format dxfId="4129">
      <pivotArea dataOnly="0" labelOnly="1" outline="0" fieldPosition="0">
        <references count="2">
          <reference field="0" count="1" selected="0">
            <x v="12"/>
          </reference>
          <reference field="13" count="2">
            <x v="22"/>
            <x v="25"/>
          </reference>
        </references>
      </pivotArea>
    </format>
    <format dxfId="4128">
      <pivotArea dataOnly="0" labelOnly="1" outline="0" fieldPosition="0">
        <references count="2">
          <reference field="0" count="1" selected="0">
            <x v="13"/>
          </reference>
          <reference field="13" count="1">
            <x v="20"/>
          </reference>
        </references>
      </pivotArea>
    </format>
    <format dxfId="4127">
      <pivotArea dataOnly="0" labelOnly="1" outline="0" fieldPosition="0">
        <references count="2">
          <reference field="0" count="1" selected="0">
            <x v="14"/>
          </reference>
          <reference field="13" count="1">
            <x v="10"/>
          </reference>
        </references>
      </pivotArea>
    </format>
    <format dxfId="4126">
      <pivotArea dataOnly="0" labelOnly="1" outline="0" fieldPosition="0">
        <references count="2">
          <reference field="0" count="1" selected="0">
            <x v="15"/>
          </reference>
          <reference field="13" count="2">
            <x v="15"/>
            <x v="21"/>
          </reference>
        </references>
      </pivotArea>
    </format>
    <format dxfId="4125">
      <pivotArea dataOnly="0" labelOnly="1" outline="0" fieldPosition="0">
        <references count="2">
          <reference field="0" count="1" selected="0">
            <x v="16"/>
          </reference>
          <reference field="13" count="1">
            <x v="14"/>
          </reference>
        </references>
      </pivotArea>
    </format>
    <format dxfId="4124">
      <pivotArea outline="0" collapsedLevelsAreSubtotals="1" fieldPosition="0"/>
    </format>
    <format dxfId="4123">
      <pivotArea dataOnly="0" labelOnly="1" outline="0" fieldPosition="0">
        <references count="1">
          <reference field="4294967294" count="2">
            <x v="0"/>
            <x v="1"/>
          </reference>
        </references>
      </pivotArea>
    </format>
    <format dxfId="4122">
      <pivotArea outline="0" collapsedLevelsAreSubtotals="1" fieldPosition="0">
        <references count="1">
          <reference field="4294967294" count="1" selected="0">
            <x v="1"/>
          </reference>
        </references>
      </pivotArea>
    </format>
    <format dxfId="4121">
      <pivotArea dataOnly="0" labelOnly="1" outline="0" fieldPosition="0">
        <references count="1">
          <reference field="4294967294" count="1">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00.xml.rels><?xml version="1.0" encoding="UTF-8" standalone="yes"?>
<Relationships xmlns="http://schemas.openxmlformats.org/package/2006/relationships"><Relationship Id="rId2" Type="http://schemas.openxmlformats.org/officeDocument/2006/relationships/drawing" Target="../drawings/drawing99.xml"/><Relationship Id="rId1" Type="http://schemas.openxmlformats.org/officeDocument/2006/relationships/printerSettings" Target="../printerSettings/printerSettings99.bin"/></Relationships>
</file>

<file path=xl/worksheets/_rels/sheet101.xml.rels><?xml version="1.0" encoding="UTF-8" standalone="yes"?>
<Relationships xmlns="http://schemas.openxmlformats.org/package/2006/relationships"><Relationship Id="rId2" Type="http://schemas.openxmlformats.org/officeDocument/2006/relationships/drawing" Target="../drawings/drawing100.xml"/><Relationship Id="rId1" Type="http://schemas.openxmlformats.org/officeDocument/2006/relationships/printerSettings" Target="../printerSettings/printerSettings100.bin"/></Relationships>
</file>

<file path=xl/worksheets/_rels/sheet102.xml.rels><?xml version="1.0" encoding="UTF-8" standalone="yes"?>
<Relationships xmlns="http://schemas.openxmlformats.org/package/2006/relationships"><Relationship Id="rId2" Type="http://schemas.openxmlformats.org/officeDocument/2006/relationships/drawing" Target="../drawings/drawing101.xml"/><Relationship Id="rId1" Type="http://schemas.openxmlformats.org/officeDocument/2006/relationships/printerSettings" Target="../printerSettings/printerSettings101.bin"/></Relationships>
</file>

<file path=xl/worksheets/_rels/sheet103.xml.rels><?xml version="1.0" encoding="UTF-8" standalone="yes"?>
<Relationships xmlns="http://schemas.openxmlformats.org/package/2006/relationships"><Relationship Id="rId2" Type="http://schemas.openxmlformats.org/officeDocument/2006/relationships/drawing" Target="../drawings/drawing102.xml"/><Relationship Id="rId1" Type="http://schemas.openxmlformats.org/officeDocument/2006/relationships/printerSettings" Target="../printerSettings/printerSettings102.bin"/></Relationships>
</file>

<file path=xl/worksheets/_rels/sheet104.xml.rels><?xml version="1.0" encoding="UTF-8" standalone="yes"?>
<Relationships xmlns="http://schemas.openxmlformats.org/package/2006/relationships"><Relationship Id="rId2" Type="http://schemas.openxmlformats.org/officeDocument/2006/relationships/drawing" Target="../drawings/drawing103.xml"/><Relationship Id="rId1" Type="http://schemas.openxmlformats.org/officeDocument/2006/relationships/printerSettings" Target="../printerSettings/printerSettings103.bin"/></Relationships>
</file>

<file path=xl/worksheets/_rels/sheet105.xml.rels><?xml version="1.0" encoding="UTF-8" standalone="yes"?>
<Relationships xmlns="http://schemas.openxmlformats.org/package/2006/relationships"><Relationship Id="rId2" Type="http://schemas.openxmlformats.org/officeDocument/2006/relationships/drawing" Target="../drawings/drawing104.xml"/><Relationship Id="rId1" Type="http://schemas.openxmlformats.org/officeDocument/2006/relationships/printerSettings" Target="../printerSettings/printerSettings104.bin"/></Relationships>
</file>

<file path=xl/worksheets/_rels/sheet106.xml.rels><?xml version="1.0" encoding="UTF-8" standalone="yes"?>
<Relationships xmlns="http://schemas.openxmlformats.org/package/2006/relationships"><Relationship Id="rId2" Type="http://schemas.openxmlformats.org/officeDocument/2006/relationships/drawing" Target="../drawings/drawing105.xml"/><Relationship Id="rId1" Type="http://schemas.openxmlformats.org/officeDocument/2006/relationships/printerSettings" Target="../printerSettings/printerSettings105.bin"/></Relationships>
</file>

<file path=xl/worksheets/_rels/sheet107.xml.rels><?xml version="1.0" encoding="UTF-8" standalone="yes"?>
<Relationships xmlns="http://schemas.openxmlformats.org/package/2006/relationships"><Relationship Id="rId2" Type="http://schemas.openxmlformats.org/officeDocument/2006/relationships/drawing" Target="../drawings/drawing106.xml"/><Relationship Id="rId1" Type="http://schemas.openxmlformats.org/officeDocument/2006/relationships/printerSettings" Target="../printerSettings/printerSettings106.bin"/></Relationships>
</file>

<file path=xl/worksheets/_rels/sheet108.xml.rels><?xml version="1.0" encoding="UTF-8" standalone="yes"?>
<Relationships xmlns="http://schemas.openxmlformats.org/package/2006/relationships"><Relationship Id="rId2" Type="http://schemas.openxmlformats.org/officeDocument/2006/relationships/drawing" Target="../drawings/drawing107.xml"/><Relationship Id="rId1" Type="http://schemas.openxmlformats.org/officeDocument/2006/relationships/printerSettings" Target="../printerSettings/printerSettings107.bin"/></Relationships>
</file>

<file path=xl/worksheets/_rels/sheet109.xml.rels><?xml version="1.0" encoding="UTF-8" standalone="yes"?>
<Relationships xmlns="http://schemas.openxmlformats.org/package/2006/relationships"><Relationship Id="rId2" Type="http://schemas.openxmlformats.org/officeDocument/2006/relationships/drawing" Target="../drawings/drawing108.xml"/><Relationship Id="rId1" Type="http://schemas.openxmlformats.org/officeDocument/2006/relationships/printerSettings" Target="../printerSettings/printerSettings10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0.xml.rels><?xml version="1.0" encoding="UTF-8" standalone="yes"?>
<Relationships xmlns="http://schemas.openxmlformats.org/package/2006/relationships"><Relationship Id="rId2" Type="http://schemas.openxmlformats.org/officeDocument/2006/relationships/drawing" Target="../drawings/drawing109.xml"/><Relationship Id="rId1" Type="http://schemas.openxmlformats.org/officeDocument/2006/relationships/printerSettings" Target="../printerSettings/printerSettings109.bin"/></Relationships>
</file>

<file path=xl/worksheets/_rels/sheet111.xml.rels><?xml version="1.0" encoding="UTF-8" standalone="yes"?>
<Relationships xmlns="http://schemas.openxmlformats.org/package/2006/relationships"><Relationship Id="rId2" Type="http://schemas.openxmlformats.org/officeDocument/2006/relationships/drawing" Target="../drawings/drawing110.xml"/><Relationship Id="rId1" Type="http://schemas.openxmlformats.org/officeDocument/2006/relationships/printerSettings" Target="../printerSettings/printerSettings110.bin"/></Relationships>
</file>

<file path=xl/worksheets/_rels/sheet112.xml.rels><?xml version="1.0" encoding="UTF-8" standalone="yes"?>
<Relationships xmlns="http://schemas.openxmlformats.org/package/2006/relationships"><Relationship Id="rId2" Type="http://schemas.openxmlformats.org/officeDocument/2006/relationships/drawing" Target="../drawings/drawing111.xml"/><Relationship Id="rId1" Type="http://schemas.openxmlformats.org/officeDocument/2006/relationships/printerSettings" Target="../printerSettings/printerSettings111.bin"/></Relationships>
</file>

<file path=xl/worksheets/_rels/sheet113.xml.rels><?xml version="1.0" encoding="UTF-8" standalone="yes"?>
<Relationships xmlns="http://schemas.openxmlformats.org/package/2006/relationships"><Relationship Id="rId2" Type="http://schemas.openxmlformats.org/officeDocument/2006/relationships/drawing" Target="../drawings/drawing112.xml"/><Relationship Id="rId1" Type="http://schemas.openxmlformats.org/officeDocument/2006/relationships/printerSettings" Target="../printerSettings/printerSettings112.bin"/></Relationships>
</file>

<file path=xl/worksheets/_rels/sheet114.xml.rels><?xml version="1.0" encoding="UTF-8" standalone="yes"?>
<Relationships xmlns="http://schemas.openxmlformats.org/package/2006/relationships"><Relationship Id="rId2" Type="http://schemas.openxmlformats.org/officeDocument/2006/relationships/drawing" Target="../drawings/drawing113.xml"/><Relationship Id="rId1" Type="http://schemas.openxmlformats.org/officeDocument/2006/relationships/printerSettings" Target="../printerSettings/printerSettings113.bin"/></Relationships>
</file>

<file path=xl/worksheets/_rels/sheet115.xml.rels><?xml version="1.0" encoding="UTF-8" standalone="yes"?>
<Relationships xmlns="http://schemas.openxmlformats.org/package/2006/relationships"><Relationship Id="rId2" Type="http://schemas.openxmlformats.org/officeDocument/2006/relationships/drawing" Target="../drawings/drawing114.xml"/><Relationship Id="rId1" Type="http://schemas.openxmlformats.org/officeDocument/2006/relationships/printerSettings" Target="../printerSettings/printerSettings114.bin"/></Relationships>
</file>

<file path=xl/worksheets/_rels/sheet116.xml.rels><?xml version="1.0" encoding="UTF-8" standalone="yes"?>
<Relationships xmlns="http://schemas.openxmlformats.org/package/2006/relationships"><Relationship Id="rId2" Type="http://schemas.openxmlformats.org/officeDocument/2006/relationships/drawing" Target="../drawings/drawing115.xml"/><Relationship Id="rId1" Type="http://schemas.openxmlformats.org/officeDocument/2006/relationships/printerSettings" Target="../printerSettings/printerSettings115.bin"/></Relationships>
</file>

<file path=xl/worksheets/_rels/sheet117.xml.rels><?xml version="1.0" encoding="UTF-8" standalone="yes"?>
<Relationships xmlns="http://schemas.openxmlformats.org/package/2006/relationships"><Relationship Id="rId2" Type="http://schemas.openxmlformats.org/officeDocument/2006/relationships/drawing" Target="../drawings/drawing116.xml"/><Relationship Id="rId1" Type="http://schemas.openxmlformats.org/officeDocument/2006/relationships/printerSettings" Target="../printerSettings/printerSettings116.bin"/></Relationships>
</file>

<file path=xl/worksheets/_rels/sheet118.xml.rels><?xml version="1.0" encoding="UTF-8" standalone="yes"?>
<Relationships xmlns="http://schemas.openxmlformats.org/package/2006/relationships"><Relationship Id="rId2" Type="http://schemas.openxmlformats.org/officeDocument/2006/relationships/drawing" Target="../drawings/drawing117.xml"/><Relationship Id="rId1" Type="http://schemas.openxmlformats.org/officeDocument/2006/relationships/printerSettings" Target="../printerSettings/printerSettings117.bin"/></Relationships>
</file>

<file path=xl/worksheets/_rels/sheet119.xml.rels><?xml version="1.0" encoding="UTF-8" standalone="yes"?>
<Relationships xmlns="http://schemas.openxmlformats.org/package/2006/relationships"><Relationship Id="rId2" Type="http://schemas.openxmlformats.org/officeDocument/2006/relationships/drawing" Target="../drawings/drawing118.xml"/><Relationship Id="rId1" Type="http://schemas.openxmlformats.org/officeDocument/2006/relationships/printerSettings" Target="../printerSettings/printerSettings118.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0.xml.rels><?xml version="1.0" encoding="UTF-8" standalone="yes"?>
<Relationships xmlns="http://schemas.openxmlformats.org/package/2006/relationships"><Relationship Id="rId2" Type="http://schemas.openxmlformats.org/officeDocument/2006/relationships/drawing" Target="../drawings/drawing119.xml"/><Relationship Id="rId1" Type="http://schemas.openxmlformats.org/officeDocument/2006/relationships/printerSettings" Target="../printerSettings/printerSettings119.bin"/></Relationships>
</file>

<file path=xl/worksheets/_rels/sheet121.xml.rels><?xml version="1.0" encoding="UTF-8" standalone="yes"?>
<Relationships xmlns="http://schemas.openxmlformats.org/package/2006/relationships"><Relationship Id="rId2" Type="http://schemas.openxmlformats.org/officeDocument/2006/relationships/drawing" Target="../drawings/drawing120.xml"/><Relationship Id="rId1" Type="http://schemas.openxmlformats.org/officeDocument/2006/relationships/printerSettings" Target="../printerSettings/printerSettings120.bin"/></Relationships>
</file>

<file path=xl/worksheets/_rels/sheet122.xml.rels><?xml version="1.0" encoding="UTF-8" standalone="yes"?>
<Relationships xmlns="http://schemas.openxmlformats.org/package/2006/relationships"><Relationship Id="rId2" Type="http://schemas.openxmlformats.org/officeDocument/2006/relationships/drawing" Target="../drawings/drawing121.xml"/><Relationship Id="rId1" Type="http://schemas.openxmlformats.org/officeDocument/2006/relationships/printerSettings" Target="../printerSettings/printerSettings121.bin"/></Relationships>
</file>

<file path=xl/worksheets/_rels/sheet123.xml.rels><?xml version="1.0" encoding="UTF-8" standalone="yes"?>
<Relationships xmlns="http://schemas.openxmlformats.org/package/2006/relationships"><Relationship Id="rId2" Type="http://schemas.openxmlformats.org/officeDocument/2006/relationships/drawing" Target="../drawings/drawing122.xml"/><Relationship Id="rId1" Type="http://schemas.openxmlformats.org/officeDocument/2006/relationships/printerSettings" Target="../printerSettings/printerSettings122.bin"/></Relationships>
</file>

<file path=xl/worksheets/_rels/sheet124.xml.rels><?xml version="1.0" encoding="UTF-8" standalone="yes"?>
<Relationships xmlns="http://schemas.openxmlformats.org/package/2006/relationships"><Relationship Id="rId2" Type="http://schemas.openxmlformats.org/officeDocument/2006/relationships/drawing" Target="../drawings/drawing123.xml"/><Relationship Id="rId1" Type="http://schemas.openxmlformats.org/officeDocument/2006/relationships/printerSettings" Target="../printerSettings/printerSettings123.bin"/></Relationships>
</file>

<file path=xl/worksheets/_rels/sheet125.xml.rels><?xml version="1.0" encoding="UTF-8" standalone="yes"?>
<Relationships xmlns="http://schemas.openxmlformats.org/package/2006/relationships"><Relationship Id="rId2" Type="http://schemas.openxmlformats.org/officeDocument/2006/relationships/drawing" Target="../drawings/drawing124.xml"/><Relationship Id="rId1" Type="http://schemas.openxmlformats.org/officeDocument/2006/relationships/printerSettings" Target="../printerSettings/printerSettings124.bin"/></Relationships>
</file>

<file path=xl/worksheets/_rels/sheet126.xml.rels><?xml version="1.0" encoding="UTF-8" standalone="yes"?>
<Relationships xmlns="http://schemas.openxmlformats.org/package/2006/relationships"><Relationship Id="rId2" Type="http://schemas.openxmlformats.org/officeDocument/2006/relationships/drawing" Target="../drawings/drawing125.xml"/><Relationship Id="rId1" Type="http://schemas.openxmlformats.org/officeDocument/2006/relationships/printerSettings" Target="../printerSettings/printerSettings125.bin"/></Relationships>
</file>

<file path=xl/worksheets/_rels/sheet127.xml.rels><?xml version="1.0" encoding="UTF-8" standalone="yes"?>
<Relationships xmlns="http://schemas.openxmlformats.org/package/2006/relationships"><Relationship Id="rId2" Type="http://schemas.openxmlformats.org/officeDocument/2006/relationships/drawing" Target="../drawings/drawing126.xml"/><Relationship Id="rId1" Type="http://schemas.openxmlformats.org/officeDocument/2006/relationships/printerSettings" Target="../printerSettings/printerSettings126.bin"/></Relationships>
</file>

<file path=xl/worksheets/_rels/sheet128.xml.rels><?xml version="1.0" encoding="UTF-8" standalone="yes"?>
<Relationships xmlns="http://schemas.openxmlformats.org/package/2006/relationships"><Relationship Id="rId2" Type="http://schemas.openxmlformats.org/officeDocument/2006/relationships/drawing" Target="../drawings/drawing127.xml"/><Relationship Id="rId1" Type="http://schemas.openxmlformats.org/officeDocument/2006/relationships/printerSettings" Target="../printerSettings/printerSettings127.bin"/></Relationships>
</file>

<file path=xl/worksheets/_rels/sheet129.xml.rels><?xml version="1.0" encoding="UTF-8" standalone="yes"?>
<Relationships xmlns="http://schemas.openxmlformats.org/package/2006/relationships"><Relationship Id="rId2" Type="http://schemas.openxmlformats.org/officeDocument/2006/relationships/drawing" Target="../drawings/drawing128.xml"/><Relationship Id="rId1" Type="http://schemas.openxmlformats.org/officeDocument/2006/relationships/printerSettings" Target="../printerSettings/printerSettings128.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0.xml.rels><?xml version="1.0" encoding="UTF-8" standalone="yes"?>
<Relationships xmlns="http://schemas.openxmlformats.org/package/2006/relationships"><Relationship Id="rId2" Type="http://schemas.openxmlformats.org/officeDocument/2006/relationships/drawing" Target="../drawings/drawing129.xml"/><Relationship Id="rId1" Type="http://schemas.openxmlformats.org/officeDocument/2006/relationships/printerSettings" Target="../printerSettings/printerSettings129.bin"/></Relationships>
</file>

<file path=xl/worksheets/_rels/sheet131.xml.rels><?xml version="1.0" encoding="UTF-8" standalone="yes"?>
<Relationships xmlns="http://schemas.openxmlformats.org/package/2006/relationships"><Relationship Id="rId2" Type="http://schemas.openxmlformats.org/officeDocument/2006/relationships/drawing" Target="../drawings/drawing130.xml"/><Relationship Id="rId1" Type="http://schemas.openxmlformats.org/officeDocument/2006/relationships/printerSettings" Target="../printerSettings/printerSettings130.bin"/></Relationships>
</file>

<file path=xl/worksheets/_rels/sheet132.xml.rels><?xml version="1.0" encoding="UTF-8" standalone="yes"?>
<Relationships xmlns="http://schemas.openxmlformats.org/package/2006/relationships"><Relationship Id="rId2" Type="http://schemas.openxmlformats.org/officeDocument/2006/relationships/drawing" Target="../drawings/drawing131.xml"/><Relationship Id="rId1" Type="http://schemas.openxmlformats.org/officeDocument/2006/relationships/printerSettings" Target="../printerSettings/printerSettings131.bin"/></Relationships>
</file>

<file path=xl/worksheets/_rels/sheet133.xml.rels><?xml version="1.0" encoding="UTF-8" standalone="yes"?>
<Relationships xmlns="http://schemas.openxmlformats.org/package/2006/relationships"><Relationship Id="rId2" Type="http://schemas.openxmlformats.org/officeDocument/2006/relationships/drawing" Target="../drawings/drawing132.xml"/><Relationship Id="rId1" Type="http://schemas.openxmlformats.org/officeDocument/2006/relationships/printerSettings" Target="../printerSettings/printerSettings132.bin"/></Relationships>
</file>

<file path=xl/worksheets/_rels/sheet134.xml.rels><?xml version="1.0" encoding="UTF-8" standalone="yes"?>
<Relationships xmlns="http://schemas.openxmlformats.org/package/2006/relationships"><Relationship Id="rId2" Type="http://schemas.openxmlformats.org/officeDocument/2006/relationships/drawing" Target="../drawings/drawing133.xml"/><Relationship Id="rId1" Type="http://schemas.openxmlformats.org/officeDocument/2006/relationships/printerSettings" Target="../printerSettings/printerSettings133.bin"/></Relationships>
</file>

<file path=xl/worksheets/_rels/sheet135.xml.rels><?xml version="1.0" encoding="UTF-8" standalone="yes"?>
<Relationships xmlns="http://schemas.openxmlformats.org/package/2006/relationships"><Relationship Id="rId2" Type="http://schemas.openxmlformats.org/officeDocument/2006/relationships/drawing" Target="../drawings/drawing134.xml"/><Relationship Id="rId1" Type="http://schemas.openxmlformats.org/officeDocument/2006/relationships/printerSettings" Target="../printerSettings/printerSettings134.bin"/></Relationships>
</file>

<file path=xl/worksheets/_rels/sheet136.xml.rels><?xml version="1.0" encoding="UTF-8" standalone="yes"?>
<Relationships xmlns="http://schemas.openxmlformats.org/package/2006/relationships"><Relationship Id="rId2" Type="http://schemas.openxmlformats.org/officeDocument/2006/relationships/drawing" Target="../drawings/drawing135.xml"/><Relationship Id="rId1" Type="http://schemas.openxmlformats.org/officeDocument/2006/relationships/printerSettings" Target="../printerSettings/printerSettings135.bin"/></Relationships>
</file>

<file path=xl/worksheets/_rels/sheet137.xml.rels><?xml version="1.0" encoding="UTF-8" standalone="yes"?>
<Relationships xmlns="http://schemas.openxmlformats.org/package/2006/relationships"><Relationship Id="rId2" Type="http://schemas.openxmlformats.org/officeDocument/2006/relationships/drawing" Target="../drawings/drawing136.xml"/><Relationship Id="rId1" Type="http://schemas.openxmlformats.org/officeDocument/2006/relationships/printerSettings" Target="../printerSettings/printerSettings136.bin"/></Relationships>
</file>

<file path=xl/worksheets/_rels/sheet138.xml.rels><?xml version="1.0" encoding="UTF-8" standalone="yes"?>
<Relationships xmlns="http://schemas.openxmlformats.org/package/2006/relationships"><Relationship Id="rId2" Type="http://schemas.openxmlformats.org/officeDocument/2006/relationships/drawing" Target="../drawings/drawing137.xml"/><Relationship Id="rId1" Type="http://schemas.openxmlformats.org/officeDocument/2006/relationships/printerSettings" Target="../printerSettings/printerSettings137.bin"/></Relationships>
</file>

<file path=xl/worksheets/_rels/sheet139.xml.rels><?xml version="1.0" encoding="UTF-8" standalone="yes"?>
<Relationships xmlns="http://schemas.openxmlformats.org/package/2006/relationships"><Relationship Id="rId2" Type="http://schemas.openxmlformats.org/officeDocument/2006/relationships/drawing" Target="../drawings/drawing138.xml"/><Relationship Id="rId1" Type="http://schemas.openxmlformats.org/officeDocument/2006/relationships/printerSettings" Target="../printerSettings/printerSettings138.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0.xml.rels><?xml version="1.0" encoding="UTF-8" standalone="yes"?>
<Relationships xmlns="http://schemas.openxmlformats.org/package/2006/relationships"><Relationship Id="rId2" Type="http://schemas.openxmlformats.org/officeDocument/2006/relationships/drawing" Target="../drawings/drawing139.xml"/><Relationship Id="rId1" Type="http://schemas.openxmlformats.org/officeDocument/2006/relationships/printerSettings" Target="../printerSettings/printerSettings139.bin"/></Relationships>
</file>

<file path=xl/worksheets/_rels/sheet141.xml.rels><?xml version="1.0" encoding="UTF-8" standalone="yes"?>
<Relationships xmlns="http://schemas.openxmlformats.org/package/2006/relationships"><Relationship Id="rId2" Type="http://schemas.openxmlformats.org/officeDocument/2006/relationships/drawing" Target="../drawings/drawing140.xml"/><Relationship Id="rId1" Type="http://schemas.openxmlformats.org/officeDocument/2006/relationships/printerSettings" Target="../printerSettings/printerSettings140.bin"/></Relationships>
</file>

<file path=xl/worksheets/_rels/sheet142.xml.rels><?xml version="1.0" encoding="UTF-8" standalone="yes"?>
<Relationships xmlns="http://schemas.openxmlformats.org/package/2006/relationships"><Relationship Id="rId2" Type="http://schemas.openxmlformats.org/officeDocument/2006/relationships/drawing" Target="../drawings/drawing141.xml"/><Relationship Id="rId1" Type="http://schemas.openxmlformats.org/officeDocument/2006/relationships/printerSettings" Target="../printerSettings/printerSettings141.bin"/></Relationships>
</file>

<file path=xl/worksheets/_rels/sheet143.xml.rels><?xml version="1.0" encoding="UTF-8" standalone="yes"?>
<Relationships xmlns="http://schemas.openxmlformats.org/package/2006/relationships"><Relationship Id="rId2" Type="http://schemas.openxmlformats.org/officeDocument/2006/relationships/drawing" Target="../drawings/drawing142.xml"/><Relationship Id="rId1" Type="http://schemas.openxmlformats.org/officeDocument/2006/relationships/printerSettings" Target="../printerSettings/printerSettings142.bin"/></Relationships>
</file>

<file path=xl/worksheets/_rels/sheet144.xml.rels><?xml version="1.0" encoding="UTF-8" standalone="yes"?>
<Relationships xmlns="http://schemas.openxmlformats.org/package/2006/relationships"><Relationship Id="rId2" Type="http://schemas.openxmlformats.org/officeDocument/2006/relationships/drawing" Target="../drawings/drawing143.xml"/><Relationship Id="rId1" Type="http://schemas.openxmlformats.org/officeDocument/2006/relationships/printerSettings" Target="../printerSettings/printerSettings143.bin"/></Relationships>
</file>

<file path=xl/worksheets/_rels/sheet145.xml.rels><?xml version="1.0" encoding="UTF-8" standalone="yes"?>
<Relationships xmlns="http://schemas.openxmlformats.org/package/2006/relationships"><Relationship Id="rId2" Type="http://schemas.openxmlformats.org/officeDocument/2006/relationships/drawing" Target="../drawings/drawing144.xml"/><Relationship Id="rId1" Type="http://schemas.openxmlformats.org/officeDocument/2006/relationships/printerSettings" Target="../printerSettings/printerSettings144.bin"/></Relationships>
</file>

<file path=xl/worksheets/_rels/sheet146.xml.rels><?xml version="1.0" encoding="UTF-8" standalone="yes"?>
<Relationships xmlns="http://schemas.openxmlformats.org/package/2006/relationships"><Relationship Id="rId2" Type="http://schemas.openxmlformats.org/officeDocument/2006/relationships/drawing" Target="../drawings/drawing145.xml"/><Relationship Id="rId1" Type="http://schemas.openxmlformats.org/officeDocument/2006/relationships/printerSettings" Target="../printerSettings/printerSettings145.bin"/></Relationships>
</file>

<file path=xl/worksheets/_rels/sheet147.xml.rels><?xml version="1.0" encoding="UTF-8" standalone="yes"?>
<Relationships xmlns="http://schemas.openxmlformats.org/package/2006/relationships"><Relationship Id="rId2" Type="http://schemas.openxmlformats.org/officeDocument/2006/relationships/drawing" Target="../drawings/drawing146.xml"/><Relationship Id="rId1" Type="http://schemas.openxmlformats.org/officeDocument/2006/relationships/printerSettings" Target="../printerSettings/printerSettings146.bin"/></Relationships>
</file>

<file path=xl/worksheets/_rels/sheet148.xml.rels><?xml version="1.0" encoding="UTF-8" standalone="yes"?>
<Relationships xmlns="http://schemas.openxmlformats.org/package/2006/relationships"><Relationship Id="rId2" Type="http://schemas.openxmlformats.org/officeDocument/2006/relationships/drawing" Target="../drawings/drawing147.xml"/><Relationship Id="rId1" Type="http://schemas.openxmlformats.org/officeDocument/2006/relationships/printerSettings" Target="../printerSettings/printerSettings147.bin"/></Relationships>
</file>

<file path=xl/worksheets/_rels/sheet149.xml.rels><?xml version="1.0" encoding="UTF-8" standalone="yes"?>
<Relationships xmlns="http://schemas.openxmlformats.org/package/2006/relationships"><Relationship Id="rId2" Type="http://schemas.openxmlformats.org/officeDocument/2006/relationships/drawing" Target="../drawings/drawing148.xml"/><Relationship Id="rId1" Type="http://schemas.openxmlformats.org/officeDocument/2006/relationships/printerSettings" Target="../printerSettings/printerSettings148.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0.xml.rels><?xml version="1.0" encoding="UTF-8" standalone="yes"?>
<Relationships xmlns="http://schemas.openxmlformats.org/package/2006/relationships"><Relationship Id="rId2" Type="http://schemas.openxmlformats.org/officeDocument/2006/relationships/drawing" Target="../drawings/drawing149.xml"/><Relationship Id="rId1" Type="http://schemas.openxmlformats.org/officeDocument/2006/relationships/printerSettings" Target="../printerSettings/printerSettings149.bin"/></Relationships>
</file>

<file path=xl/worksheets/_rels/sheet151.xml.rels><?xml version="1.0" encoding="UTF-8" standalone="yes"?>
<Relationships xmlns="http://schemas.openxmlformats.org/package/2006/relationships"><Relationship Id="rId2" Type="http://schemas.openxmlformats.org/officeDocument/2006/relationships/drawing" Target="../drawings/drawing150.xml"/><Relationship Id="rId1" Type="http://schemas.openxmlformats.org/officeDocument/2006/relationships/printerSettings" Target="../printerSettings/printerSettings150.bin"/></Relationships>
</file>

<file path=xl/worksheets/_rels/sheet152.xml.rels><?xml version="1.0" encoding="UTF-8" standalone="yes"?>
<Relationships xmlns="http://schemas.openxmlformats.org/package/2006/relationships"><Relationship Id="rId2" Type="http://schemas.openxmlformats.org/officeDocument/2006/relationships/drawing" Target="../drawings/drawing151.xml"/><Relationship Id="rId1" Type="http://schemas.openxmlformats.org/officeDocument/2006/relationships/printerSettings" Target="../printerSettings/printerSettings151.bin"/></Relationships>
</file>

<file path=xl/worksheets/_rels/sheet153.xml.rels><?xml version="1.0" encoding="UTF-8" standalone="yes"?>
<Relationships xmlns="http://schemas.openxmlformats.org/package/2006/relationships"><Relationship Id="rId2" Type="http://schemas.openxmlformats.org/officeDocument/2006/relationships/drawing" Target="../drawings/drawing152.xml"/><Relationship Id="rId1" Type="http://schemas.openxmlformats.org/officeDocument/2006/relationships/printerSettings" Target="../printerSettings/printerSettings152.bin"/></Relationships>
</file>

<file path=xl/worksheets/_rels/sheet154.xml.rels><?xml version="1.0" encoding="UTF-8" standalone="yes"?>
<Relationships xmlns="http://schemas.openxmlformats.org/package/2006/relationships"><Relationship Id="rId2" Type="http://schemas.openxmlformats.org/officeDocument/2006/relationships/drawing" Target="../drawings/drawing153.xml"/><Relationship Id="rId1" Type="http://schemas.openxmlformats.org/officeDocument/2006/relationships/printerSettings" Target="../printerSettings/printerSettings153.bin"/></Relationships>
</file>

<file path=xl/worksheets/_rels/sheet155.xml.rels><?xml version="1.0" encoding="UTF-8" standalone="yes"?>
<Relationships xmlns="http://schemas.openxmlformats.org/package/2006/relationships"><Relationship Id="rId2" Type="http://schemas.openxmlformats.org/officeDocument/2006/relationships/drawing" Target="../drawings/drawing154.xml"/><Relationship Id="rId1" Type="http://schemas.openxmlformats.org/officeDocument/2006/relationships/printerSettings" Target="../printerSettings/printerSettings154.bin"/></Relationships>
</file>

<file path=xl/worksheets/_rels/sheet156.xml.rels><?xml version="1.0" encoding="UTF-8" standalone="yes"?>
<Relationships xmlns="http://schemas.openxmlformats.org/package/2006/relationships"><Relationship Id="rId2" Type="http://schemas.openxmlformats.org/officeDocument/2006/relationships/drawing" Target="../drawings/drawing155.xml"/><Relationship Id="rId1" Type="http://schemas.openxmlformats.org/officeDocument/2006/relationships/printerSettings" Target="../printerSettings/printerSettings155.bin"/></Relationships>
</file>

<file path=xl/worksheets/_rels/sheet157.xml.rels><?xml version="1.0" encoding="UTF-8" standalone="yes"?>
<Relationships xmlns="http://schemas.openxmlformats.org/package/2006/relationships"><Relationship Id="rId2" Type="http://schemas.openxmlformats.org/officeDocument/2006/relationships/drawing" Target="../drawings/drawing156.xml"/><Relationship Id="rId1" Type="http://schemas.openxmlformats.org/officeDocument/2006/relationships/printerSettings" Target="../printerSettings/printerSettings156.bin"/></Relationships>
</file>

<file path=xl/worksheets/_rels/sheet158.xml.rels><?xml version="1.0" encoding="UTF-8" standalone="yes"?>
<Relationships xmlns="http://schemas.openxmlformats.org/package/2006/relationships"><Relationship Id="rId2" Type="http://schemas.openxmlformats.org/officeDocument/2006/relationships/drawing" Target="../drawings/drawing157.xml"/><Relationship Id="rId1" Type="http://schemas.openxmlformats.org/officeDocument/2006/relationships/printerSettings" Target="../printerSettings/printerSettings157.bin"/></Relationships>
</file>

<file path=xl/worksheets/_rels/sheet159.xml.rels><?xml version="1.0" encoding="UTF-8" standalone="yes"?>
<Relationships xmlns="http://schemas.openxmlformats.org/package/2006/relationships"><Relationship Id="rId2" Type="http://schemas.openxmlformats.org/officeDocument/2006/relationships/drawing" Target="../drawings/drawing158.xml"/><Relationship Id="rId1" Type="http://schemas.openxmlformats.org/officeDocument/2006/relationships/printerSettings" Target="../printerSettings/printerSettings158.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0.xml.rels><?xml version="1.0" encoding="UTF-8" standalone="yes"?>
<Relationships xmlns="http://schemas.openxmlformats.org/package/2006/relationships"><Relationship Id="rId2" Type="http://schemas.openxmlformats.org/officeDocument/2006/relationships/drawing" Target="../drawings/drawing159.xml"/><Relationship Id="rId1" Type="http://schemas.openxmlformats.org/officeDocument/2006/relationships/printerSettings" Target="../printerSettings/printerSettings159.bin"/></Relationships>
</file>

<file path=xl/worksheets/_rels/sheet161.xml.rels><?xml version="1.0" encoding="UTF-8" standalone="yes"?>
<Relationships xmlns="http://schemas.openxmlformats.org/package/2006/relationships"><Relationship Id="rId2" Type="http://schemas.openxmlformats.org/officeDocument/2006/relationships/drawing" Target="../drawings/drawing160.xml"/><Relationship Id="rId1" Type="http://schemas.openxmlformats.org/officeDocument/2006/relationships/printerSettings" Target="../printerSettings/printerSettings160.bin"/></Relationships>
</file>

<file path=xl/worksheets/_rels/sheet162.xml.rels><?xml version="1.0" encoding="UTF-8" standalone="yes"?>
<Relationships xmlns="http://schemas.openxmlformats.org/package/2006/relationships"><Relationship Id="rId2" Type="http://schemas.openxmlformats.org/officeDocument/2006/relationships/drawing" Target="../drawings/drawing161.xml"/><Relationship Id="rId1" Type="http://schemas.openxmlformats.org/officeDocument/2006/relationships/printerSettings" Target="../printerSettings/printerSettings161.bin"/></Relationships>
</file>

<file path=xl/worksheets/_rels/sheet163.xml.rels><?xml version="1.0" encoding="UTF-8" standalone="yes"?>
<Relationships xmlns="http://schemas.openxmlformats.org/package/2006/relationships"><Relationship Id="rId2" Type="http://schemas.openxmlformats.org/officeDocument/2006/relationships/drawing" Target="../drawings/drawing162.xml"/><Relationship Id="rId1" Type="http://schemas.openxmlformats.org/officeDocument/2006/relationships/printerSettings" Target="../printerSettings/printerSettings162.bin"/></Relationships>
</file>

<file path=xl/worksheets/_rels/sheet164.xml.rels><?xml version="1.0" encoding="UTF-8" standalone="yes"?>
<Relationships xmlns="http://schemas.openxmlformats.org/package/2006/relationships"><Relationship Id="rId2" Type="http://schemas.openxmlformats.org/officeDocument/2006/relationships/drawing" Target="../drawings/drawing163.xml"/><Relationship Id="rId1" Type="http://schemas.openxmlformats.org/officeDocument/2006/relationships/printerSettings" Target="../printerSettings/printerSettings163.bin"/></Relationships>
</file>

<file path=xl/worksheets/_rels/sheet165.xml.rels><?xml version="1.0" encoding="UTF-8" standalone="yes"?>
<Relationships xmlns="http://schemas.openxmlformats.org/package/2006/relationships"><Relationship Id="rId2" Type="http://schemas.openxmlformats.org/officeDocument/2006/relationships/drawing" Target="../drawings/drawing164.xml"/><Relationship Id="rId1" Type="http://schemas.openxmlformats.org/officeDocument/2006/relationships/printerSettings" Target="../printerSettings/printerSettings164.bin"/></Relationships>
</file>

<file path=xl/worksheets/_rels/sheet166.xml.rels><?xml version="1.0" encoding="UTF-8" standalone="yes"?>
<Relationships xmlns="http://schemas.openxmlformats.org/package/2006/relationships"><Relationship Id="rId2" Type="http://schemas.openxmlformats.org/officeDocument/2006/relationships/drawing" Target="../drawings/drawing165.xml"/><Relationship Id="rId1" Type="http://schemas.openxmlformats.org/officeDocument/2006/relationships/printerSettings" Target="../printerSettings/printerSettings165.bin"/></Relationships>
</file>

<file path=xl/worksheets/_rels/sheet167.xml.rels><?xml version="1.0" encoding="UTF-8" standalone="yes"?>
<Relationships xmlns="http://schemas.openxmlformats.org/package/2006/relationships"><Relationship Id="rId2" Type="http://schemas.openxmlformats.org/officeDocument/2006/relationships/drawing" Target="../drawings/drawing166.xml"/><Relationship Id="rId1" Type="http://schemas.openxmlformats.org/officeDocument/2006/relationships/printerSettings" Target="../printerSettings/printerSettings166.bin"/></Relationships>
</file>

<file path=xl/worksheets/_rels/sheet168.xml.rels><?xml version="1.0" encoding="UTF-8" standalone="yes"?>
<Relationships xmlns="http://schemas.openxmlformats.org/package/2006/relationships"><Relationship Id="rId2" Type="http://schemas.openxmlformats.org/officeDocument/2006/relationships/drawing" Target="../drawings/drawing167.xml"/><Relationship Id="rId1" Type="http://schemas.openxmlformats.org/officeDocument/2006/relationships/printerSettings" Target="../printerSettings/printerSettings167.bin"/></Relationships>
</file>

<file path=xl/worksheets/_rels/sheet169.xml.rels><?xml version="1.0" encoding="UTF-8" standalone="yes"?>
<Relationships xmlns="http://schemas.openxmlformats.org/package/2006/relationships"><Relationship Id="rId2" Type="http://schemas.openxmlformats.org/officeDocument/2006/relationships/drawing" Target="../drawings/drawing168.xml"/><Relationship Id="rId1" Type="http://schemas.openxmlformats.org/officeDocument/2006/relationships/printerSettings" Target="../printerSettings/printerSettings168.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0.xml.rels><?xml version="1.0" encoding="UTF-8" standalone="yes"?>
<Relationships xmlns="http://schemas.openxmlformats.org/package/2006/relationships"><Relationship Id="rId2" Type="http://schemas.openxmlformats.org/officeDocument/2006/relationships/drawing" Target="../drawings/drawing169.xml"/><Relationship Id="rId1" Type="http://schemas.openxmlformats.org/officeDocument/2006/relationships/printerSettings" Target="../printerSettings/printerSettings169.bin"/></Relationships>
</file>

<file path=xl/worksheets/_rels/sheet171.xml.rels><?xml version="1.0" encoding="UTF-8" standalone="yes"?>
<Relationships xmlns="http://schemas.openxmlformats.org/package/2006/relationships"><Relationship Id="rId2" Type="http://schemas.openxmlformats.org/officeDocument/2006/relationships/drawing" Target="../drawings/drawing170.xml"/><Relationship Id="rId1" Type="http://schemas.openxmlformats.org/officeDocument/2006/relationships/printerSettings" Target="../printerSettings/printerSettings170.bin"/></Relationships>
</file>

<file path=xl/worksheets/_rels/sheet172.xml.rels><?xml version="1.0" encoding="UTF-8" standalone="yes"?>
<Relationships xmlns="http://schemas.openxmlformats.org/package/2006/relationships"><Relationship Id="rId2" Type="http://schemas.openxmlformats.org/officeDocument/2006/relationships/drawing" Target="../drawings/drawing171.xml"/><Relationship Id="rId1" Type="http://schemas.openxmlformats.org/officeDocument/2006/relationships/printerSettings" Target="../printerSettings/printerSettings171.bin"/></Relationships>
</file>

<file path=xl/worksheets/_rels/sheet173.xml.rels><?xml version="1.0" encoding="UTF-8" standalone="yes"?>
<Relationships xmlns="http://schemas.openxmlformats.org/package/2006/relationships"><Relationship Id="rId2" Type="http://schemas.openxmlformats.org/officeDocument/2006/relationships/drawing" Target="../drawings/drawing172.xml"/><Relationship Id="rId1" Type="http://schemas.openxmlformats.org/officeDocument/2006/relationships/printerSettings" Target="../printerSettings/printerSettings172.bin"/></Relationships>
</file>

<file path=xl/worksheets/_rels/sheet174.xml.rels><?xml version="1.0" encoding="UTF-8" standalone="yes"?>
<Relationships xmlns="http://schemas.openxmlformats.org/package/2006/relationships"><Relationship Id="rId2" Type="http://schemas.openxmlformats.org/officeDocument/2006/relationships/drawing" Target="../drawings/drawing173.xml"/><Relationship Id="rId1" Type="http://schemas.openxmlformats.org/officeDocument/2006/relationships/printerSettings" Target="../printerSettings/printerSettings173.bin"/></Relationships>
</file>

<file path=xl/worksheets/_rels/sheet175.xml.rels><?xml version="1.0" encoding="UTF-8" standalone="yes"?>
<Relationships xmlns="http://schemas.openxmlformats.org/package/2006/relationships"><Relationship Id="rId2" Type="http://schemas.openxmlformats.org/officeDocument/2006/relationships/drawing" Target="../drawings/drawing174.xml"/><Relationship Id="rId1" Type="http://schemas.openxmlformats.org/officeDocument/2006/relationships/printerSettings" Target="../printerSettings/printerSettings174.bin"/></Relationships>
</file>

<file path=xl/worksheets/_rels/sheet176.xml.rels><?xml version="1.0" encoding="UTF-8" standalone="yes"?>
<Relationships xmlns="http://schemas.openxmlformats.org/package/2006/relationships"><Relationship Id="rId2" Type="http://schemas.openxmlformats.org/officeDocument/2006/relationships/drawing" Target="../drawings/drawing175.xml"/><Relationship Id="rId1" Type="http://schemas.openxmlformats.org/officeDocument/2006/relationships/printerSettings" Target="../printerSettings/printerSettings175.bin"/></Relationships>
</file>

<file path=xl/worksheets/_rels/sheet177.xml.rels><?xml version="1.0" encoding="UTF-8" standalone="yes"?>
<Relationships xmlns="http://schemas.openxmlformats.org/package/2006/relationships"><Relationship Id="rId2" Type="http://schemas.openxmlformats.org/officeDocument/2006/relationships/drawing" Target="../drawings/drawing176.xml"/><Relationship Id="rId1" Type="http://schemas.openxmlformats.org/officeDocument/2006/relationships/printerSettings" Target="../printerSettings/printerSettings176.bin"/></Relationships>
</file>

<file path=xl/worksheets/_rels/sheet178.xml.rels><?xml version="1.0" encoding="UTF-8" standalone="yes"?>
<Relationships xmlns="http://schemas.openxmlformats.org/package/2006/relationships"><Relationship Id="rId2" Type="http://schemas.openxmlformats.org/officeDocument/2006/relationships/drawing" Target="../drawings/drawing177.xml"/><Relationship Id="rId1" Type="http://schemas.openxmlformats.org/officeDocument/2006/relationships/printerSettings" Target="../printerSettings/printerSettings177.bin"/></Relationships>
</file>

<file path=xl/worksheets/_rels/sheet179.xml.rels><?xml version="1.0" encoding="UTF-8" standalone="yes"?>
<Relationships xmlns="http://schemas.openxmlformats.org/package/2006/relationships"><Relationship Id="rId2" Type="http://schemas.openxmlformats.org/officeDocument/2006/relationships/drawing" Target="../drawings/drawing178.xml"/><Relationship Id="rId1" Type="http://schemas.openxmlformats.org/officeDocument/2006/relationships/printerSettings" Target="../printerSettings/printerSettings178.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0.xml.rels><?xml version="1.0" encoding="UTF-8" standalone="yes"?>
<Relationships xmlns="http://schemas.openxmlformats.org/package/2006/relationships"><Relationship Id="rId2" Type="http://schemas.openxmlformats.org/officeDocument/2006/relationships/drawing" Target="../drawings/drawing179.xml"/><Relationship Id="rId1" Type="http://schemas.openxmlformats.org/officeDocument/2006/relationships/printerSettings" Target="../printerSettings/printerSettings179.bin"/></Relationships>
</file>

<file path=xl/worksheets/_rels/sheet181.xml.rels><?xml version="1.0" encoding="UTF-8" standalone="yes"?>
<Relationships xmlns="http://schemas.openxmlformats.org/package/2006/relationships"><Relationship Id="rId2" Type="http://schemas.openxmlformats.org/officeDocument/2006/relationships/drawing" Target="../drawings/drawing180.xml"/><Relationship Id="rId1" Type="http://schemas.openxmlformats.org/officeDocument/2006/relationships/printerSettings" Target="../printerSettings/printerSettings180.bin"/></Relationships>
</file>

<file path=xl/worksheets/_rels/sheet182.xml.rels><?xml version="1.0" encoding="UTF-8" standalone="yes"?>
<Relationships xmlns="http://schemas.openxmlformats.org/package/2006/relationships"><Relationship Id="rId2" Type="http://schemas.openxmlformats.org/officeDocument/2006/relationships/drawing" Target="../drawings/drawing181.xml"/><Relationship Id="rId1" Type="http://schemas.openxmlformats.org/officeDocument/2006/relationships/printerSettings" Target="../printerSettings/printerSettings181.bin"/></Relationships>
</file>

<file path=xl/worksheets/_rels/sheet183.xml.rels><?xml version="1.0" encoding="UTF-8" standalone="yes"?>
<Relationships xmlns="http://schemas.openxmlformats.org/package/2006/relationships"><Relationship Id="rId2" Type="http://schemas.openxmlformats.org/officeDocument/2006/relationships/drawing" Target="../drawings/drawing182.xml"/><Relationship Id="rId1" Type="http://schemas.openxmlformats.org/officeDocument/2006/relationships/printerSettings" Target="../printerSettings/printerSettings182.bin"/></Relationships>
</file>

<file path=xl/worksheets/_rels/sheet184.xml.rels><?xml version="1.0" encoding="UTF-8" standalone="yes"?>
<Relationships xmlns="http://schemas.openxmlformats.org/package/2006/relationships"><Relationship Id="rId2" Type="http://schemas.openxmlformats.org/officeDocument/2006/relationships/drawing" Target="../drawings/drawing183.xml"/><Relationship Id="rId1" Type="http://schemas.openxmlformats.org/officeDocument/2006/relationships/printerSettings" Target="../printerSettings/printerSettings183.bin"/></Relationships>
</file>

<file path=xl/worksheets/_rels/sheet185.xml.rels><?xml version="1.0" encoding="UTF-8" standalone="yes"?>
<Relationships xmlns="http://schemas.openxmlformats.org/package/2006/relationships"><Relationship Id="rId2" Type="http://schemas.openxmlformats.org/officeDocument/2006/relationships/drawing" Target="../drawings/drawing184.xml"/><Relationship Id="rId1" Type="http://schemas.openxmlformats.org/officeDocument/2006/relationships/printerSettings" Target="../printerSettings/printerSettings184.bin"/></Relationships>
</file>

<file path=xl/worksheets/_rels/sheet186.xml.rels><?xml version="1.0" encoding="UTF-8" standalone="yes"?>
<Relationships xmlns="http://schemas.openxmlformats.org/package/2006/relationships"><Relationship Id="rId2" Type="http://schemas.openxmlformats.org/officeDocument/2006/relationships/drawing" Target="../drawings/drawing185.xml"/><Relationship Id="rId1" Type="http://schemas.openxmlformats.org/officeDocument/2006/relationships/printerSettings" Target="../printerSettings/printerSettings185.bin"/></Relationships>
</file>

<file path=xl/worksheets/_rels/sheet187.xml.rels><?xml version="1.0" encoding="UTF-8" standalone="yes"?>
<Relationships xmlns="http://schemas.openxmlformats.org/package/2006/relationships"><Relationship Id="rId2" Type="http://schemas.openxmlformats.org/officeDocument/2006/relationships/drawing" Target="../drawings/drawing186.xml"/><Relationship Id="rId1" Type="http://schemas.openxmlformats.org/officeDocument/2006/relationships/printerSettings" Target="../printerSettings/printerSettings186.bin"/></Relationships>
</file>

<file path=xl/worksheets/_rels/sheet188.xml.rels><?xml version="1.0" encoding="UTF-8" standalone="yes"?>
<Relationships xmlns="http://schemas.openxmlformats.org/package/2006/relationships"><Relationship Id="rId2" Type="http://schemas.openxmlformats.org/officeDocument/2006/relationships/drawing" Target="../drawings/drawing187.xml"/><Relationship Id="rId1" Type="http://schemas.openxmlformats.org/officeDocument/2006/relationships/printerSettings" Target="../printerSettings/printerSettings187.bin"/></Relationships>
</file>

<file path=xl/worksheets/_rels/sheet189.xml.rels><?xml version="1.0" encoding="UTF-8" standalone="yes"?>
<Relationships xmlns="http://schemas.openxmlformats.org/package/2006/relationships"><Relationship Id="rId2" Type="http://schemas.openxmlformats.org/officeDocument/2006/relationships/drawing" Target="../drawings/drawing188.xml"/><Relationship Id="rId1" Type="http://schemas.openxmlformats.org/officeDocument/2006/relationships/printerSettings" Target="../printerSettings/printerSettings18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0.xml.rels><?xml version="1.0" encoding="UTF-8" standalone="yes"?>
<Relationships xmlns="http://schemas.openxmlformats.org/package/2006/relationships"><Relationship Id="rId2" Type="http://schemas.openxmlformats.org/officeDocument/2006/relationships/drawing" Target="../drawings/drawing189.xml"/><Relationship Id="rId1" Type="http://schemas.openxmlformats.org/officeDocument/2006/relationships/printerSettings" Target="../printerSettings/printerSettings189.bin"/></Relationships>
</file>

<file path=xl/worksheets/_rels/sheet191.xml.rels><?xml version="1.0" encoding="UTF-8" standalone="yes"?>
<Relationships xmlns="http://schemas.openxmlformats.org/package/2006/relationships"><Relationship Id="rId2" Type="http://schemas.openxmlformats.org/officeDocument/2006/relationships/drawing" Target="../drawings/drawing190.xml"/><Relationship Id="rId1" Type="http://schemas.openxmlformats.org/officeDocument/2006/relationships/printerSettings" Target="../printerSettings/printerSettings190.bin"/></Relationships>
</file>

<file path=xl/worksheets/_rels/sheet192.xml.rels><?xml version="1.0" encoding="UTF-8" standalone="yes"?>
<Relationships xmlns="http://schemas.openxmlformats.org/package/2006/relationships"><Relationship Id="rId2" Type="http://schemas.openxmlformats.org/officeDocument/2006/relationships/drawing" Target="../drawings/drawing191.xml"/><Relationship Id="rId1" Type="http://schemas.openxmlformats.org/officeDocument/2006/relationships/printerSettings" Target="../printerSettings/printerSettings191.bin"/></Relationships>
</file>

<file path=xl/worksheets/_rels/sheet193.xml.rels><?xml version="1.0" encoding="UTF-8" standalone="yes"?>
<Relationships xmlns="http://schemas.openxmlformats.org/package/2006/relationships"><Relationship Id="rId2" Type="http://schemas.openxmlformats.org/officeDocument/2006/relationships/drawing" Target="../drawings/drawing192.xml"/><Relationship Id="rId1" Type="http://schemas.openxmlformats.org/officeDocument/2006/relationships/printerSettings" Target="../printerSettings/printerSettings192.bin"/></Relationships>
</file>

<file path=xl/worksheets/_rels/sheet194.xml.rels><?xml version="1.0" encoding="UTF-8" standalone="yes"?>
<Relationships xmlns="http://schemas.openxmlformats.org/package/2006/relationships"><Relationship Id="rId2" Type="http://schemas.openxmlformats.org/officeDocument/2006/relationships/drawing" Target="../drawings/drawing193.xml"/><Relationship Id="rId1" Type="http://schemas.openxmlformats.org/officeDocument/2006/relationships/printerSettings" Target="../printerSettings/printerSettings193.bin"/></Relationships>
</file>

<file path=xl/worksheets/_rels/sheet195.xml.rels><?xml version="1.0" encoding="UTF-8" standalone="yes"?>
<Relationships xmlns="http://schemas.openxmlformats.org/package/2006/relationships"><Relationship Id="rId2" Type="http://schemas.openxmlformats.org/officeDocument/2006/relationships/drawing" Target="../drawings/drawing194.xml"/><Relationship Id="rId1" Type="http://schemas.openxmlformats.org/officeDocument/2006/relationships/printerSettings" Target="../printerSettings/printerSettings194.bin"/></Relationships>
</file>

<file path=xl/worksheets/_rels/sheet196.xml.rels><?xml version="1.0" encoding="UTF-8" standalone="yes"?>
<Relationships xmlns="http://schemas.openxmlformats.org/package/2006/relationships"><Relationship Id="rId2" Type="http://schemas.openxmlformats.org/officeDocument/2006/relationships/drawing" Target="../drawings/drawing195.xml"/><Relationship Id="rId1" Type="http://schemas.openxmlformats.org/officeDocument/2006/relationships/printerSettings" Target="../printerSettings/printerSettings195.bin"/></Relationships>
</file>

<file path=xl/worksheets/_rels/sheet197.xml.rels><?xml version="1.0" encoding="UTF-8" standalone="yes"?>
<Relationships xmlns="http://schemas.openxmlformats.org/package/2006/relationships"><Relationship Id="rId2" Type="http://schemas.openxmlformats.org/officeDocument/2006/relationships/drawing" Target="../drawings/drawing196.xml"/><Relationship Id="rId1" Type="http://schemas.openxmlformats.org/officeDocument/2006/relationships/printerSettings" Target="../printerSettings/printerSettings196.bin"/></Relationships>
</file>

<file path=xl/worksheets/_rels/sheet198.xml.rels><?xml version="1.0" encoding="UTF-8" standalone="yes"?>
<Relationships xmlns="http://schemas.openxmlformats.org/package/2006/relationships"><Relationship Id="rId2" Type="http://schemas.openxmlformats.org/officeDocument/2006/relationships/drawing" Target="../drawings/drawing197.xml"/><Relationship Id="rId1" Type="http://schemas.openxmlformats.org/officeDocument/2006/relationships/printerSettings" Target="../printerSettings/printerSettings197.bin"/></Relationships>
</file>

<file path=xl/worksheets/_rels/sheet199.xml.rels><?xml version="1.0" encoding="UTF-8" standalone="yes"?>
<Relationships xmlns="http://schemas.openxmlformats.org/package/2006/relationships"><Relationship Id="rId2" Type="http://schemas.openxmlformats.org/officeDocument/2006/relationships/drawing" Target="../drawings/drawing198.xml"/><Relationship Id="rId1" Type="http://schemas.openxmlformats.org/officeDocument/2006/relationships/printerSettings" Target="../printerSettings/printerSettings198.bin"/></Relationships>
</file>

<file path=xl/worksheets/_rels/sheet2.xml.rels><?xml version="1.0" encoding="UTF-8" standalone="yes"?>
<Relationships xmlns="http://schemas.openxmlformats.org/package/2006/relationships"><Relationship Id="rId8" Type="http://schemas.openxmlformats.org/officeDocument/2006/relationships/pivotTable" Target="../pivotTables/pivotTable8.xml"/><Relationship Id="rId13" Type="http://schemas.openxmlformats.org/officeDocument/2006/relationships/drawing" Target="../drawings/drawing2.xml"/><Relationship Id="rId3" Type="http://schemas.openxmlformats.org/officeDocument/2006/relationships/pivotTable" Target="../pivotTables/pivotTable3.xml"/><Relationship Id="rId7" Type="http://schemas.openxmlformats.org/officeDocument/2006/relationships/pivotTable" Target="../pivotTables/pivotTable7.xml"/><Relationship Id="rId12" Type="http://schemas.openxmlformats.org/officeDocument/2006/relationships/printerSettings" Target="../printerSettings/printerSettings2.bin"/><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ivotTable" Target="../pivotTables/pivotTable6.xml"/><Relationship Id="rId11" Type="http://schemas.openxmlformats.org/officeDocument/2006/relationships/pivotTable" Target="../pivotTables/pivotTable11.xml"/><Relationship Id="rId5" Type="http://schemas.openxmlformats.org/officeDocument/2006/relationships/pivotTable" Target="../pivotTables/pivotTable5.xml"/><Relationship Id="rId10" Type="http://schemas.openxmlformats.org/officeDocument/2006/relationships/pivotTable" Target="../pivotTables/pivotTable10.xml"/><Relationship Id="rId4" Type="http://schemas.openxmlformats.org/officeDocument/2006/relationships/pivotTable" Target="../pivotTables/pivotTable4.xml"/><Relationship Id="rId9" Type="http://schemas.openxmlformats.org/officeDocument/2006/relationships/pivotTable" Target="../pivotTables/pivotTable9.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00.xml.rels><?xml version="1.0" encoding="UTF-8" standalone="yes"?>
<Relationships xmlns="http://schemas.openxmlformats.org/package/2006/relationships"><Relationship Id="rId2" Type="http://schemas.openxmlformats.org/officeDocument/2006/relationships/drawing" Target="../drawings/drawing199.xml"/><Relationship Id="rId1" Type="http://schemas.openxmlformats.org/officeDocument/2006/relationships/printerSettings" Target="../printerSettings/printerSettings199.bin"/></Relationships>
</file>

<file path=xl/worksheets/_rels/sheet201.xml.rels><?xml version="1.0" encoding="UTF-8" standalone="yes"?>
<Relationships xmlns="http://schemas.openxmlformats.org/package/2006/relationships"><Relationship Id="rId2" Type="http://schemas.openxmlformats.org/officeDocument/2006/relationships/drawing" Target="../drawings/drawing200.xml"/><Relationship Id="rId1" Type="http://schemas.openxmlformats.org/officeDocument/2006/relationships/printerSettings" Target="../printerSettings/printerSettings200.bin"/></Relationships>
</file>

<file path=xl/worksheets/_rels/sheet202.xml.rels><?xml version="1.0" encoding="UTF-8" standalone="yes"?>
<Relationships xmlns="http://schemas.openxmlformats.org/package/2006/relationships"><Relationship Id="rId2" Type="http://schemas.openxmlformats.org/officeDocument/2006/relationships/drawing" Target="../drawings/drawing201.xml"/><Relationship Id="rId1" Type="http://schemas.openxmlformats.org/officeDocument/2006/relationships/printerSettings" Target="../printerSettings/printerSettings201.bin"/></Relationships>
</file>

<file path=xl/worksheets/_rels/sheet203.xml.rels><?xml version="1.0" encoding="UTF-8" standalone="yes"?>
<Relationships xmlns="http://schemas.openxmlformats.org/package/2006/relationships"><Relationship Id="rId2" Type="http://schemas.openxmlformats.org/officeDocument/2006/relationships/drawing" Target="../drawings/drawing202.xml"/><Relationship Id="rId1" Type="http://schemas.openxmlformats.org/officeDocument/2006/relationships/printerSettings" Target="../printerSettings/printerSettings202.bin"/></Relationships>
</file>

<file path=xl/worksheets/_rels/sheet204.xml.rels><?xml version="1.0" encoding="UTF-8" standalone="yes"?>
<Relationships xmlns="http://schemas.openxmlformats.org/package/2006/relationships"><Relationship Id="rId2" Type="http://schemas.openxmlformats.org/officeDocument/2006/relationships/drawing" Target="../drawings/drawing203.xml"/><Relationship Id="rId1" Type="http://schemas.openxmlformats.org/officeDocument/2006/relationships/printerSettings" Target="../printerSettings/printerSettings203.bin"/></Relationships>
</file>

<file path=xl/worksheets/_rels/sheet205.xml.rels><?xml version="1.0" encoding="UTF-8" standalone="yes"?>
<Relationships xmlns="http://schemas.openxmlformats.org/package/2006/relationships"><Relationship Id="rId2" Type="http://schemas.openxmlformats.org/officeDocument/2006/relationships/drawing" Target="../drawings/drawing204.xml"/><Relationship Id="rId1" Type="http://schemas.openxmlformats.org/officeDocument/2006/relationships/printerSettings" Target="../printerSettings/printerSettings204.bin"/></Relationships>
</file>

<file path=xl/worksheets/_rels/sheet206.xml.rels><?xml version="1.0" encoding="UTF-8" standalone="yes"?>
<Relationships xmlns="http://schemas.openxmlformats.org/package/2006/relationships"><Relationship Id="rId2" Type="http://schemas.openxmlformats.org/officeDocument/2006/relationships/drawing" Target="../drawings/drawing205.xml"/><Relationship Id="rId1" Type="http://schemas.openxmlformats.org/officeDocument/2006/relationships/printerSettings" Target="../printerSettings/printerSettings205.bin"/></Relationships>
</file>

<file path=xl/worksheets/_rels/sheet207.xml.rels><?xml version="1.0" encoding="UTF-8" standalone="yes"?>
<Relationships xmlns="http://schemas.openxmlformats.org/package/2006/relationships"><Relationship Id="rId2" Type="http://schemas.openxmlformats.org/officeDocument/2006/relationships/drawing" Target="../drawings/drawing206.xml"/><Relationship Id="rId1" Type="http://schemas.openxmlformats.org/officeDocument/2006/relationships/printerSettings" Target="../printerSettings/printerSettings206.bin"/></Relationships>
</file>

<file path=xl/worksheets/_rels/sheet208.xml.rels><?xml version="1.0" encoding="UTF-8" standalone="yes"?>
<Relationships xmlns="http://schemas.openxmlformats.org/package/2006/relationships"><Relationship Id="rId2" Type="http://schemas.openxmlformats.org/officeDocument/2006/relationships/drawing" Target="../drawings/drawing207.xml"/><Relationship Id="rId1" Type="http://schemas.openxmlformats.org/officeDocument/2006/relationships/printerSettings" Target="../printerSettings/printerSettings207.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bin"/><Relationship Id="rId3" Type="http://schemas.openxmlformats.org/officeDocument/2006/relationships/pivotTable" Target="../pivotTables/pivotTable14.xml"/><Relationship Id="rId7" Type="http://schemas.openxmlformats.org/officeDocument/2006/relationships/pivotTable" Target="../pivotTables/pivotTable18.xml"/><Relationship Id="rId2" Type="http://schemas.openxmlformats.org/officeDocument/2006/relationships/pivotTable" Target="../pivotTables/pivotTable13.xml"/><Relationship Id="rId1" Type="http://schemas.openxmlformats.org/officeDocument/2006/relationships/pivotTable" Target="../pivotTables/pivotTable12.xml"/><Relationship Id="rId6" Type="http://schemas.openxmlformats.org/officeDocument/2006/relationships/pivotTable" Target="../pivotTables/pivotTable17.xml"/><Relationship Id="rId5" Type="http://schemas.openxmlformats.org/officeDocument/2006/relationships/pivotTable" Target="../pivotTables/pivotTable16.xml"/><Relationship Id="rId4" Type="http://schemas.openxmlformats.org/officeDocument/2006/relationships/pivotTable" Target="../pivotTables/pivotTable15.xml"/><Relationship Id="rId9"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70.xml"/><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72.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73.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74.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printerSettings" Target="../printerSettings/printerSettings75.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76.xml"/><Relationship Id="rId1" Type="http://schemas.openxmlformats.org/officeDocument/2006/relationships/printerSettings" Target="../printerSettings/printerSettings76.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77.xml"/><Relationship Id="rId1" Type="http://schemas.openxmlformats.org/officeDocument/2006/relationships/printerSettings" Target="../printerSettings/printerSettings77.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78.xml"/><Relationship Id="rId1"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printerSettings" Target="../printerSettings/printerSettings79.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80.xml"/><Relationship Id="rId1" Type="http://schemas.openxmlformats.org/officeDocument/2006/relationships/printerSettings" Target="../printerSettings/printerSettings80.bin"/></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81.xml"/><Relationship Id="rId1" Type="http://schemas.openxmlformats.org/officeDocument/2006/relationships/printerSettings" Target="../printerSettings/printerSettings81.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82.xml"/><Relationship Id="rId1" Type="http://schemas.openxmlformats.org/officeDocument/2006/relationships/printerSettings" Target="../printerSettings/printerSettings82.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83.xml"/><Relationship Id="rId1" Type="http://schemas.openxmlformats.org/officeDocument/2006/relationships/printerSettings" Target="../printerSettings/printerSettings83.bin"/></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84.xml"/><Relationship Id="rId1" Type="http://schemas.openxmlformats.org/officeDocument/2006/relationships/printerSettings" Target="../printerSettings/printerSettings84.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85.xml"/><Relationship Id="rId1" Type="http://schemas.openxmlformats.org/officeDocument/2006/relationships/printerSettings" Target="../printerSettings/printerSettings85.bin"/></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86.xml"/><Relationship Id="rId1" Type="http://schemas.openxmlformats.org/officeDocument/2006/relationships/printerSettings" Target="../printerSettings/printerSettings86.bin"/></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87.xml"/><Relationship Id="rId1" Type="http://schemas.openxmlformats.org/officeDocument/2006/relationships/printerSettings" Target="../printerSettings/printerSettings87.bin"/></Relationships>
</file>

<file path=xl/worksheets/_rels/sheet89.xml.rels><?xml version="1.0" encoding="UTF-8" standalone="yes"?>
<Relationships xmlns="http://schemas.openxmlformats.org/package/2006/relationships"><Relationship Id="rId2" Type="http://schemas.openxmlformats.org/officeDocument/2006/relationships/drawing" Target="../drawings/drawing88.xml"/><Relationship Id="rId1" Type="http://schemas.openxmlformats.org/officeDocument/2006/relationships/printerSettings" Target="../printerSettings/printerSettings8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89.xml"/><Relationship Id="rId1" Type="http://schemas.openxmlformats.org/officeDocument/2006/relationships/printerSettings" Target="../printerSettings/printerSettings89.bin"/></Relationships>
</file>

<file path=xl/worksheets/_rels/sheet91.xml.rels><?xml version="1.0" encoding="UTF-8" standalone="yes"?>
<Relationships xmlns="http://schemas.openxmlformats.org/package/2006/relationships"><Relationship Id="rId2" Type="http://schemas.openxmlformats.org/officeDocument/2006/relationships/drawing" Target="../drawings/drawing90.xml"/><Relationship Id="rId1" Type="http://schemas.openxmlformats.org/officeDocument/2006/relationships/printerSettings" Target="../printerSettings/printerSettings90.bin"/></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91.xml"/><Relationship Id="rId1" Type="http://schemas.openxmlformats.org/officeDocument/2006/relationships/printerSettings" Target="../printerSettings/printerSettings91.bin"/></Relationships>
</file>

<file path=xl/worksheets/_rels/sheet93.xml.rels><?xml version="1.0" encoding="UTF-8" standalone="yes"?>
<Relationships xmlns="http://schemas.openxmlformats.org/package/2006/relationships"><Relationship Id="rId2" Type="http://schemas.openxmlformats.org/officeDocument/2006/relationships/drawing" Target="../drawings/drawing92.xml"/><Relationship Id="rId1" Type="http://schemas.openxmlformats.org/officeDocument/2006/relationships/printerSettings" Target="../printerSettings/printerSettings92.bin"/></Relationships>
</file>

<file path=xl/worksheets/_rels/sheet94.xml.rels><?xml version="1.0" encoding="UTF-8" standalone="yes"?>
<Relationships xmlns="http://schemas.openxmlformats.org/package/2006/relationships"><Relationship Id="rId2" Type="http://schemas.openxmlformats.org/officeDocument/2006/relationships/drawing" Target="../drawings/drawing93.xml"/><Relationship Id="rId1" Type="http://schemas.openxmlformats.org/officeDocument/2006/relationships/printerSettings" Target="../printerSettings/printerSettings93.bin"/></Relationships>
</file>

<file path=xl/worksheets/_rels/sheet95.xml.rels><?xml version="1.0" encoding="UTF-8" standalone="yes"?>
<Relationships xmlns="http://schemas.openxmlformats.org/package/2006/relationships"><Relationship Id="rId2" Type="http://schemas.openxmlformats.org/officeDocument/2006/relationships/drawing" Target="../drawings/drawing94.xml"/><Relationship Id="rId1" Type="http://schemas.openxmlformats.org/officeDocument/2006/relationships/printerSettings" Target="../printerSettings/printerSettings94.bin"/></Relationships>
</file>

<file path=xl/worksheets/_rels/sheet96.xml.rels><?xml version="1.0" encoding="UTF-8" standalone="yes"?>
<Relationships xmlns="http://schemas.openxmlformats.org/package/2006/relationships"><Relationship Id="rId2" Type="http://schemas.openxmlformats.org/officeDocument/2006/relationships/drawing" Target="../drawings/drawing95.xml"/><Relationship Id="rId1" Type="http://schemas.openxmlformats.org/officeDocument/2006/relationships/printerSettings" Target="../printerSettings/printerSettings95.bin"/></Relationships>
</file>

<file path=xl/worksheets/_rels/sheet97.xml.rels><?xml version="1.0" encoding="UTF-8" standalone="yes"?>
<Relationships xmlns="http://schemas.openxmlformats.org/package/2006/relationships"><Relationship Id="rId2" Type="http://schemas.openxmlformats.org/officeDocument/2006/relationships/drawing" Target="../drawings/drawing96.xml"/><Relationship Id="rId1" Type="http://schemas.openxmlformats.org/officeDocument/2006/relationships/printerSettings" Target="../printerSettings/printerSettings96.bin"/></Relationships>
</file>

<file path=xl/worksheets/_rels/sheet98.xml.rels><?xml version="1.0" encoding="UTF-8" standalone="yes"?>
<Relationships xmlns="http://schemas.openxmlformats.org/package/2006/relationships"><Relationship Id="rId2" Type="http://schemas.openxmlformats.org/officeDocument/2006/relationships/drawing" Target="../drawings/drawing97.xml"/><Relationship Id="rId1" Type="http://schemas.openxmlformats.org/officeDocument/2006/relationships/printerSettings" Target="../printerSettings/printerSettings97.bin"/></Relationships>
</file>

<file path=xl/worksheets/_rels/sheet99.xml.rels><?xml version="1.0" encoding="UTF-8" standalone="yes"?>
<Relationships xmlns="http://schemas.openxmlformats.org/package/2006/relationships"><Relationship Id="rId2" Type="http://schemas.openxmlformats.org/officeDocument/2006/relationships/drawing" Target="../drawings/drawing98.xml"/><Relationship Id="rId1" Type="http://schemas.openxmlformats.org/officeDocument/2006/relationships/printerSettings" Target="../printerSettings/printerSettings9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B1:AW284"/>
  <sheetViews>
    <sheetView tabSelected="1" workbookViewId="0">
      <pane xSplit="1" ySplit="3" topLeftCell="B4" activePane="bottomRight" state="frozen"/>
      <selection activeCell="I115" sqref="I115"/>
      <selection pane="topRight" activeCell="I115" sqref="I115"/>
      <selection pane="bottomLeft" activeCell="I115" sqref="I115"/>
      <selection pane="bottomRight" activeCell="K5" sqref="K5"/>
    </sheetView>
  </sheetViews>
  <sheetFormatPr baseColWidth="10" defaultRowHeight="12" x14ac:dyDescent="0.25"/>
  <cols>
    <col min="1" max="1" width="1.5703125" style="38" customWidth="1"/>
    <col min="2" max="2" width="13" style="38" customWidth="1"/>
    <col min="3" max="3" width="118.140625" style="42" customWidth="1"/>
    <col min="4" max="4" width="1" style="43" customWidth="1"/>
    <col min="5" max="5" width="4" style="43" customWidth="1"/>
    <col min="6" max="6" width="4.7109375" style="43" customWidth="1"/>
    <col min="7" max="9" width="4" style="43" customWidth="1"/>
    <col min="10" max="10" width="4.5703125" style="43" customWidth="1"/>
    <col min="11" max="31" width="11.42578125" style="38"/>
    <col min="32" max="49" width="11.42578125" style="39"/>
    <col min="50" max="16384" width="11.42578125" style="38"/>
  </cols>
  <sheetData>
    <row r="1" spans="2:49" x14ac:dyDescent="0.25">
      <c r="B1" s="317" t="s">
        <v>1664</v>
      </c>
      <c r="C1" s="317"/>
      <c r="D1" s="317"/>
      <c r="E1" s="317"/>
      <c r="F1" s="317"/>
      <c r="G1" s="317"/>
      <c r="H1" s="317"/>
      <c r="I1" s="317"/>
      <c r="J1" s="317"/>
      <c r="K1" s="318" t="s">
        <v>1665</v>
      </c>
      <c r="L1" s="318"/>
      <c r="M1" s="318"/>
    </row>
    <row r="2" spans="2:49" x14ac:dyDescent="0.25">
      <c r="B2" s="317"/>
      <c r="C2" s="317"/>
      <c r="D2" s="317"/>
      <c r="E2" s="317"/>
      <c r="F2" s="317"/>
      <c r="G2" s="317"/>
      <c r="H2" s="317"/>
      <c r="I2" s="317"/>
      <c r="J2" s="317"/>
      <c r="K2" s="318"/>
      <c r="L2" s="318"/>
      <c r="M2" s="318"/>
    </row>
    <row r="3" spans="2:49" x14ac:dyDescent="0.25">
      <c r="K3" s="318"/>
      <c r="L3" s="318"/>
      <c r="M3" s="318"/>
    </row>
    <row r="4" spans="2:49" ht="12.75" x14ac:dyDescent="0.25">
      <c r="B4" s="25" t="s">
        <v>109</v>
      </c>
      <c r="E4" s="44">
        <v>6</v>
      </c>
      <c r="F4" s="44">
        <v>7</v>
      </c>
      <c r="G4" s="44">
        <v>8</v>
      </c>
      <c r="H4" s="44">
        <v>9</v>
      </c>
      <c r="I4" s="44">
        <v>10</v>
      </c>
      <c r="J4" s="44">
        <v>11</v>
      </c>
    </row>
    <row r="5" spans="2:49" s="40" customFormat="1" ht="15" x14ac:dyDescent="0.25">
      <c r="B5" s="55" t="s">
        <v>110</v>
      </c>
      <c r="C5" s="56"/>
      <c r="D5" s="45"/>
      <c r="E5" s="316" t="s">
        <v>1563</v>
      </c>
      <c r="F5" s="316"/>
      <c r="G5" s="316"/>
      <c r="H5" s="316"/>
      <c r="I5" s="316"/>
      <c r="J5" s="316"/>
      <c r="AF5" s="41"/>
      <c r="AG5" s="41"/>
      <c r="AH5" s="41"/>
      <c r="AI5" s="41"/>
      <c r="AJ5" s="41"/>
      <c r="AK5" s="41"/>
      <c r="AL5" s="41"/>
      <c r="AM5" s="41"/>
      <c r="AN5" s="41"/>
      <c r="AO5" s="41"/>
      <c r="AP5" s="41"/>
      <c r="AQ5" s="41"/>
      <c r="AR5" s="41"/>
      <c r="AS5" s="41"/>
      <c r="AT5" s="41"/>
      <c r="AU5" s="41"/>
      <c r="AV5" s="41"/>
      <c r="AW5" s="41"/>
    </row>
    <row r="6" spans="2:49" ht="12.75" x14ac:dyDescent="0.25">
      <c r="B6" s="57" t="s">
        <v>111</v>
      </c>
      <c r="C6" s="58"/>
      <c r="E6" s="47" t="s">
        <v>1558</v>
      </c>
      <c r="F6" s="48" t="s">
        <v>1559</v>
      </c>
      <c r="G6" s="48" t="s">
        <v>1560</v>
      </c>
      <c r="H6" s="48" t="s">
        <v>1561</v>
      </c>
      <c r="I6" s="48" t="s">
        <v>1562</v>
      </c>
      <c r="J6" s="48" t="s">
        <v>1572</v>
      </c>
    </row>
    <row r="7" spans="2:49" x14ac:dyDescent="0.25">
      <c r="B7" s="63" t="s">
        <v>112</v>
      </c>
      <c r="C7" s="27" t="s">
        <v>113</v>
      </c>
      <c r="E7" s="49" t="str">
        <f>+IF(VLOOKUP($B7,tablero!$S$5:$AB$201,E$4,FALSE)=0,"",VLOOKUP($B7,tablero!$S$5:$AB$201,E$4,FALSE))</f>
        <v>x</v>
      </c>
      <c r="F7" s="49" t="str">
        <f>+IF(VLOOKUP($B7,tablero!$S$5:$AB$201,F$4,FALSE)=0,"",VLOOKUP($B7,tablero!$S$5:$AB$201,F$4,FALSE))</f>
        <v>x</v>
      </c>
      <c r="G7" s="49" t="str">
        <f>+IF(VLOOKUP($B7,tablero!$S$5:$AB$201,G$4,FALSE)=0,"",VLOOKUP($B7,tablero!$S$5:$AB$201,G$4,FALSE))</f>
        <v>x</v>
      </c>
      <c r="H7" s="49" t="str">
        <f>+IF(VLOOKUP($B7,tablero!$S$5:$AB$201,H$4,FALSE)=0,"",VLOOKUP($B7,tablero!$S$5:$AB$201,H$4,FALSE))</f>
        <v>x</v>
      </c>
      <c r="I7" s="49" t="str">
        <f>+IF(VLOOKUP($B7,tablero!$S$5:$AB$201,I$4,FALSE)=0,"",VLOOKUP($B7,tablero!$S$5:$AB$201,I$4,FALSE))</f>
        <v>x</v>
      </c>
      <c r="J7" s="49" t="str">
        <f>+IF(VLOOKUP($B7,tablero!$S$5:$AC$201,J$4,FALSE)=0,"",VLOOKUP($B7,tablero!$S$5:$AC$201,J$4,FALSE))</f>
        <v>x</v>
      </c>
    </row>
    <row r="8" spans="2:49" x14ac:dyDescent="0.25">
      <c r="B8" s="63" t="s">
        <v>114</v>
      </c>
      <c r="C8" s="27" t="s">
        <v>2180</v>
      </c>
      <c r="E8" s="49" t="str">
        <f>+IF(VLOOKUP($B8,tablero!$S$5:$AB$201,E$4,FALSE)=0,"",VLOOKUP($B8,tablero!$S$5:$AB$201,E$4,FALSE))</f>
        <v>x</v>
      </c>
      <c r="F8" s="49" t="str">
        <f>+IF(VLOOKUP($B8,tablero!$S$5:$AB$201,F$4,FALSE)=0,"",VLOOKUP($B8,tablero!$S$5:$AB$201,F$4,FALSE))</f>
        <v/>
      </c>
      <c r="G8" s="49" t="str">
        <f>+IF(VLOOKUP($B8,tablero!$S$5:$AB$201,G$4,FALSE)=0,"",VLOOKUP($B8,tablero!$S$5:$AB$201,G$4,FALSE))</f>
        <v/>
      </c>
      <c r="H8" s="49" t="str">
        <f>+IF(VLOOKUP($B8,tablero!$S$5:$AB$201,H$4,FALSE)=0,"",VLOOKUP($B8,tablero!$S$5:$AB$201,H$4,FALSE))</f>
        <v>x</v>
      </c>
      <c r="I8" s="49" t="str">
        <f>+IF(VLOOKUP($B8,tablero!$S$5:$AB$201,I$4,FALSE)=0,"",VLOOKUP($B8,tablero!$S$5:$AB$201,I$4,FALSE))</f>
        <v>x</v>
      </c>
      <c r="J8" s="49" t="str">
        <f>+IF(VLOOKUP($B8,tablero!$S$5:$AC$201,J$4,FALSE)=0,"",VLOOKUP($B8,tablero!$S$5:$AC$201,J$4,FALSE))</f>
        <v/>
      </c>
    </row>
    <row r="9" spans="2:49" ht="12" customHeight="1" x14ac:dyDescent="0.25">
      <c r="B9" s="63" t="s">
        <v>115</v>
      </c>
      <c r="C9" s="27" t="s">
        <v>116</v>
      </c>
      <c r="E9" s="49" t="str">
        <f>+IF(VLOOKUP($B9,tablero!$S$5:$AB$201,E$4,FALSE)=0,"",VLOOKUP($B9,tablero!$S$5:$AB$201,E$4,FALSE))</f>
        <v>x</v>
      </c>
      <c r="F9" s="49" t="str">
        <f>+IF(VLOOKUP($B9,tablero!$S$5:$AB$201,F$4,FALSE)=0,"",VLOOKUP($B9,tablero!$S$5:$AB$201,F$4,FALSE))</f>
        <v/>
      </c>
      <c r="G9" s="49" t="str">
        <f>+IF(VLOOKUP($B9,tablero!$S$5:$AB$201,G$4,FALSE)=0,"",VLOOKUP($B9,tablero!$S$5:$AB$201,G$4,FALSE))</f>
        <v/>
      </c>
      <c r="H9" s="49" t="str">
        <f>+IF(VLOOKUP($B9,tablero!$S$5:$AB$201,H$4,FALSE)=0,"",VLOOKUP($B9,tablero!$S$5:$AB$201,H$4,FALSE))</f>
        <v>x</v>
      </c>
      <c r="I9" s="49" t="str">
        <f>+IF(VLOOKUP($B9,tablero!$S$5:$AB$201,I$4,FALSE)=0,"",VLOOKUP($B9,tablero!$S$5:$AB$201,I$4,FALSE))</f>
        <v>x</v>
      </c>
      <c r="J9" s="49" t="str">
        <f>+IF(VLOOKUP($B9,tablero!$S$5:$AC$201,J$4,FALSE)=0,"",VLOOKUP($B9,tablero!$S$5:$AC$201,J$4,FALSE))</f>
        <v/>
      </c>
    </row>
    <row r="10" spans="2:49" x14ac:dyDescent="0.25">
      <c r="B10" s="63" t="s">
        <v>117</v>
      </c>
      <c r="C10" s="27" t="s">
        <v>118</v>
      </c>
      <c r="E10" s="49" t="str">
        <f>+IF(VLOOKUP($B10,tablero!$S$5:$AB$201,E$4,FALSE)=0,"",VLOOKUP($B10,tablero!$S$5:$AB$201,E$4,FALSE))</f>
        <v>x</v>
      </c>
      <c r="F10" s="49" t="str">
        <f>+IF(VLOOKUP($B10,tablero!$S$5:$AB$201,F$4,FALSE)=0,"",VLOOKUP($B10,tablero!$S$5:$AB$201,F$4,FALSE))</f>
        <v/>
      </c>
      <c r="G10" s="49" t="str">
        <f>+IF(VLOOKUP($B10,tablero!$S$5:$AB$201,G$4,FALSE)=0,"",VLOOKUP($B10,tablero!$S$5:$AB$201,G$4,FALSE))</f>
        <v/>
      </c>
      <c r="H10" s="49" t="str">
        <f>+IF(VLOOKUP($B10,tablero!$S$5:$AB$201,H$4,FALSE)=0,"",VLOOKUP($B10,tablero!$S$5:$AB$201,H$4,FALSE))</f>
        <v>x</v>
      </c>
      <c r="I10" s="49" t="str">
        <f>+IF(VLOOKUP($B10,tablero!$S$5:$AB$201,I$4,FALSE)=0,"",VLOOKUP($B10,tablero!$S$5:$AB$201,I$4,FALSE))</f>
        <v>x</v>
      </c>
      <c r="J10" s="49" t="str">
        <f>+IF(VLOOKUP($B10,tablero!$S$5:$AC$201,J$4,FALSE)=0,"",VLOOKUP($B10,tablero!$S$5:$AC$201,J$4,FALSE))</f>
        <v>x</v>
      </c>
    </row>
    <row r="11" spans="2:49" x14ac:dyDescent="0.25">
      <c r="B11" s="63" t="s">
        <v>119</v>
      </c>
      <c r="C11" s="27" t="s">
        <v>2100</v>
      </c>
      <c r="E11" s="49" t="str">
        <f>+IF(VLOOKUP($B11,tablero!$S$5:$AB$201,E$4,FALSE)=0,"",VLOOKUP($B11,tablero!$S$5:$AB$201,E$4,FALSE))</f>
        <v>x</v>
      </c>
      <c r="F11" s="49" t="str">
        <f>+IF(VLOOKUP($B11,tablero!$S$5:$AB$201,F$4,FALSE)=0,"",VLOOKUP($B11,tablero!$S$5:$AB$201,F$4,FALSE))</f>
        <v/>
      </c>
      <c r="G11" s="49" t="str">
        <f>+IF(VLOOKUP($B11,tablero!$S$5:$AB$201,G$4,FALSE)=0,"",VLOOKUP($B11,tablero!$S$5:$AB$201,G$4,FALSE))</f>
        <v/>
      </c>
      <c r="H11" s="49" t="str">
        <f>+IF(VLOOKUP($B11,tablero!$S$5:$AB$201,H$4,FALSE)=0,"",VLOOKUP($B11,tablero!$S$5:$AB$201,H$4,FALSE))</f>
        <v>x</v>
      </c>
      <c r="I11" s="49" t="str">
        <f>+IF(VLOOKUP($B11,tablero!$S$5:$AB$201,I$4,FALSE)=0,"",VLOOKUP($B11,tablero!$S$5:$AB$201,I$4,FALSE))</f>
        <v>x</v>
      </c>
      <c r="J11" s="49" t="str">
        <f>+IF(VLOOKUP($B11,tablero!$S$5:$AC$201,J$4,FALSE)=0,"",VLOOKUP($B11,tablero!$S$5:$AC$201,J$4,FALSE))</f>
        <v>x</v>
      </c>
    </row>
    <row r="12" spans="2:49" x14ac:dyDescent="0.25">
      <c r="B12" s="63" t="s">
        <v>120</v>
      </c>
      <c r="C12" s="27" t="s">
        <v>121</v>
      </c>
      <c r="E12" s="49" t="str">
        <f>+IF(VLOOKUP($B12,tablero!$S$5:$AB$201,E$4,FALSE)=0,"",VLOOKUP($B12,tablero!$S$5:$AB$201,E$4,FALSE))</f>
        <v>x</v>
      </c>
      <c r="F12" s="49" t="str">
        <f>+IF(VLOOKUP($B12,tablero!$S$5:$AB$201,F$4,FALSE)=0,"",VLOOKUP($B12,tablero!$S$5:$AB$201,F$4,FALSE))</f>
        <v/>
      </c>
      <c r="G12" s="49" t="str">
        <f>+IF(VLOOKUP($B12,tablero!$S$5:$AB$201,G$4,FALSE)=0,"",VLOOKUP($B12,tablero!$S$5:$AB$201,G$4,FALSE))</f>
        <v/>
      </c>
      <c r="H12" s="49" t="str">
        <f>+IF(VLOOKUP($B12,tablero!$S$5:$AB$201,H$4,FALSE)=0,"",VLOOKUP($B12,tablero!$S$5:$AB$201,H$4,FALSE))</f>
        <v>x</v>
      </c>
      <c r="I12" s="49" t="str">
        <f>+IF(VLOOKUP($B12,tablero!$S$5:$AB$201,I$4,FALSE)=0,"",VLOOKUP($B12,tablero!$S$5:$AB$201,I$4,FALSE))</f>
        <v>x</v>
      </c>
      <c r="J12" s="49" t="str">
        <f>+IF(VLOOKUP($B12,tablero!$S$5:$AC$201,J$4,FALSE)=0,"",VLOOKUP($B12,tablero!$S$5:$AC$201,J$4,FALSE))</f>
        <v/>
      </c>
    </row>
    <row r="13" spans="2:49" x14ac:dyDescent="0.25">
      <c r="B13" s="63" t="s">
        <v>122</v>
      </c>
      <c r="C13" s="27" t="s">
        <v>2097</v>
      </c>
      <c r="E13" s="49" t="str">
        <f>+IF(VLOOKUP($B13,tablero!$S$5:$AB$201,E$4,FALSE)=0,"",VLOOKUP($B13,tablero!$S$5:$AB$201,E$4,FALSE))</f>
        <v>x</v>
      </c>
      <c r="F13" s="49" t="str">
        <f>+IF(VLOOKUP($B13,tablero!$S$5:$AB$201,F$4,FALSE)=0,"",VLOOKUP($B13,tablero!$S$5:$AB$201,F$4,FALSE))</f>
        <v/>
      </c>
      <c r="G13" s="49" t="str">
        <f>+IF(VLOOKUP($B13,tablero!$S$5:$AB$201,G$4,FALSE)=0,"",VLOOKUP($B13,tablero!$S$5:$AB$201,G$4,FALSE))</f>
        <v/>
      </c>
      <c r="H13" s="49" t="str">
        <f>+IF(VLOOKUP($B13,tablero!$S$5:$AB$201,H$4,FALSE)=0,"",VLOOKUP($B13,tablero!$S$5:$AB$201,H$4,FALSE))</f>
        <v>x</v>
      </c>
      <c r="I13" s="49" t="str">
        <f>+IF(VLOOKUP($B13,tablero!$S$5:$AB$201,I$4,FALSE)=0,"",VLOOKUP($B13,tablero!$S$5:$AB$201,I$4,FALSE))</f>
        <v>x</v>
      </c>
      <c r="J13" s="49" t="str">
        <f>+IF(VLOOKUP($B13,tablero!$S$5:$AC$201,J$4,FALSE)=0,"",VLOOKUP($B13,tablero!$S$5:$AC$201,J$4,FALSE))</f>
        <v>x</v>
      </c>
    </row>
    <row r="14" spans="2:49" ht="13.5" customHeight="1" x14ac:dyDescent="0.25">
      <c r="B14" s="63" t="s">
        <v>123</v>
      </c>
      <c r="C14" s="27" t="s">
        <v>1906</v>
      </c>
      <c r="E14" s="49" t="str">
        <f>+IF(VLOOKUP($B14,tablero!$S$5:$AB$201,E$4,FALSE)=0,"",VLOOKUP($B14,tablero!$S$5:$AB$201,E$4,FALSE))</f>
        <v>x</v>
      </c>
      <c r="F14" s="49" t="str">
        <f>+IF(VLOOKUP($B14,tablero!$S$5:$AB$201,F$4,FALSE)=0,"",VLOOKUP($B14,tablero!$S$5:$AB$201,F$4,FALSE))</f>
        <v/>
      </c>
      <c r="G14" s="49" t="str">
        <f>+IF(VLOOKUP($B14,tablero!$S$5:$AB$201,G$4,FALSE)=0,"",VLOOKUP($B14,tablero!$S$5:$AB$201,G$4,FALSE))</f>
        <v/>
      </c>
      <c r="H14" s="49" t="str">
        <f>+IF(VLOOKUP($B14,tablero!$S$5:$AB$201,H$4,FALSE)=0,"",VLOOKUP($B14,tablero!$S$5:$AB$201,H$4,FALSE))</f>
        <v>x</v>
      </c>
      <c r="I14" s="49" t="str">
        <f>+IF(VLOOKUP($B14,tablero!$S$5:$AB$201,I$4,FALSE)=0,"",VLOOKUP($B14,tablero!$S$5:$AB$201,I$4,FALSE))</f>
        <v>x</v>
      </c>
      <c r="J14" s="49" t="str">
        <f>+IF(VLOOKUP($B14,tablero!$S$5:$AC$201,J$4,FALSE)=0,"",VLOOKUP($B14,tablero!$S$5:$AC$201,J$4,FALSE))</f>
        <v>x</v>
      </c>
    </row>
    <row r="15" spans="2:49" hidden="1" x14ac:dyDescent="0.25">
      <c r="B15" s="63" t="s">
        <v>124</v>
      </c>
      <c r="C15" s="27" t="s">
        <v>1666</v>
      </c>
      <c r="E15" s="49" t="e">
        <f>+IF(VLOOKUP($B15,tablero!$S$5:$AB$201,E$4,FALSE)=0,"",VLOOKUP($B15,tablero!$S$5:$AB$201,E$4,FALSE))</f>
        <v>#N/A</v>
      </c>
      <c r="F15" s="49" t="e">
        <f>+IF(VLOOKUP($B15,tablero!$S$5:$AB$201,F$4,FALSE)=0,"",VLOOKUP($B15,tablero!$S$5:$AB$201,F$4,FALSE))</f>
        <v>#N/A</v>
      </c>
      <c r="G15" s="49" t="e">
        <f>+IF(VLOOKUP($B15,tablero!$S$5:$AB$201,G$4,FALSE)=0,"",VLOOKUP($B15,tablero!$S$5:$AB$201,G$4,FALSE))</f>
        <v>#N/A</v>
      </c>
      <c r="H15" s="49" t="e">
        <f>+IF(VLOOKUP($B15,tablero!$S$5:$AB$201,H$4,FALSE)=0,"",VLOOKUP($B15,tablero!$S$5:$AB$201,H$4,FALSE))</f>
        <v>#N/A</v>
      </c>
      <c r="I15" s="49" t="e">
        <f>+IF(VLOOKUP($B15,tablero!$S$5:$AB$201,I$4,FALSE)=0,"",VLOOKUP($B15,tablero!$S$5:$AB$201,I$4,FALSE))</f>
        <v>#N/A</v>
      </c>
      <c r="J15" s="49" t="e">
        <f>+IF(VLOOKUP($B15,tablero!$S$5:$AC$201,J$4,FALSE)=0,"",VLOOKUP($B15,tablero!$S$5:$AC$201,J$4,FALSE))</f>
        <v>#N/A</v>
      </c>
    </row>
    <row r="16" spans="2:49" x14ac:dyDescent="0.25">
      <c r="B16" s="63" t="s">
        <v>125</v>
      </c>
      <c r="C16" s="27" t="s">
        <v>126</v>
      </c>
      <c r="E16" s="49" t="str">
        <f>+IF(VLOOKUP($B16,tablero!$S$5:$AB$201,E$4,FALSE)=0,"",VLOOKUP($B16,tablero!$S$5:$AB$201,E$4,FALSE))</f>
        <v>x</v>
      </c>
      <c r="F16" s="49" t="str">
        <f>+IF(VLOOKUP($B16,tablero!$S$5:$AB$201,F$4,FALSE)=0,"",VLOOKUP($B16,tablero!$S$5:$AB$201,F$4,FALSE))</f>
        <v>x</v>
      </c>
      <c r="G16" s="49" t="str">
        <f>+IF(VLOOKUP($B16,tablero!$S$5:$AB$201,G$4,FALSE)=0,"",VLOOKUP($B16,tablero!$S$5:$AB$201,G$4,FALSE))</f>
        <v/>
      </c>
      <c r="H16" s="49" t="str">
        <f>+IF(VLOOKUP($B16,tablero!$S$5:$AB$201,H$4,FALSE)=0,"",VLOOKUP($B16,tablero!$S$5:$AB$201,H$4,FALSE))</f>
        <v>x</v>
      </c>
      <c r="I16" s="49" t="str">
        <f>+IF(VLOOKUP($B16,tablero!$S$5:$AB$201,I$4,FALSE)=0,"",VLOOKUP($B16,tablero!$S$5:$AB$201,I$4,FALSE))</f>
        <v>x</v>
      </c>
      <c r="J16" s="49" t="str">
        <f>+IF(VLOOKUP($B16,tablero!$S$5:$AC$201,J$4,FALSE)=0,"",VLOOKUP($B16,tablero!$S$5:$AC$201,J$4,FALSE))</f>
        <v/>
      </c>
    </row>
    <row r="17" spans="2:49" x14ac:dyDescent="0.25">
      <c r="B17" s="63" t="s">
        <v>127</v>
      </c>
      <c r="C17" s="27" t="s">
        <v>128</v>
      </c>
      <c r="E17" s="49" t="str">
        <f>+IF(VLOOKUP($B17,tablero!$S$5:$AB$201,E$4,FALSE)=0,"",VLOOKUP($B17,tablero!$S$5:$AB$201,E$4,FALSE))</f>
        <v>x</v>
      </c>
      <c r="F17" s="49" t="str">
        <f>+IF(VLOOKUP($B17,tablero!$S$5:$AB$201,F$4,FALSE)=0,"",VLOOKUP($B17,tablero!$S$5:$AB$201,F$4,FALSE))</f>
        <v>x</v>
      </c>
      <c r="G17" s="49" t="s">
        <v>1564</v>
      </c>
      <c r="H17" s="49" t="str">
        <f>+IF(VLOOKUP($B17,tablero!$S$5:$AB$201,H$4,FALSE)=0,"",VLOOKUP($B17,tablero!$S$5:$AB$201,H$4,FALSE))</f>
        <v/>
      </c>
      <c r="I17" s="49" t="str">
        <f>+IF(VLOOKUP($B17,tablero!$S$5:$AB$201,I$4,FALSE)=0,"",VLOOKUP($B17,tablero!$S$5:$AB$201,I$4,FALSE))</f>
        <v/>
      </c>
      <c r="J17" s="49" t="str">
        <f>+IF(VLOOKUP($B17,tablero!$S$5:$AC$201,J$4,FALSE)=0,"",VLOOKUP($B17,tablero!$S$5:$AC$201,J$4,FALSE))</f>
        <v/>
      </c>
    </row>
    <row r="18" spans="2:49" x14ac:dyDescent="0.25">
      <c r="B18" s="63" t="s">
        <v>129</v>
      </c>
      <c r="C18" s="27" t="s">
        <v>2109</v>
      </c>
      <c r="E18" s="49" t="str">
        <f>+IF(VLOOKUP($B18,tablero!$S$5:$AB$201,E$4,FALSE)=0,"",VLOOKUP($B18,tablero!$S$5:$AB$201,E$4,FALSE))</f>
        <v>x</v>
      </c>
      <c r="F18" s="49" t="str">
        <f>+IF(VLOOKUP($B18,tablero!$S$5:$AB$201,F$4,FALSE)=0,"",VLOOKUP($B18,tablero!$S$5:$AB$201,F$4,FALSE))</f>
        <v>x</v>
      </c>
      <c r="G18" s="49" t="str">
        <f>+IF(VLOOKUP($B18,tablero!$S$5:$AB$201,G$4,FALSE)=0,"",VLOOKUP($B18,tablero!$S$5:$AB$201,G$4,FALSE))</f>
        <v/>
      </c>
      <c r="H18" s="49" t="str">
        <f>+IF(VLOOKUP($B18,tablero!$S$5:$AB$201,H$4,FALSE)=0,"",VLOOKUP($B18,tablero!$S$5:$AB$201,H$4,FALSE))</f>
        <v/>
      </c>
      <c r="I18" s="49" t="str">
        <f>+IF(VLOOKUP($B18,tablero!$S$5:$AB$201,I$4,FALSE)=0,"",VLOOKUP($B18,tablero!$S$5:$AB$201,I$4,FALSE))</f>
        <v/>
      </c>
      <c r="J18" s="49" t="str">
        <f>+IF(VLOOKUP($B18,tablero!$S$5:$AC$201,J$4,FALSE)=0,"",VLOOKUP($B18,tablero!$S$5:$AC$201,J$4,FALSE))</f>
        <v/>
      </c>
    </row>
    <row r="19" spans="2:49" x14ac:dyDescent="0.25">
      <c r="B19" s="63" t="s">
        <v>130</v>
      </c>
      <c r="C19" s="27" t="s">
        <v>131</v>
      </c>
      <c r="E19" s="49" t="str">
        <f>+IF(VLOOKUP($B19,tablero!$S$5:$AB$201,E$4,FALSE)=0,"",VLOOKUP($B19,tablero!$S$5:$AB$201,E$4,FALSE))</f>
        <v>x</v>
      </c>
      <c r="F19" s="49" t="str">
        <f>+IF(VLOOKUP($B19,tablero!$S$5:$AB$201,F$4,FALSE)=0,"",VLOOKUP($B19,tablero!$S$5:$AB$201,F$4,FALSE))</f>
        <v>x</v>
      </c>
      <c r="G19" s="49" t="str">
        <f>+IF(VLOOKUP($B19,tablero!$S$5:$AB$201,G$4,FALSE)=0,"",VLOOKUP($B19,tablero!$S$5:$AB$201,G$4,FALSE))</f>
        <v/>
      </c>
      <c r="H19" s="49" t="str">
        <f>+IF(VLOOKUP($B19,tablero!$S$5:$AB$201,H$4,FALSE)=0,"",VLOOKUP($B19,tablero!$S$5:$AB$201,H$4,FALSE))</f>
        <v/>
      </c>
      <c r="I19" s="49" t="str">
        <f>+IF(VLOOKUP($B19,tablero!$S$5:$AB$201,I$4,FALSE)=0,"",VLOOKUP($B19,tablero!$S$5:$AB$201,I$4,FALSE))</f>
        <v/>
      </c>
      <c r="J19" s="49" t="str">
        <f>+IF(VLOOKUP($B19,tablero!$S$5:$AC$201,J$4,FALSE)=0,"",VLOOKUP($B19,tablero!$S$5:$AC$201,J$4,FALSE))</f>
        <v/>
      </c>
    </row>
    <row r="20" spans="2:49" x14ac:dyDescent="0.25">
      <c r="B20" s="63" t="s">
        <v>132</v>
      </c>
      <c r="C20" s="27" t="s">
        <v>133</v>
      </c>
      <c r="E20" s="49" t="str">
        <f>+IF(VLOOKUP($B20,tablero!$S$5:$AB$201,E$4,FALSE)=0,"",VLOOKUP($B20,tablero!$S$5:$AB$201,E$4,FALSE))</f>
        <v>x</v>
      </c>
      <c r="F20" s="49" t="str">
        <f>+IF(VLOOKUP($B20,tablero!$S$5:$AB$201,F$4,FALSE)=0,"",VLOOKUP($B20,tablero!$S$5:$AB$201,F$4,FALSE))</f>
        <v>x</v>
      </c>
      <c r="G20" s="49" t="str">
        <f>+IF(VLOOKUP($B20,tablero!$S$5:$AB$201,G$4,FALSE)=0,"",VLOOKUP($B20,tablero!$S$5:$AB$201,G$4,FALSE))</f>
        <v/>
      </c>
      <c r="H20" s="49" t="str">
        <f>+IF(VLOOKUP($B20,tablero!$S$5:$AB$201,H$4,FALSE)=0,"",VLOOKUP($B20,tablero!$S$5:$AB$201,H$4,FALSE))</f>
        <v/>
      </c>
      <c r="I20" s="49" t="str">
        <f>+IF(VLOOKUP($B20,tablero!$S$5:$AB$201,I$4,FALSE)=0,"",VLOOKUP($B20,tablero!$S$5:$AB$201,I$4,FALSE))</f>
        <v/>
      </c>
      <c r="J20" s="49" t="str">
        <f>+IF(VLOOKUP($B20,tablero!$S$5:$AC$201,J$4,FALSE)=0,"",VLOOKUP($B20,tablero!$S$5:$AC$201,J$4,FALSE))</f>
        <v/>
      </c>
    </row>
    <row r="21" spans="2:49" x14ac:dyDescent="0.25">
      <c r="B21" s="63" t="s">
        <v>134</v>
      </c>
      <c r="C21" s="27" t="s">
        <v>135</v>
      </c>
      <c r="E21" s="49" t="str">
        <f>+IF(VLOOKUP($B21,tablero!$S$5:$AB$201,E$4,FALSE)=0,"",VLOOKUP($B21,tablero!$S$5:$AB$201,E$4,FALSE))</f>
        <v>x</v>
      </c>
      <c r="F21" s="49" t="str">
        <f>+IF(VLOOKUP($B21,tablero!$S$5:$AB$201,F$4,FALSE)=0,"",VLOOKUP($B21,tablero!$S$5:$AB$201,F$4,FALSE))</f>
        <v>x</v>
      </c>
      <c r="G21" s="49" t="str">
        <f>+IF(VLOOKUP($B21,tablero!$S$5:$AB$201,G$4,FALSE)=0,"",VLOOKUP($B21,tablero!$S$5:$AB$201,G$4,FALSE))</f>
        <v/>
      </c>
      <c r="H21" s="49" t="str">
        <f>+IF(VLOOKUP($B21,tablero!$S$5:$AB$201,H$4,FALSE)=0,"",VLOOKUP($B21,tablero!$S$5:$AB$201,H$4,FALSE))</f>
        <v/>
      </c>
      <c r="I21" s="49" t="str">
        <f>+IF(VLOOKUP($B21,tablero!$S$5:$AB$201,I$4,FALSE)=0,"",VLOOKUP($B21,tablero!$S$5:$AB$201,I$4,FALSE))</f>
        <v/>
      </c>
      <c r="J21" s="49" t="str">
        <f>+IF(VLOOKUP($B21,tablero!$S$5:$AC$201,J$4,FALSE)=0,"",VLOOKUP($B21,tablero!$S$5:$AC$201,J$4,FALSE))</f>
        <v/>
      </c>
    </row>
    <row r="22" spans="2:49" hidden="1" x14ac:dyDescent="0.25">
      <c r="B22" s="63" t="s">
        <v>136</v>
      </c>
      <c r="C22" s="306" t="s">
        <v>137</v>
      </c>
      <c r="E22" s="49" t="str">
        <f>+IF(VLOOKUP($B22,tablero!$S$5:$AB$201,E$4,FALSE)=0,"",VLOOKUP($B22,tablero!$S$5:$AB$201,E$4,FALSE))</f>
        <v>x</v>
      </c>
      <c r="F22" s="49" t="str">
        <f>+IF(VLOOKUP($B22,tablero!$S$5:$AB$201,F$4,FALSE)=0,"",VLOOKUP($B22,tablero!$S$5:$AB$201,F$4,FALSE))</f>
        <v>x</v>
      </c>
      <c r="G22" s="49" t="str">
        <f>+IF(VLOOKUP($B22,tablero!$S$5:$AB$201,G$4,FALSE)=0,"",VLOOKUP($B22,tablero!$S$5:$AB$201,G$4,FALSE))</f>
        <v/>
      </c>
      <c r="H22" s="49" t="str">
        <f>+IF(VLOOKUP($B22,tablero!$S$5:$AB$201,H$4,FALSE)=0,"",VLOOKUP($B22,tablero!$S$5:$AB$201,H$4,FALSE))</f>
        <v/>
      </c>
      <c r="I22" s="49" t="str">
        <f>+IF(VLOOKUP($B22,tablero!$S$5:$AB$201,I$4,FALSE)=0,"",VLOOKUP($B22,tablero!$S$5:$AB$201,I$4,FALSE))</f>
        <v/>
      </c>
      <c r="J22" s="49" t="str">
        <f>+IF(VLOOKUP($B22,tablero!$S$5:$AC$201,J$4,FALSE)=0,"",VLOOKUP($B22,tablero!$S$5:$AC$201,J$4,FALSE))</f>
        <v/>
      </c>
    </row>
    <row r="23" spans="2:49" x14ac:dyDescent="0.25">
      <c r="B23" s="63" t="s">
        <v>138</v>
      </c>
      <c r="C23" s="27" t="s">
        <v>139</v>
      </c>
      <c r="E23" s="49" t="str">
        <f>+IF(VLOOKUP($B23,tablero!$S$5:$AB$201,E$4,FALSE)=0,"",VLOOKUP($B23,tablero!$S$5:$AB$201,E$4,FALSE))</f>
        <v>x</v>
      </c>
      <c r="F23" s="49" t="str">
        <f>+IF(VLOOKUP($B23,tablero!$S$5:$AB$201,F$4,FALSE)=0,"",VLOOKUP($B23,tablero!$S$5:$AB$201,F$4,FALSE))</f>
        <v>x</v>
      </c>
      <c r="G23" s="49" t="s">
        <v>1564</v>
      </c>
      <c r="H23" s="49" t="str">
        <f>+IF(VLOOKUP($B23,tablero!$S$5:$AB$201,H$4,FALSE)=0,"",VLOOKUP($B23,tablero!$S$5:$AB$201,H$4,FALSE))</f>
        <v/>
      </c>
      <c r="I23" s="49" t="str">
        <f>+IF(VLOOKUP($B23,tablero!$S$5:$AB$201,I$4,FALSE)=0,"",VLOOKUP($B23,tablero!$S$5:$AB$201,I$4,FALSE))</f>
        <v/>
      </c>
      <c r="J23" s="49" t="str">
        <f>+IF(VLOOKUP($B23,tablero!$S$5:$AC$201,J$4,FALSE)=0,"",VLOOKUP($B23,tablero!$S$5:$AC$201,J$4,FALSE))</f>
        <v/>
      </c>
    </row>
    <row r="24" spans="2:49" x14ac:dyDescent="0.25">
      <c r="B24" s="63" t="s">
        <v>140</v>
      </c>
      <c r="C24" s="27" t="s">
        <v>141</v>
      </c>
      <c r="E24" s="49" t="str">
        <f>+IF(VLOOKUP($B24,tablero!$S$5:$AB$201,E$4,FALSE)=0,"",VLOOKUP($B24,tablero!$S$5:$AB$201,E$4,FALSE))</f>
        <v>x</v>
      </c>
      <c r="F24" s="49" t="str">
        <f>+IF(VLOOKUP($B24,tablero!$S$5:$AB$201,F$4,FALSE)=0,"",VLOOKUP($B24,tablero!$S$5:$AB$201,F$4,FALSE))</f>
        <v>x</v>
      </c>
      <c r="G24" s="49" t="s">
        <v>1564</v>
      </c>
      <c r="H24" s="49" t="str">
        <f>+IF(VLOOKUP($B24,tablero!$S$5:$AB$201,H$4,FALSE)=0,"",VLOOKUP($B24,tablero!$S$5:$AB$201,H$4,FALSE))</f>
        <v/>
      </c>
      <c r="I24" s="49" t="str">
        <f>+IF(VLOOKUP($B24,tablero!$S$5:$AB$201,I$4,FALSE)=0,"",VLOOKUP($B24,tablero!$S$5:$AB$201,I$4,FALSE))</f>
        <v/>
      </c>
      <c r="J24" s="49" t="str">
        <f>+IF(VLOOKUP($B24,tablero!$S$5:$AC$201,J$4,FALSE)=0,"",VLOOKUP($B24,tablero!$S$5:$AC$201,J$4,FALSE))</f>
        <v/>
      </c>
    </row>
    <row r="25" spans="2:49" x14ac:dyDescent="0.25">
      <c r="B25" s="63" t="s">
        <v>142</v>
      </c>
      <c r="C25" s="27" t="s">
        <v>143</v>
      </c>
      <c r="E25" s="49" t="str">
        <f>+IF(VLOOKUP($B25,tablero!$S$5:$AB$201,E$4,FALSE)=0,"",VLOOKUP($B25,tablero!$S$5:$AB$201,E$4,FALSE))</f>
        <v>x</v>
      </c>
      <c r="F25" s="49" t="str">
        <f>+IF(VLOOKUP($B25,tablero!$S$5:$AB$201,F$4,FALSE)=0,"",VLOOKUP($B25,tablero!$S$5:$AB$201,F$4,FALSE))</f>
        <v>x</v>
      </c>
      <c r="G25" s="49" t="str">
        <f>+IF(VLOOKUP($B25,tablero!$S$5:$AB$201,G$4,FALSE)=0,"",VLOOKUP($B25,tablero!$S$5:$AB$201,G$4,FALSE))</f>
        <v/>
      </c>
      <c r="H25" s="49" t="str">
        <f>+IF(VLOOKUP($B25,tablero!$S$5:$AB$201,H$4,FALSE)=0,"",VLOOKUP($B25,tablero!$S$5:$AB$201,H$4,FALSE))</f>
        <v/>
      </c>
      <c r="I25" s="49" t="str">
        <f>+IF(VLOOKUP($B25,tablero!$S$5:$AB$201,I$4,FALSE)=0,"",VLOOKUP($B25,tablero!$S$5:$AB$201,I$4,FALSE))</f>
        <v/>
      </c>
      <c r="J25" s="49" t="str">
        <f>+IF(VLOOKUP($B25,tablero!$S$5:$AC$201,J$4,FALSE)=0,"",VLOOKUP($B25,tablero!$S$5:$AC$201,J$4,FALSE))</f>
        <v/>
      </c>
    </row>
    <row r="26" spans="2:49" x14ac:dyDescent="0.25">
      <c r="B26" s="63" t="s">
        <v>1326</v>
      </c>
      <c r="C26" s="27" t="s">
        <v>1355</v>
      </c>
      <c r="E26" s="49" t="str">
        <f>+IF(VLOOKUP($B26,tablero!$S$5:$AB$201,E$4,FALSE)=0,"",VLOOKUP($B26,tablero!$S$5:$AB$201,E$4,FALSE))</f>
        <v>x</v>
      </c>
      <c r="F26" s="49" t="str">
        <f>+IF(VLOOKUP($B26,tablero!$S$5:$AB$201,F$4,FALSE)=0,"",VLOOKUP($B26,tablero!$S$5:$AB$201,F$4,FALSE))</f>
        <v/>
      </c>
      <c r="G26" s="49" t="str">
        <f>+IF(VLOOKUP($B26,tablero!$S$5:$AB$201,G$4,FALSE)=0,"",VLOOKUP($B26,tablero!$S$5:$AB$201,G$4,FALSE))</f>
        <v/>
      </c>
      <c r="H26" s="49" t="str">
        <f>+IF(VLOOKUP($B26,tablero!$S$5:$AB$201,H$4,FALSE)=0,"",VLOOKUP($B26,tablero!$S$5:$AB$201,H$4,FALSE))</f>
        <v/>
      </c>
      <c r="I26" s="49" t="str">
        <f>+IF(VLOOKUP($B26,tablero!$S$5:$AB$201,I$4,FALSE)=0,"",VLOOKUP($B26,tablero!$S$5:$AB$201,I$4,FALSE))</f>
        <v/>
      </c>
      <c r="J26" s="49" t="str">
        <f>+IF(VLOOKUP($B26,tablero!$S$5:$AC$201,J$4,FALSE)=0,"",VLOOKUP($B26,tablero!$S$5:$AC$201,J$4,FALSE))</f>
        <v/>
      </c>
    </row>
    <row r="27" spans="2:49" x14ac:dyDescent="0.25">
      <c r="B27" s="46"/>
    </row>
    <row r="28" spans="2:49" ht="12.75" x14ac:dyDescent="0.25">
      <c r="B28" s="25" t="s">
        <v>144</v>
      </c>
    </row>
    <row r="29" spans="2:49" s="40" customFormat="1" ht="15" x14ac:dyDescent="0.25">
      <c r="B29" s="51" t="s">
        <v>145</v>
      </c>
      <c r="C29" s="52"/>
      <c r="D29" s="45"/>
      <c r="E29" s="316" t="s">
        <v>1563</v>
      </c>
      <c r="F29" s="316"/>
      <c r="G29" s="316"/>
      <c r="H29" s="316"/>
      <c r="I29" s="316"/>
      <c r="J29" s="316"/>
      <c r="AF29" s="41"/>
      <c r="AG29" s="41"/>
      <c r="AH29" s="41"/>
      <c r="AI29" s="41"/>
      <c r="AJ29" s="41"/>
      <c r="AK29" s="41"/>
      <c r="AL29" s="41"/>
      <c r="AM29" s="41"/>
      <c r="AN29" s="41"/>
      <c r="AO29" s="41"/>
      <c r="AP29" s="41"/>
      <c r="AQ29" s="41"/>
      <c r="AR29" s="41"/>
      <c r="AS29" s="41"/>
      <c r="AT29" s="41"/>
      <c r="AU29" s="41"/>
      <c r="AV29" s="41"/>
      <c r="AW29" s="41"/>
    </row>
    <row r="30" spans="2:49" ht="12.75" x14ac:dyDescent="0.25">
      <c r="B30" s="53" t="s">
        <v>146</v>
      </c>
      <c r="C30" s="54"/>
      <c r="E30" s="47" t="s">
        <v>1558</v>
      </c>
      <c r="F30" s="48" t="s">
        <v>1559</v>
      </c>
      <c r="G30" s="48" t="s">
        <v>1560</v>
      </c>
      <c r="H30" s="48" t="s">
        <v>1561</v>
      </c>
      <c r="I30" s="48" t="s">
        <v>1562</v>
      </c>
      <c r="J30" s="48" t="s">
        <v>1572</v>
      </c>
    </row>
    <row r="31" spans="2:49" x14ac:dyDescent="0.25">
      <c r="B31" s="63" t="s">
        <v>147</v>
      </c>
      <c r="C31" s="27" t="s">
        <v>148</v>
      </c>
      <c r="E31" s="49" t="str">
        <f>+IF(VLOOKUP($B31,tablero!$S$5:$AB$201,E$4,FALSE)=0,"",VLOOKUP($B31,tablero!$S$5:$AB$201,E$4,FALSE))</f>
        <v>x</v>
      </c>
      <c r="F31" s="49" t="str">
        <f>+IF(VLOOKUP($B31,tablero!$S$5:$AB$201,F$4,FALSE)=0,"",VLOOKUP($B31,tablero!$S$5:$AB$201,F$4,FALSE))</f>
        <v/>
      </c>
      <c r="G31" s="49" t="str">
        <f>+IF(VLOOKUP($B31,tablero!$S$5:$AB$201,G$4,FALSE)=0,"",VLOOKUP($B31,tablero!$S$5:$AB$201,G$4,FALSE))</f>
        <v/>
      </c>
      <c r="H31" s="49" t="str">
        <f>+IF(VLOOKUP($B31,tablero!$S$5:$AB$201,H$4,FALSE)=0,"",VLOOKUP($B31,tablero!$S$5:$AB$201,H$4,FALSE))</f>
        <v>x</v>
      </c>
      <c r="I31" s="49" t="str">
        <f>+IF(VLOOKUP($B31,tablero!$S$5:$AB$201,I$4,FALSE)=0,"",VLOOKUP($B31,tablero!$S$5:$AB$201,I$4,FALSE))</f>
        <v>x</v>
      </c>
      <c r="J31" s="49" t="str">
        <f>+IF(VLOOKUP($B31,tablero!$S$5:$AC$201,J$4,FALSE)=0,"",VLOOKUP($B31,tablero!$S$5:$AC$201,J$4,FALSE))</f>
        <v/>
      </c>
    </row>
    <row r="32" spans="2:49" x14ac:dyDescent="0.25">
      <c r="B32" s="63" t="s">
        <v>149</v>
      </c>
      <c r="C32" s="27" t="s">
        <v>150</v>
      </c>
      <c r="E32" s="49" t="str">
        <f>+IF(VLOOKUP($B32,tablero!$S$5:$AB$201,E$4,FALSE)=0,"",VLOOKUP($B32,tablero!$S$5:$AB$201,E$4,FALSE))</f>
        <v>x</v>
      </c>
      <c r="F32" s="49" t="str">
        <f>+IF(VLOOKUP($B32,tablero!$S$5:$AB$201,F$4,FALSE)=0,"",VLOOKUP($B32,tablero!$S$5:$AB$201,F$4,FALSE))</f>
        <v/>
      </c>
      <c r="G32" s="49" t="str">
        <f>+IF(VLOOKUP($B32,tablero!$S$5:$AB$201,G$4,FALSE)=0,"",VLOOKUP($B32,tablero!$S$5:$AB$201,G$4,FALSE))</f>
        <v/>
      </c>
      <c r="H32" s="49" t="str">
        <f>+IF(VLOOKUP($B32,tablero!$S$5:$AB$201,H$4,FALSE)=0,"",VLOOKUP($B32,tablero!$S$5:$AB$201,H$4,FALSE))</f>
        <v>x</v>
      </c>
      <c r="I32" s="49" t="str">
        <f>+IF(VLOOKUP($B32,tablero!$S$5:$AB$201,I$4,FALSE)=0,"",VLOOKUP($B32,tablero!$S$5:$AB$201,I$4,FALSE))</f>
        <v>x</v>
      </c>
      <c r="J32" s="49" t="str">
        <f>+IF(VLOOKUP($B32,tablero!$S$5:$AC$201,J$4,FALSE)=0,"",VLOOKUP($B32,tablero!$S$5:$AC$201,J$4,FALSE))</f>
        <v/>
      </c>
    </row>
    <row r="33" spans="2:49" x14ac:dyDescent="0.25">
      <c r="B33" s="63" t="s">
        <v>151</v>
      </c>
      <c r="C33" s="27" t="s">
        <v>152</v>
      </c>
      <c r="E33" s="49" t="str">
        <f>+IF(VLOOKUP($B33,tablero!$S$5:$AB$201,E$4,FALSE)=0,"",VLOOKUP($B33,tablero!$S$5:$AB$201,E$4,FALSE))</f>
        <v>x</v>
      </c>
      <c r="F33" s="49" t="str">
        <f>+IF(VLOOKUP($B33,tablero!$S$5:$AB$201,F$4,FALSE)=0,"",VLOOKUP($B33,tablero!$S$5:$AB$201,F$4,FALSE))</f>
        <v/>
      </c>
      <c r="G33" s="49" t="str">
        <f>+IF(VLOOKUP($B33,tablero!$S$5:$AB$201,G$4,FALSE)=0,"",VLOOKUP($B33,tablero!$S$5:$AB$201,G$4,FALSE))</f>
        <v/>
      </c>
      <c r="H33" s="49" t="str">
        <f>+IF(VLOOKUP($B33,tablero!$S$5:$AB$201,H$4,FALSE)=0,"",VLOOKUP($B33,tablero!$S$5:$AB$201,H$4,FALSE))</f>
        <v>x</v>
      </c>
      <c r="I33" s="49" t="str">
        <f>+IF(VLOOKUP($B33,tablero!$S$5:$AB$201,I$4,FALSE)=0,"",VLOOKUP($B33,tablero!$S$5:$AB$201,I$4,FALSE))</f>
        <v>x</v>
      </c>
      <c r="J33" s="49" t="str">
        <f>+IF(VLOOKUP($B33,tablero!$S$5:$AC$201,J$4,FALSE)=0,"",VLOOKUP($B33,tablero!$S$5:$AC$201,J$4,FALSE))</f>
        <v/>
      </c>
    </row>
    <row r="34" spans="2:49" x14ac:dyDescent="0.25">
      <c r="B34" s="63" t="s">
        <v>153</v>
      </c>
      <c r="C34" s="27" t="s">
        <v>154</v>
      </c>
      <c r="E34" s="49" t="str">
        <f>+IF(VLOOKUP($B34,tablero!$S$5:$AB$201,E$4,FALSE)=0,"",VLOOKUP($B34,tablero!$S$5:$AB$201,E$4,FALSE))</f>
        <v>x</v>
      </c>
      <c r="F34" s="49" t="str">
        <f>+IF(VLOOKUP($B34,tablero!$S$5:$AB$201,F$4,FALSE)=0,"",VLOOKUP($B34,tablero!$S$5:$AB$201,F$4,FALSE))</f>
        <v/>
      </c>
      <c r="G34" s="49" t="str">
        <f>+IF(VLOOKUP($B34,tablero!$S$5:$AB$201,G$4,FALSE)=0,"",VLOOKUP($B34,tablero!$S$5:$AB$201,G$4,FALSE))</f>
        <v/>
      </c>
      <c r="H34" s="49" t="str">
        <f>+IF(VLOOKUP($B34,tablero!$S$5:$AB$201,H$4,FALSE)=0,"",VLOOKUP($B34,tablero!$S$5:$AB$201,H$4,FALSE))</f>
        <v>x</v>
      </c>
      <c r="I34" s="49" t="str">
        <f>+IF(VLOOKUP($B34,tablero!$S$5:$AB$201,I$4,FALSE)=0,"",VLOOKUP($B34,tablero!$S$5:$AB$201,I$4,FALSE))</f>
        <v>x</v>
      </c>
      <c r="J34" s="49" t="str">
        <f>+IF(VLOOKUP($B34,tablero!$S$5:$AC$201,J$4,FALSE)=0,"",VLOOKUP($B34,tablero!$S$5:$AC$201,J$4,FALSE))</f>
        <v>x</v>
      </c>
    </row>
    <row r="35" spans="2:49" ht="24" x14ac:dyDescent="0.25">
      <c r="B35" s="63" t="s">
        <v>155</v>
      </c>
      <c r="C35" s="27" t="s">
        <v>156</v>
      </c>
      <c r="E35" s="49" t="str">
        <f>+IF(VLOOKUP($B35,tablero!$S$5:$AB$201,E$4,FALSE)=0,"",VLOOKUP($B35,tablero!$S$5:$AB$201,E$4,FALSE))</f>
        <v>x</v>
      </c>
      <c r="F35" s="49" t="str">
        <f>+IF(VLOOKUP($B35,tablero!$S$5:$AB$201,F$4,FALSE)=0,"",VLOOKUP($B35,tablero!$S$5:$AB$201,F$4,FALSE))</f>
        <v>x</v>
      </c>
      <c r="G35" s="49" t="str">
        <f>+IF(VLOOKUP($B35,tablero!$S$5:$AB$201,G$4,FALSE)=0,"",VLOOKUP($B35,tablero!$S$5:$AB$201,G$4,FALSE))</f>
        <v/>
      </c>
      <c r="H35" s="49" t="str">
        <f>+IF(VLOOKUP($B35,tablero!$S$5:$AB$201,H$4,FALSE)=0,"",VLOOKUP($B35,tablero!$S$5:$AB$201,H$4,FALSE))</f>
        <v>x</v>
      </c>
      <c r="I35" s="49" t="str">
        <f>+IF(VLOOKUP($B35,tablero!$S$5:$AB$201,I$4,FALSE)=0,"",VLOOKUP($B35,tablero!$S$5:$AB$201,I$4,FALSE))</f>
        <v>x</v>
      </c>
      <c r="J35" s="49" t="str">
        <f>+IF(VLOOKUP($B35,tablero!$S$5:$AC$201,J$4,FALSE)=0,"",VLOOKUP($B35,tablero!$S$5:$AC$201,J$4,FALSE))</f>
        <v/>
      </c>
    </row>
    <row r="36" spans="2:49" x14ac:dyDescent="0.25">
      <c r="B36" s="63" t="s">
        <v>157</v>
      </c>
      <c r="C36" s="27" t="s">
        <v>158</v>
      </c>
      <c r="E36" s="49" t="str">
        <f>+IF(VLOOKUP($B36,tablero!$S$5:$AB$201,E$4,FALSE)=0,"",VLOOKUP($B36,tablero!$S$5:$AB$201,E$4,FALSE))</f>
        <v>x</v>
      </c>
      <c r="F36" s="49" t="str">
        <f>+IF(VLOOKUP($B36,tablero!$S$5:$AB$201,F$4,FALSE)=0,"",VLOOKUP($B36,tablero!$S$5:$AB$201,F$4,FALSE))</f>
        <v>x</v>
      </c>
      <c r="G36" s="49" t="s">
        <v>1564</v>
      </c>
      <c r="H36" s="49" t="str">
        <f>+IF(VLOOKUP($B36,tablero!$S$5:$AB$201,H$4,FALSE)=0,"",VLOOKUP($B36,tablero!$S$5:$AB$201,H$4,FALSE))</f>
        <v>x</v>
      </c>
      <c r="I36" s="49" t="str">
        <f>+IF(VLOOKUP($B36,tablero!$S$5:$AB$201,I$4,FALSE)=0,"",VLOOKUP($B36,tablero!$S$5:$AB$201,I$4,FALSE))</f>
        <v>x</v>
      </c>
      <c r="J36" s="49" t="str">
        <f>+IF(VLOOKUP($B36,tablero!$S$5:$AC$201,J$4,FALSE)=0,"",VLOOKUP($B36,tablero!$S$5:$AC$201,J$4,FALSE))</f>
        <v/>
      </c>
    </row>
    <row r="37" spans="2:49" ht="24" x14ac:dyDescent="0.25">
      <c r="B37" s="63" t="s">
        <v>159</v>
      </c>
      <c r="C37" s="27" t="s">
        <v>160</v>
      </c>
      <c r="E37" s="49" t="str">
        <f>+IF(VLOOKUP($B37,tablero!$S$5:$AB$201,E$4,FALSE)=0,"",VLOOKUP($B37,tablero!$S$5:$AB$201,E$4,FALSE))</f>
        <v>x</v>
      </c>
      <c r="F37" s="49" t="str">
        <f>+IF(VLOOKUP($B37,tablero!$S$5:$AB$201,F$4,FALSE)=0,"",VLOOKUP($B37,tablero!$S$5:$AB$201,F$4,FALSE))</f>
        <v/>
      </c>
      <c r="G37" s="49" t="str">
        <f>+IF(VLOOKUP($B37,tablero!$S$5:$AB$201,G$4,FALSE)=0,"",VLOOKUP($B37,tablero!$S$5:$AB$201,G$4,FALSE))</f>
        <v/>
      </c>
      <c r="H37" s="49" t="str">
        <f>+IF(VLOOKUP($B37,tablero!$S$5:$AB$201,H$4,FALSE)=0,"",VLOOKUP($B37,tablero!$S$5:$AB$201,H$4,FALSE))</f>
        <v>x</v>
      </c>
      <c r="I37" s="49" t="str">
        <f>+IF(VLOOKUP($B37,tablero!$S$5:$AB$201,I$4,FALSE)=0,"",VLOOKUP($B37,tablero!$S$5:$AB$201,I$4,FALSE))</f>
        <v>x</v>
      </c>
      <c r="J37" s="49" t="str">
        <f>+IF(VLOOKUP($B37,tablero!$S$5:$AC$201,J$4,FALSE)=0,"",VLOOKUP($B37,tablero!$S$5:$AC$201,J$4,FALSE))</f>
        <v/>
      </c>
    </row>
    <row r="38" spans="2:49" x14ac:dyDescent="0.25">
      <c r="B38" s="63" t="s">
        <v>161</v>
      </c>
      <c r="C38" s="27" t="s">
        <v>1581</v>
      </c>
      <c r="E38" s="49" t="str">
        <f>+IF(VLOOKUP($B38,tablero!$S$5:$AB$201,E$4,FALSE)=0,"",VLOOKUP($B38,tablero!$S$5:$AB$201,E$4,FALSE))</f>
        <v>x</v>
      </c>
      <c r="F38" s="49" t="str">
        <f>+IF(VLOOKUP($B38,tablero!$S$5:$AB$201,F$4,FALSE)=0,"",VLOOKUP($B38,tablero!$S$5:$AB$201,F$4,FALSE))</f>
        <v>x</v>
      </c>
      <c r="G38" s="49" t="str">
        <f>+IF(VLOOKUP($B38,tablero!$S$5:$AB$201,G$4,FALSE)=0,"",VLOOKUP($B38,tablero!$S$5:$AB$201,G$4,FALSE))</f>
        <v/>
      </c>
      <c r="H38" s="49" t="str">
        <f>+IF(VLOOKUP($B38,tablero!$S$5:$AB$201,H$4,FALSE)=0,"",VLOOKUP($B38,tablero!$S$5:$AB$201,H$4,FALSE))</f>
        <v/>
      </c>
      <c r="I38" s="49" t="str">
        <f>+IF(VLOOKUP($B38,tablero!$S$5:$AB$201,I$4,FALSE)=0,"",VLOOKUP($B38,tablero!$S$5:$AB$201,I$4,FALSE))</f>
        <v/>
      </c>
      <c r="J38" s="49" t="str">
        <f>+IF(VLOOKUP($B38,tablero!$S$5:$AC$201,J$4,FALSE)=0,"",VLOOKUP($B38,tablero!$S$5:$AC$201,J$4,FALSE))</f>
        <v/>
      </c>
    </row>
    <row r="39" spans="2:49" ht="24" x14ac:dyDescent="0.25">
      <c r="B39" s="63" t="s">
        <v>162</v>
      </c>
      <c r="C39" s="27" t="s">
        <v>163</v>
      </c>
      <c r="E39" s="49" t="str">
        <f>+IF(VLOOKUP($B39,tablero!$S$5:$AB$201,E$4,FALSE)=0,"",VLOOKUP($B39,tablero!$S$5:$AB$201,E$4,FALSE))</f>
        <v>x</v>
      </c>
      <c r="F39" s="49" t="str">
        <f>+IF(VLOOKUP($B39,tablero!$S$5:$AB$201,F$4,FALSE)=0,"",VLOOKUP($B39,tablero!$S$5:$AB$201,F$4,FALSE))</f>
        <v>x</v>
      </c>
      <c r="G39" s="49"/>
      <c r="H39" s="49" t="str">
        <f>+IF(VLOOKUP($B39,tablero!$S$5:$AB$201,H$4,FALSE)=0,"",VLOOKUP($B39,tablero!$S$5:$AB$201,H$4,FALSE))</f>
        <v/>
      </c>
      <c r="I39" s="49" t="str">
        <f>+IF(VLOOKUP($B39,tablero!$S$5:$AB$201,I$4,FALSE)=0,"",VLOOKUP($B39,tablero!$S$5:$AB$201,I$4,FALSE))</f>
        <v/>
      </c>
      <c r="J39" s="49" t="str">
        <f>+IF(VLOOKUP($B39,tablero!$S$5:$AC$201,J$4,FALSE)=0,"",VLOOKUP($B39,tablero!$S$5:$AC$201,J$4,FALSE))</f>
        <v/>
      </c>
    </row>
    <row r="40" spans="2:49" x14ac:dyDescent="0.25">
      <c r="B40" s="63" t="s">
        <v>164</v>
      </c>
      <c r="C40" s="27" t="s">
        <v>165</v>
      </c>
      <c r="E40" s="49" t="str">
        <f>+IF(VLOOKUP($B40,tablero!$S$5:$AB$201,E$4,FALSE)=0,"",VLOOKUP($B40,tablero!$S$5:$AB$201,E$4,FALSE))</f>
        <v>x</v>
      </c>
      <c r="F40" s="49" t="str">
        <f>+IF(VLOOKUP($B40,tablero!$S$5:$AB$201,F$4,FALSE)=0,"",VLOOKUP($B40,tablero!$S$5:$AB$201,F$4,FALSE))</f>
        <v>x</v>
      </c>
      <c r="G40" s="49" t="str">
        <f>+IF(VLOOKUP($B40,tablero!$S$5:$AB$201,G$4,FALSE)=0,"",VLOOKUP($B40,tablero!$S$5:$AB$201,G$4,FALSE))</f>
        <v/>
      </c>
      <c r="H40" s="49" t="str">
        <f>+IF(VLOOKUP($B40,tablero!$S$5:$AB$201,H$4,FALSE)=0,"",VLOOKUP($B40,tablero!$S$5:$AB$201,H$4,FALSE))</f>
        <v/>
      </c>
      <c r="I40" s="49" t="str">
        <f>+IF(VLOOKUP($B40,tablero!$S$5:$AB$201,I$4,FALSE)=0,"",VLOOKUP($B40,tablero!$S$5:$AB$201,I$4,FALSE))</f>
        <v/>
      </c>
      <c r="J40" s="49" t="str">
        <f>+IF(VLOOKUP($B40,tablero!$S$5:$AC$201,J$4,FALSE)=0,"",VLOOKUP($B40,tablero!$S$5:$AC$201,J$4,FALSE))</f>
        <v/>
      </c>
    </row>
    <row r="41" spans="2:49" ht="24" x14ac:dyDescent="0.25">
      <c r="B41" s="63" t="s">
        <v>166</v>
      </c>
      <c r="C41" s="27" t="s">
        <v>167</v>
      </c>
      <c r="E41" s="49" t="str">
        <f>+IF(VLOOKUP($B41,tablero!$S$5:$AB$201,E$4,FALSE)=0,"",VLOOKUP($B41,tablero!$S$5:$AB$201,E$4,FALSE))</f>
        <v>x</v>
      </c>
      <c r="F41" s="49" t="str">
        <f>+IF(VLOOKUP($B41,tablero!$S$5:$AB$201,F$4,FALSE)=0,"",VLOOKUP($B41,tablero!$S$5:$AB$201,F$4,FALSE))</f>
        <v>x</v>
      </c>
      <c r="G41" s="49" t="str">
        <f>+IF(VLOOKUP($B41,tablero!$S$5:$AB$201,G$4,FALSE)=0,"",VLOOKUP($B41,tablero!$S$5:$AB$201,G$4,FALSE))</f>
        <v/>
      </c>
      <c r="H41" s="49" t="str">
        <f>+IF(VLOOKUP($B41,tablero!$S$5:$AB$201,H$4,FALSE)=0,"",VLOOKUP($B41,tablero!$S$5:$AB$201,H$4,FALSE))</f>
        <v/>
      </c>
      <c r="I41" s="49" t="str">
        <f>+IF(VLOOKUP($B41,tablero!$S$5:$AB$201,I$4,FALSE)=0,"",VLOOKUP($B41,tablero!$S$5:$AB$201,I$4,FALSE))</f>
        <v/>
      </c>
      <c r="J41" s="49" t="str">
        <f>+IF(VLOOKUP($B41,tablero!$S$5:$AC$201,J$4,FALSE)=0,"",VLOOKUP($B41,tablero!$S$5:$AC$201,J$4,FALSE))</f>
        <v/>
      </c>
    </row>
    <row r="42" spans="2:49" x14ac:dyDescent="0.25">
      <c r="B42" s="63" t="s">
        <v>1356</v>
      </c>
      <c r="C42" s="27" t="s">
        <v>1355</v>
      </c>
      <c r="E42" s="49" t="str">
        <f>+IF(VLOOKUP($B42,tablero!$S$5:$AB$201,E$4,FALSE)=0,"",VLOOKUP($B42,tablero!$S$5:$AB$201,E$4,FALSE))</f>
        <v>x</v>
      </c>
      <c r="F42" s="49" t="str">
        <f>+IF(VLOOKUP($B42,tablero!$S$5:$AB$201,F$4,FALSE)=0,"",VLOOKUP($B42,tablero!$S$5:$AB$201,F$4,FALSE))</f>
        <v/>
      </c>
      <c r="G42" s="49" t="str">
        <f>+IF(VLOOKUP($B42,tablero!$S$5:$AB$201,G$4,FALSE)=0,"",VLOOKUP($B42,tablero!$S$5:$AB$201,G$4,FALSE))</f>
        <v/>
      </c>
      <c r="H42" s="49" t="str">
        <f>+IF(VLOOKUP($B42,tablero!$S$5:$AB$201,H$4,FALSE)=0,"",VLOOKUP($B42,tablero!$S$5:$AB$201,H$4,FALSE))</f>
        <v/>
      </c>
      <c r="I42" s="49" t="str">
        <f>+IF(VLOOKUP($B42,tablero!$S$5:$AB$201,I$4,FALSE)=0,"",VLOOKUP($B42,tablero!$S$5:$AB$201,I$4,FALSE))</f>
        <v/>
      </c>
      <c r="J42" s="49" t="str">
        <f>+IF(VLOOKUP($B42,tablero!$S$5:$AC$201,J$4,FALSE)=0,"",VLOOKUP($B42,tablero!$S$5:$AC$201,J$4,FALSE))</f>
        <v/>
      </c>
    </row>
    <row r="43" spans="2:49" x14ac:dyDescent="0.25">
      <c r="B43" s="46"/>
    </row>
    <row r="44" spans="2:49" ht="12.75" x14ac:dyDescent="0.25">
      <c r="B44" s="25" t="s">
        <v>168</v>
      </c>
    </row>
    <row r="45" spans="2:49" s="40" customFormat="1" ht="15" x14ac:dyDescent="0.25">
      <c r="B45" s="51" t="s">
        <v>169</v>
      </c>
      <c r="C45" s="52"/>
      <c r="D45" s="45"/>
      <c r="E45" s="316" t="s">
        <v>1563</v>
      </c>
      <c r="F45" s="316"/>
      <c r="G45" s="316"/>
      <c r="H45" s="316"/>
      <c r="I45" s="316"/>
      <c r="J45" s="316"/>
      <c r="AF45" s="41"/>
      <c r="AG45" s="41"/>
      <c r="AH45" s="41"/>
      <c r="AI45" s="41"/>
      <c r="AJ45" s="41"/>
      <c r="AK45" s="41"/>
      <c r="AL45" s="41"/>
      <c r="AM45" s="41"/>
      <c r="AN45" s="41"/>
      <c r="AO45" s="41"/>
      <c r="AP45" s="41"/>
      <c r="AQ45" s="41"/>
      <c r="AR45" s="41"/>
      <c r="AS45" s="41"/>
      <c r="AT45" s="41"/>
      <c r="AU45" s="41"/>
      <c r="AV45" s="41"/>
      <c r="AW45" s="41"/>
    </row>
    <row r="46" spans="2:49" ht="12.75" x14ac:dyDescent="0.25">
      <c r="B46" s="53" t="s">
        <v>170</v>
      </c>
      <c r="C46" s="54"/>
      <c r="E46" s="47" t="s">
        <v>1558</v>
      </c>
      <c r="F46" s="48" t="s">
        <v>1559</v>
      </c>
      <c r="G46" s="48" t="s">
        <v>1560</v>
      </c>
      <c r="H46" s="48" t="s">
        <v>1561</v>
      </c>
      <c r="I46" s="48" t="s">
        <v>1562</v>
      </c>
      <c r="J46" s="48" t="s">
        <v>1572</v>
      </c>
    </row>
    <row r="47" spans="2:49" x14ac:dyDescent="0.25">
      <c r="B47" s="63" t="s">
        <v>171</v>
      </c>
      <c r="C47" s="27" t="s">
        <v>528</v>
      </c>
      <c r="E47" s="49" t="str">
        <f>+IF(VLOOKUP($B47,tablero!$S$5:$AB$201,E$4,FALSE)=0,"",VLOOKUP($B47,tablero!$S$5:$AB$201,E$4,FALSE))</f>
        <v>x</v>
      </c>
      <c r="F47" s="49" t="str">
        <f>+IF(VLOOKUP($B47,tablero!$S$5:$AB$201,F$4,FALSE)=0,"",VLOOKUP($B47,tablero!$S$5:$AB$201,F$4,FALSE))</f>
        <v>x</v>
      </c>
      <c r="G47" s="49" t="str">
        <f>+IF(VLOOKUP($B47,tablero!$S$5:$AB$201,G$4,FALSE)=0,"",VLOOKUP($B47,tablero!$S$5:$AB$201,G$4,FALSE))</f>
        <v>x</v>
      </c>
      <c r="H47" s="49" t="str">
        <f>+IF(VLOOKUP($B47,tablero!$S$5:$AB$201,H$4,FALSE)=0,"",VLOOKUP($B47,tablero!$S$5:$AB$201,H$4,FALSE))</f>
        <v>x</v>
      </c>
      <c r="I47" s="49" t="str">
        <f>+IF(VLOOKUP($B47,tablero!$S$5:$AB$201,I$4,FALSE)=0,"",VLOOKUP($B47,tablero!$S$5:$AB$201,I$4,FALSE))</f>
        <v>x</v>
      </c>
      <c r="J47" s="49" t="str">
        <f>+IF(VLOOKUP($B47,tablero!$S$5:$AC$201,J$4,FALSE)=0,"",VLOOKUP($B47,tablero!$S$5:$AC$201,J$4,FALSE))</f>
        <v>x</v>
      </c>
    </row>
    <row r="48" spans="2:49" x14ac:dyDescent="0.25">
      <c r="B48" s="63" t="s">
        <v>172</v>
      </c>
      <c r="C48" s="27" t="s">
        <v>522</v>
      </c>
      <c r="E48" s="49" t="str">
        <f>+IF(VLOOKUP($B48,tablero!$S$5:$AB$201,E$4,FALSE)=0,"",VLOOKUP($B48,tablero!$S$5:$AB$201,E$4,FALSE))</f>
        <v>x</v>
      </c>
      <c r="F48" s="49"/>
      <c r="G48" s="49" t="str">
        <f>+IF(VLOOKUP($B48,tablero!$S$5:$AB$201,G$4,FALSE)=0,"",VLOOKUP($B48,tablero!$S$5:$AB$201,G$4,FALSE))</f>
        <v/>
      </c>
      <c r="H48" s="49" t="str">
        <f>+IF(VLOOKUP($B48,tablero!$S$5:$AB$201,H$4,FALSE)=0,"",VLOOKUP($B48,tablero!$S$5:$AB$201,H$4,FALSE))</f>
        <v>x</v>
      </c>
      <c r="I48" s="49" t="str">
        <f>+IF(VLOOKUP($B48,tablero!$S$5:$AB$201,I$4,FALSE)=0,"",VLOOKUP($B48,tablero!$S$5:$AB$201,I$4,FALSE))</f>
        <v>x</v>
      </c>
      <c r="J48" s="49" t="str">
        <f>+IF(VLOOKUP($B48,tablero!$S$5:$AC$201,J$4,FALSE)=0,"",VLOOKUP($B48,tablero!$S$5:$AC$201,J$4,FALSE))</f>
        <v/>
      </c>
    </row>
    <row r="49" spans="2:49" ht="24" x14ac:dyDescent="0.25">
      <c r="B49" s="63" t="s">
        <v>173</v>
      </c>
      <c r="C49" s="27" t="s">
        <v>174</v>
      </c>
      <c r="E49" s="49" t="str">
        <f>+IF(VLOOKUP($B49,tablero!$S$5:$AB$201,E$4,FALSE)=0,"",VLOOKUP($B49,tablero!$S$5:$AB$201,E$4,FALSE))</f>
        <v>x</v>
      </c>
      <c r="F49" s="49" t="str">
        <f>+IF(VLOOKUP($B49,tablero!$S$5:$AB$201,F$4,FALSE)=0,"",VLOOKUP($B49,tablero!$S$5:$AB$201,F$4,FALSE))</f>
        <v/>
      </c>
      <c r="G49" s="49" t="str">
        <f>+IF(VLOOKUP($B49,tablero!$S$5:$AB$201,G$4,FALSE)=0,"",VLOOKUP($B49,tablero!$S$5:$AB$201,G$4,FALSE))</f>
        <v/>
      </c>
      <c r="H49" s="49" t="str">
        <f>+IF(VLOOKUP($B49,tablero!$S$5:$AB$201,H$4,FALSE)=0,"",VLOOKUP($B49,tablero!$S$5:$AB$201,H$4,FALSE))</f>
        <v>x</v>
      </c>
      <c r="I49" s="49" t="str">
        <f>+IF(VLOOKUP($B49,tablero!$S$5:$AB$201,I$4,FALSE)=0,"",VLOOKUP($B49,tablero!$S$5:$AB$201,I$4,FALSE))</f>
        <v>x</v>
      </c>
      <c r="J49" s="49" t="str">
        <f>+IF(VLOOKUP($B49,tablero!$S$5:$AC$201,J$4,FALSE)=0,"",VLOOKUP($B49,tablero!$S$5:$AC$201,J$4,FALSE))</f>
        <v/>
      </c>
    </row>
    <row r="50" spans="2:49" x14ac:dyDescent="0.25">
      <c r="B50" s="63" t="s">
        <v>175</v>
      </c>
      <c r="C50" s="27" t="s">
        <v>510</v>
      </c>
      <c r="E50" s="49" t="str">
        <f>+IF(VLOOKUP($B50,tablero!$S$5:$AB$201,E$4,FALSE)=0,"",VLOOKUP($B50,tablero!$S$5:$AB$201,E$4,FALSE))</f>
        <v>x</v>
      </c>
      <c r="F50" s="49" t="str">
        <f>+IF(VLOOKUP($B50,tablero!$S$5:$AB$201,F$4,FALSE)=0,"",VLOOKUP($B50,tablero!$S$5:$AB$201,F$4,FALSE))</f>
        <v/>
      </c>
      <c r="G50" s="49" t="str">
        <f>+IF(VLOOKUP($B50,tablero!$S$5:$AB$201,G$4,FALSE)=0,"",VLOOKUP($B50,tablero!$S$5:$AB$201,G$4,FALSE))</f>
        <v/>
      </c>
      <c r="H50" s="49" t="str">
        <f>+IF(VLOOKUP($B50,tablero!$S$5:$AB$201,H$4,FALSE)=0,"",VLOOKUP($B50,tablero!$S$5:$AB$201,H$4,FALSE))</f>
        <v>x</v>
      </c>
      <c r="I50" s="49" t="str">
        <f>+IF(VLOOKUP($B50,tablero!$S$5:$AB$201,I$4,FALSE)=0,"",VLOOKUP($B50,tablero!$S$5:$AB$201,I$4,FALSE))</f>
        <v>x</v>
      </c>
      <c r="J50" s="49" t="str">
        <f>+IF(VLOOKUP($B50,tablero!$S$5:$AC$201,J$4,FALSE)=0,"",VLOOKUP($B50,tablero!$S$5:$AC$201,J$4,FALSE))</f>
        <v/>
      </c>
    </row>
    <row r="51" spans="2:49" x14ac:dyDescent="0.25">
      <c r="B51" s="63" t="s">
        <v>1357</v>
      </c>
      <c r="C51" s="27" t="s">
        <v>1355</v>
      </c>
      <c r="E51" s="49" t="str">
        <f>+IF(VLOOKUP($B51,tablero!$S$5:$AB$201,E$4,FALSE)=0,"",VLOOKUP($B51,tablero!$S$5:$AB$201,E$4,FALSE))</f>
        <v>x</v>
      </c>
      <c r="F51" s="49" t="str">
        <f>+IF(VLOOKUP($B51,tablero!$S$5:$AB$201,F$4,FALSE)=0,"",VLOOKUP($B51,tablero!$S$5:$AB$201,F$4,FALSE))</f>
        <v/>
      </c>
      <c r="G51" s="49" t="str">
        <f>+IF(VLOOKUP($B51,tablero!$S$5:$AB$201,G$4,FALSE)=0,"",VLOOKUP($B51,tablero!$S$5:$AB$201,G$4,FALSE))</f>
        <v/>
      </c>
      <c r="H51" s="49" t="str">
        <f>+IF(VLOOKUP($B51,tablero!$S$5:$AB$201,H$4,FALSE)=0,"",VLOOKUP($B51,tablero!$S$5:$AB$201,H$4,FALSE))</f>
        <v/>
      </c>
      <c r="I51" s="49" t="str">
        <f>+IF(VLOOKUP($B51,tablero!$S$5:$AB$201,I$4,FALSE)=0,"",VLOOKUP($B51,tablero!$S$5:$AB$201,I$4,FALSE))</f>
        <v/>
      </c>
      <c r="J51" s="49" t="str">
        <f>+IF(VLOOKUP($B51,tablero!$S$5:$AC$201,J$4,FALSE)=0,"",VLOOKUP($B51,tablero!$S$5:$AC$201,J$4,FALSE))</f>
        <v/>
      </c>
    </row>
    <row r="52" spans="2:49" x14ac:dyDescent="0.25">
      <c r="B52" s="46"/>
    </row>
    <row r="53" spans="2:49" ht="12.75" x14ac:dyDescent="0.25">
      <c r="B53" s="25" t="s">
        <v>176</v>
      </c>
    </row>
    <row r="54" spans="2:49" s="40" customFormat="1" ht="15" x14ac:dyDescent="0.25">
      <c r="B54" s="51" t="s">
        <v>177</v>
      </c>
      <c r="C54" s="52"/>
      <c r="D54" s="45"/>
      <c r="E54" s="316" t="s">
        <v>1563</v>
      </c>
      <c r="F54" s="316"/>
      <c r="G54" s="316"/>
      <c r="H54" s="316"/>
      <c r="I54" s="316"/>
      <c r="J54" s="316"/>
      <c r="AF54" s="41"/>
      <c r="AG54" s="41"/>
      <c r="AH54" s="41"/>
      <c r="AI54" s="41"/>
      <c r="AJ54" s="41"/>
      <c r="AK54" s="41"/>
      <c r="AL54" s="41"/>
      <c r="AM54" s="41"/>
      <c r="AN54" s="41"/>
      <c r="AO54" s="41"/>
      <c r="AP54" s="41"/>
      <c r="AQ54" s="41"/>
      <c r="AR54" s="41"/>
      <c r="AS54" s="41"/>
      <c r="AT54" s="41"/>
      <c r="AU54" s="41"/>
      <c r="AV54" s="41"/>
      <c r="AW54" s="41"/>
    </row>
    <row r="55" spans="2:49" ht="12.75" x14ac:dyDescent="0.25">
      <c r="B55" s="59" t="s">
        <v>178</v>
      </c>
      <c r="C55" s="60"/>
      <c r="E55" s="47" t="s">
        <v>1558</v>
      </c>
      <c r="F55" s="48" t="s">
        <v>1559</v>
      </c>
      <c r="G55" s="48" t="s">
        <v>1560</v>
      </c>
      <c r="H55" s="48" t="s">
        <v>1561</v>
      </c>
      <c r="I55" s="48" t="s">
        <v>1562</v>
      </c>
      <c r="J55" s="48" t="s">
        <v>1572</v>
      </c>
    </row>
    <row r="56" spans="2:49" ht="24" x14ac:dyDescent="0.25">
      <c r="B56" s="63" t="s">
        <v>179</v>
      </c>
      <c r="C56" s="27" t="s">
        <v>180</v>
      </c>
      <c r="E56" s="49" t="str">
        <f>+IF(VLOOKUP($B56,tablero!$S$5:$AB$201,E$4,FALSE)=0,"",VLOOKUP($B56,tablero!$S$5:$AB$201,E$4,FALSE))</f>
        <v>x</v>
      </c>
      <c r="F56" s="49" t="str">
        <f>+IF(VLOOKUP($B56,tablero!$S$5:$AB$201,F$4,FALSE)=0,"",VLOOKUP($B56,tablero!$S$5:$AB$201,F$4,FALSE))</f>
        <v>x</v>
      </c>
      <c r="G56" s="49" t="str">
        <f>+IF(VLOOKUP($B56,tablero!$S$5:$AB$201,G$4,FALSE)=0,"",VLOOKUP($B56,tablero!$S$5:$AB$201,G$4,FALSE))</f>
        <v>x</v>
      </c>
      <c r="H56" s="49" t="str">
        <f>+IF(VLOOKUP($B56,tablero!$S$5:$AB$201,H$4,FALSE)=0,"",VLOOKUP($B56,tablero!$S$5:$AB$201,H$4,FALSE))</f>
        <v>x</v>
      </c>
      <c r="I56" s="49" t="str">
        <f>+IF(VLOOKUP($B56,tablero!$S$5:$AB$201,I$4,FALSE)=0,"",VLOOKUP($B56,tablero!$S$5:$AB$201,I$4,FALSE))</f>
        <v/>
      </c>
      <c r="J56" s="49" t="str">
        <f>+IF(VLOOKUP($B56,tablero!$S$5:$AC$201,J$4,FALSE)=0,"",VLOOKUP($B56,tablero!$S$5:$AC$201,J$4,FALSE))</f>
        <v/>
      </c>
    </row>
    <row r="57" spans="2:49" ht="24" x14ac:dyDescent="0.25">
      <c r="B57" s="63" t="s">
        <v>181</v>
      </c>
      <c r="C57" s="27" t="s">
        <v>182</v>
      </c>
      <c r="E57" s="49" t="str">
        <f>+IF(VLOOKUP($B57,tablero!$S$5:$AB$201,E$4,FALSE)=0,"",VLOOKUP($B57,tablero!$S$5:$AB$201,E$4,FALSE))</f>
        <v>x</v>
      </c>
      <c r="F57" s="49" t="str">
        <f>+IF(VLOOKUP($B57,tablero!$S$5:$AB$201,F$4,FALSE)=0,"",VLOOKUP($B57,tablero!$S$5:$AB$201,F$4,FALSE))</f>
        <v>x</v>
      </c>
      <c r="G57" s="49" t="s">
        <v>1564</v>
      </c>
      <c r="H57" s="49" t="str">
        <f>+IF(VLOOKUP($B57,tablero!$S$5:$AB$201,H$4,FALSE)=0,"",VLOOKUP($B57,tablero!$S$5:$AB$201,H$4,FALSE))</f>
        <v>x</v>
      </c>
      <c r="I57" s="49" t="str">
        <f>+IF(VLOOKUP($B57,tablero!$S$5:$AB$201,I$4,FALSE)=0,"",VLOOKUP($B57,tablero!$S$5:$AB$201,I$4,FALSE))</f>
        <v/>
      </c>
      <c r="J57" s="49" t="str">
        <f>+IF(VLOOKUP($B57,tablero!$S$5:$AC$201,J$4,FALSE)=0,"",VLOOKUP($B57,tablero!$S$5:$AC$201,J$4,FALSE))</f>
        <v/>
      </c>
    </row>
    <row r="58" spans="2:49" x14ac:dyDescent="0.25">
      <c r="B58" s="63" t="s">
        <v>183</v>
      </c>
      <c r="C58" s="27" t="s">
        <v>656</v>
      </c>
      <c r="E58" s="49" t="str">
        <f>+IF(VLOOKUP($B58,tablero!$S$5:$AB$201,E$4,FALSE)=0,"",VLOOKUP($B58,tablero!$S$5:$AB$201,E$4,FALSE))</f>
        <v>x</v>
      </c>
      <c r="F58" s="49" t="str">
        <f>+IF(VLOOKUP($B58,tablero!$S$5:$AB$201,F$4,FALSE)=0,"",VLOOKUP($B58,tablero!$S$5:$AB$201,F$4,FALSE))</f>
        <v/>
      </c>
      <c r="G58" s="49" t="str">
        <f>+IF(VLOOKUP($B58,tablero!$S$5:$AB$201,G$4,FALSE)=0,"",VLOOKUP($B58,tablero!$S$5:$AB$201,G$4,FALSE))</f>
        <v/>
      </c>
      <c r="H58" s="49" t="str">
        <f>+IF(VLOOKUP($B58,tablero!$S$5:$AB$201,H$4,FALSE)=0,"",VLOOKUP($B58,tablero!$S$5:$AB$201,H$4,FALSE))</f>
        <v>x</v>
      </c>
      <c r="I58" s="49" t="str">
        <f>+IF(VLOOKUP($B58,tablero!$S$5:$AB$201,I$4,FALSE)=0,"",VLOOKUP($B58,tablero!$S$5:$AB$201,I$4,FALSE))</f>
        <v>x</v>
      </c>
      <c r="J58" s="49" t="str">
        <f>+IF(VLOOKUP($B58,tablero!$S$5:$AC$201,J$4,FALSE)=0,"",VLOOKUP($B58,tablero!$S$5:$AC$201,J$4,FALSE))</f>
        <v/>
      </c>
    </row>
    <row r="59" spans="2:49" x14ac:dyDescent="0.25">
      <c r="B59" s="63" t="s">
        <v>184</v>
      </c>
      <c r="C59" s="27" t="s">
        <v>657</v>
      </c>
      <c r="E59" s="49" t="str">
        <f>+IF(VLOOKUP($B59,tablero!$S$5:$AB$201,E$4,FALSE)=0,"",VLOOKUP($B59,tablero!$S$5:$AB$201,E$4,FALSE))</f>
        <v>x</v>
      </c>
      <c r="F59" s="49" t="str">
        <f>+IF(VLOOKUP($B59,tablero!$S$5:$AB$201,F$4,FALSE)=0,"",VLOOKUP($B59,tablero!$S$5:$AB$201,F$4,FALSE))</f>
        <v/>
      </c>
      <c r="G59" s="49" t="str">
        <f>+IF(VLOOKUP($B59,tablero!$S$5:$AB$201,G$4,FALSE)=0,"",VLOOKUP($B59,tablero!$S$5:$AB$201,G$4,FALSE))</f>
        <v/>
      </c>
      <c r="H59" s="49" t="str">
        <f>+IF(VLOOKUP($B59,tablero!$S$5:$AB$201,H$4,FALSE)=0,"",VLOOKUP($B59,tablero!$S$5:$AB$201,H$4,FALSE))</f>
        <v>x</v>
      </c>
      <c r="I59" s="49" t="str">
        <f>+IF(VLOOKUP($B59,tablero!$S$5:$AB$201,I$4,FALSE)=0,"",VLOOKUP($B59,tablero!$S$5:$AB$201,I$4,FALSE))</f>
        <v>x</v>
      </c>
      <c r="J59" s="49" t="str">
        <f>+IF(VLOOKUP($B59,tablero!$S$5:$AC$201,J$4,FALSE)=0,"",VLOOKUP($B59,tablero!$S$5:$AC$201,J$4,FALSE))</f>
        <v/>
      </c>
    </row>
    <row r="60" spans="2:49" ht="24" x14ac:dyDescent="0.25">
      <c r="B60" s="63" t="s">
        <v>185</v>
      </c>
      <c r="C60" s="27" t="s">
        <v>186</v>
      </c>
      <c r="E60" s="49" t="str">
        <f>+IF(VLOOKUP($B60,tablero!$S$5:$AB$201,E$4,FALSE)=0,"",VLOOKUP($B60,tablero!$S$5:$AB$201,E$4,FALSE))</f>
        <v>x</v>
      </c>
      <c r="F60" s="49" t="str">
        <f>+IF(VLOOKUP($B60,tablero!$S$5:$AB$201,F$4,FALSE)=0,"",VLOOKUP($B60,tablero!$S$5:$AB$201,F$4,FALSE))</f>
        <v>x</v>
      </c>
      <c r="G60" s="49" t="s">
        <v>1564</v>
      </c>
      <c r="H60" s="49" t="str">
        <f>+IF(VLOOKUP($B60,tablero!$S$5:$AB$201,H$4,FALSE)=0,"",VLOOKUP($B60,tablero!$S$5:$AB$201,H$4,FALSE))</f>
        <v>x</v>
      </c>
      <c r="I60" s="49" t="str">
        <f>+IF(VLOOKUP($B60,tablero!$S$5:$AB$201,I$4,FALSE)=0,"",VLOOKUP($B60,tablero!$S$5:$AB$201,I$4,FALSE))</f>
        <v>x</v>
      </c>
      <c r="J60" s="49" t="str">
        <f>+IF(VLOOKUP($B60,tablero!$S$5:$AC$201,J$4,FALSE)=0,"",VLOOKUP($B60,tablero!$S$5:$AC$201,J$4,FALSE))</f>
        <v/>
      </c>
    </row>
    <row r="61" spans="2:49" ht="12" customHeight="1" x14ac:dyDescent="0.25">
      <c r="B61" s="63" t="s">
        <v>187</v>
      </c>
      <c r="C61" s="27" t="s">
        <v>2117</v>
      </c>
      <c r="E61" s="49" t="str">
        <f>+IF(VLOOKUP($B61,tablero!$S$5:$AB$201,E$4,FALSE)=0,"",VLOOKUP($B61,tablero!$S$5:$AB$201,E$4,FALSE))</f>
        <v>x</v>
      </c>
      <c r="F61" s="49" t="str">
        <f>+IF(VLOOKUP($B61,tablero!$S$5:$AB$201,F$4,FALSE)=0,"",VLOOKUP($B61,tablero!$S$5:$AB$201,F$4,FALSE))</f>
        <v>x</v>
      </c>
      <c r="G61" s="49" t="s">
        <v>1564</v>
      </c>
      <c r="H61" s="49" t="str">
        <f>+IF(VLOOKUP($B61,tablero!$S$5:$AB$201,H$4,FALSE)=0,"",VLOOKUP($B61,tablero!$S$5:$AB$201,H$4,FALSE))</f>
        <v>x</v>
      </c>
      <c r="I61" s="49" t="str">
        <f>+IF(VLOOKUP($B61,tablero!$S$5:$AB$201,I$4,FALSE)=0,"",VLOOKUP($B61,tablero!$S$5:$AB$201,I$4,FALSE))</f>
        <v>x</v>
      </c>
      <c r="J61" s="49" t="str">
        <f>+IF(VLOOKUP($B61,tablero!$S$5:$AC$201,J$4,FALSE)=0,"",VLOOKUP($B61,tablero!$S$5:$AC$201,J$4,FALSE))</f>
        <v/>
      </c>
    </row>
    <row r="62" spans="2:49" x14ac:dyDescent="0.25">
      <c r="B62" s="63" t="s">
        <v>188</v>
      </c>
      <c r="C62" s="27" t="s">
        <v>658</v>
      </c>
      <c r="E62" s="49" t="str">
        <f>+IF(VLOOKUP($B62,tablero!$S$5:$AB$201,E$4,FALSE)=0,"",VLOOKUP($B62,tablero!$S$5:$AB$201,E$4,FALSE))</f>
        <v>x</v>
      </c>
      <c r="F62" s="49" t="str">
        <f>+IF(VLOOKUP($B62,tablero!$S$5:$AB$201,F$4,FALSE)=0,"",VLOOKUP($B62,tablero!$S$5:$AB$201,F$4,FALSE))</f>
        <v/>
      </c>
      <c r="G62" s="49" t="str">
        <f>+IF(VLOOKUP($B62,tablero!$S$5:$AB$201,G$4,FALSE)=0,"",VLOOKUP($B62,tablero!$S$5:$AB$201,G$4,FALSE))</f>
        <v/>
      </c>
      <c r="H62" s="49" t="str">
        <f>+IF(VLOOKUP($B62,tablero!$S$5:$AB$201,H$4,FALSE)=0,"",VLOOKUP($B62,tablero!$S$5:$AB$201,H$4,FALSE))</f>
        <v>x</v>
      </c>
      <c r="I62" s="49" t="str">
        <f>+IF(VLOOKUP($B62,tablero!$S$5:$AB$201,I$4,FALSE)=0,"",VLOOKUP($B62,tablero!$S$5:$AB$201,I$4,FALSE))</f>
        <v>x</v>
      </c>
      <c r="J62" s="49" t="str">
        <f>+IF(VLOOKUP($B62,tablero!$S$5:$AC$201,J$4,FALSE)=0,"",VLOOKUP($B62,tablero!$S$5:$AC$201,J$4,FALSE))</f>
        <v/>
      </c>
    </row>
    <row r="63" spans="2:49" ht="24" x14ac:dyDescent="0.25">
      <c r="B63" s="63" t="s">
        <v>189</v>
      </c>
      <c r="C63" s="27" t="s">
        <v>659</v>
      </c>
      <c r="E63" s="49" t="str">
        <f>+IF(VLOOKUP($B63,tablero!$S$5:$AB$201,E$4,FALSE)=0,"",VLOOKUP($B63,tablero!$S$5:$AB$201,E$4,FALSE))</f>
        <v>x</v>
      </c>
      <c r="F63" s="49" t="str">
        <f>+IF(VLOOKUP($B63,tablero!$S$5:$AB$201,F$4,FALSE)=0,"",VLOOKUP($B63,tablero!$S$5:$AB$201,F$4,FALSE))</f>
        <v/>
      </c>
      <c r="G63" s="49" t="str">
        <f>+IF(VLOOKUP($B63,tablero!$S$5:$AB$201,G$4,FALSE)=0,"",VLOOKUP($B63,tablero!$S$5:$AB$201,G$4,FALSE))</f>
        <v/>
      </c>
      <c r="H63" s="49" t="str">
        <f>+IF(VLOOKUP($B63,tablero!$S$5:$AB$201,H$4,FALSE)=0,"",VLOOKUP($B63,tablero!$S$5:$AB$201,H$4,FALSE))</f>
        <v>x</v>
      </c>
      <c r="I63" s="49" t="str">
        <f>+IF(VLOOKUP($B63,tablero!$S$5:$AB$201,I$4,FALSE)=0,"",VLOOKUP($B63,tablero!$S$5:$AB$201,I$4,FALSE))</f>
        <v>x</v>
      </c>
      <c r="J63" s="49" t="str">
        <f>+IF(VLOOKUP($B63,tablero!$S$5:$AC$201,J$4,FALSE)=0,"",VLOOKUP($B63,tablero!$S$5:$AC$201,J$4,FALSE))</f>
        <v/>
      </c>
    </row>
    <row r="64" spans="2:49" x14ac:dyDescent="0.25">
      <c r="B64" s="63" t="s">
        <v>190</v>
      </c>
      <c r="C64" s="27" t="s">
        <v>660</v>
      </c>
      <c r="E64" s="49" t="str">
        <f>+IF(VLOOKUP($B64,tablero!$S$5:$AB$201,E$4,FALSE)=0,"",VLOOKUP($B64,tablero!$S$5:$AB$201,E$4,FALSE))</f>
        <v>x</v>
      </c>
      <c r="F64" s="49" t="str">
        <f>+IF(VLOOKUP($B64,tablero!$S$5:$AB$201,F$4,FALSE)=0,"",VLOOKUP($B64,tablero!$S$5:$AB$201,F$4,FALSE))</f>
        <v/>
      </c>
      <c r="G64" s="49" t="str">
        <f>+IF(VLOOKUP($B64,tablero!$S$5:$AB$201,G$4,FALSE)=0,"",VLOOKUP($B64,tablero!$S$5:$AB$201,G$4,FALSE))</f>
        <v/>
      </c>
      <c r="H64" s="49" t="str">
        <f>+IF(VLOOKUP($B64,tablero!$S$5:$AB$201,H$4,FALSE)=0,"",VLOOKUP($B64,tablero!$S$5:$AB$201,H$4,FALSE))</f>
        <v>x</v>
      </c>
      <c r="I64" s="49" t="str">
        <f>+IF(VLOOKUP($B64,tablero!$S$5:$AB$201,I$4,FALSE)=0,"",VLOOKUP($B64,tablero!$S$5:$AB$201,I$4,FALSE))</f>
        <v>x</v>
      </c>
      <c r="J64" s="49" t="str">
        <f>+IF(VLOOKUP($B64,tablero!$S$5:$AC$201,J$4,FALSE)=0,"",VLOOKUP($B64,tablero!$S$5:$AC$201,J$4,FALSE))</f>
        <v/>
      </c>
    </row>
    <row r="65" spans="2:49" ht="24" x14ac:dyDescent="0.25">
      <c r="B65" s="63" t="s">
        <v>191</v>
      </c>
      <c r="C65" s="27" t="s">
        <v>1583</v>
      </c>
      <c r="E65" s="49" t="str">
        <f>+IF(VLOOKUP($B65,tablero!$S$5:$AB$201,E$4,FALSE)=0,"",VLOOKUP($B65,tablero!$S$5:$AB$201,E$4,FALSE))</f>
        <v>x</v>
      </c>
      <c r="F65" s="49" t="str">
        <f>+IF(VLOOKUP($B65,tablero!$S$5:$AB$201,F$4,FALSE)=0,"",VLOOKUP($B65,tablero!$S$5:$AB$201,F$4,FALSE))</f>
        <v>x</v>
      </c>
      <c r="G65" s="49" t="s">
        <v>1564</v>
      </c>
      <c r="H65" s="49" t="str">
        <f>+IF(VLOOKUP($B65,tablero!$S$5:$AB$201,H$4,FALSE)=0,"",VLOOKUP($B65,tablero!$S$5:$AB$201,H$4,FALSE))</f>
        <v/>
      </c>
      <c r="I65" s="49" t="str">
        <f>+IF(VLOOKUP($B65,tablero!$S$5:$AB$201,I$4,FALSE)=0,"",VLOOKUP($B65,tablero!$S$5:$AB$201,I$4,FALSE))</f>
        <v/>
      </c>
      <c r="J65" s="49" t="str">
        <f>+IF(VLOOKUP($B65,tablero!$S$5:$AC$201,J$4,FALSE)=0,"",VLOOKUP($B65,tablero!$S$5:$AC$201,J$4,FALSE))</f>
        <v/>
      </c>
    </row>
    <row r="66" spans="2:49" ht="24" x14ac:dyDescent="0.25">
      <c r="B66" s="63" t="s">
        <v>192</v>
      </c>
      <c r="C66" s="27" t="s">
        <v>193</v>
      </c>
      <c r="E66" s="49" t="str">
        <f>+IF(VLOOKUP($B66,tablero!$S$5:$AB$201,E$4,FALSE)=0,"",VLOOKUP($B66,tablero!$S$5:$AB$201,E$4,FALSE))</f>
        <v>x</v>
      </c>
      <c r="F66" s="49" t="str">
        <f>+IF(VLOOKUP($B66,tablero!$S$5:$AB$201,F$4,FALSE)=0,"",VLOOKUP($B66,tablero!$S$5:$AB$201,F$4,FALSE))</f>
        <v>x</v>
      </c>
      <c r="G66" s="49" t="s">
        <v>1564</v>
      </c>
      <c r="H66" s="49" t="str">
        <f>+IF(VLOOKUP($B66,tablero!$S$5:$AB$201,H$4,FALSE)=0,"",VLOOKUP($B66,tablero!$S$5:$AB$201,H$4,FALSE))</f>
        <v/>
      </c>
      <c r="I66" s="49" t="str">
        <f>+IF(VLOOKUP($B66,tablero!$S$5:$AB$201,I$4,FALSE)=0,"",VLOOKUP($B66,tablero!$S$5:$AB$201,I$4,FALSE))</f>
        <v/>
      </c>
      <c r="J66" s="49" t="str">
        <f>+IF(VLOOKUP($B66,tablero!$S$5:$AC$201,J$4,FALSE)=0,"",VLOOKUP($B66,tablero!$S$5:$AC$201,J$4,FALSE))</f>
        <v/>
      </c>
    </row>
    <row r="67" spans="2:49" ht="24" hidden="1" x14ac:dyDescent="0.25">
      <c r="B67" s="63" t="s">
        <v>194</v>
      </c>
      <c r="C67" s="27" t="s">
        <v>195</v>
      </c>
      <c r="E67" s="49" t="e">
        <f>+IF(VLOOKUP($B67,tablero!$S$5:$AB$201,E$4,FALSE)=0,"",VLOOKUP($B67,tablero!$S$5:$AB$201,E$4,FALSE))</f>
        <v>#N/A</v>
      </c>
      <c r="F67" s="49" t="e">
        <f>+IF(VLOOKUP($B67,tablero!$S$5:$AB$201,F$4,FALSE)=0,"",VLOOKUP($B67,tablero!$S$5:$AB$201,F$4,FALSE))</f>
        <v>#N/A</v>
      </c>
      <c r="G67" s="49" t="e">
        <f>+IF(VLOOKUP($B67,tablero!$S$5:$AB$201,G$4,FALSE)=0,"",VLOOKUP($B67,tablero!$S$5:$AB$201,G$4,FALSE))</f>
        <v>#N/A</v>
      </c>
      <c r="H67" s="49" t="e">
        <f>+IF(VLOOKUP($B67,tablero!$S$5:$AB$201,H$4,FALSE)=0,"",VLOOKUP($B67,tablero!$S$5:$AB$201,H$4,FALSE))</f>
        <v>#N/A</v>
      </c>
      <c r="I67" s="49" t="e">
        <f>+IF(VLOOKUP($B67,tablero!$S$5:$AB$201,I$4,FALSE)=0,"",VLOOKUP($B67,tablero!$S$5:$AB$201,I$4,FALSE))</f>
        <v>#N/A</v>
      </c>
      <c r="J67" s="49" t="e">
        <f>+IF(VLOOKUP($B67,tablero!$S$5:$AC$201,J$4,FALSE)=0,"",VLOOKUP($B67,tablero!$S$5:$AC$201,J$4,FALSE))</f>
        <v>#N/A</v>
      </c>
    </row>
    <row r="68" spans="2:49" ht="24" x14ac:dyDescent="0.25">
      <c r="B68" s="63" t="s">
        <v>196</v>
      </c>
      <c r="C68" s="27" t="s">
        <v>197</v>
      </c>
      <c r="E68" s="49" t="str">
        <f>+IF(VLOOKUP($B68,tablero!$S$5:$AB$201,E$4,FALSE)=0,"",VLOOKUP($B68,tablero!$S$5:$AB$201,E$4,FALSE))</f>
        <v>x</v>
      </c>
      <c r="F68" s="49" t="str">
        <f>+IF(VLOOKUP($B68,tablero!$S$5:$AB$201,F$4,FALSE)=0,"",VLOOKUP($B68,tablero!$S$5:$AB$201,F$4,FALSE))</f>
        <v>x</v>
      </c>
      <c r="G68" s="49" t="s">
        <v>1564</v>
      </c>
      <c r="H68" s="49" t="str">
        <f>+IF(VLOOKUP($B68,tablero!$S$5:$AB$201,H$4,FALSE)=0,"",VLOOKUP($B68,tablero!$S$5:$AB$201,H$4,FALSE))</f>
        <v/>
      </c>
      <c r="I68" s="49" t="str">
        <f>+IF(VLOOKUP($B68,tablero!$S$5:$AB$201,I$4,FALSE)=0,"",VLOOKUP($B68,tablero!$S$5:$AB$201,I$4,FALSE))</f>
        <v/>
      </c>
      <c r="J68" s="49" t="str">
        <f>+IF(VLOOKUP($B68,tablero!$S$5:$AC$201,J$4,FALSE)=0,"",VLOOKUP($B68,tablero!$S$5:$AC$201,J$4,FALSE))</f>
        <v/>
      </c>
    </row>
    <row r="69" spans="2:49" hidden="1" x14ac:dyDescent="0.25">
      <c r="B69" s="63" t="s">
        <v>198</v>
      </c>
      <c r="C69" s="27" t="s">
        <v>1671</v>
      </c>
      <c r="E69" s="49" t="e">
        <f>+IF(VLOOKUP($B69,tablero!$S$5:$AB$201,E$4,FALSE)=0,"",VLOOKUP($B69,tablero!$S$5:$AB$201,E$4,FALSE))</f>
        <v>#N/A</v>
      </c>
      <c r="F69" s="49" t="e">
        <f>+IF(VLOOKUP($B69,tablero!$S$5:$AB$201,F$4,FALSE)=0,"",VLOOKUP($B69,tablero!$S$5:$AB$201,F$4,FALSE))</f>
        <v>#N/A</v>
      </c>
      <c r="G69" s="49" t="e">
        <f>+IF(VLOOKUP($B69,tablero!$S$5:$AB$201,G$4,FALSE)=0,"",VLOOKUP($B69,tablero!$S$5:$AB$201,G$4,FALSE))</f>
        <v>#N/A</v>
      </c>
      <c r="H69" s="49" t="e">
        <f>+IF(VLOOKUP($B69,tablero!$S$5:$AB$201,H$4,FALSE)=0,"",VLOOKUP($B69,tablero!$S$5:$AB$201,H$4,FALSE))</f>
        <v>#N/A</v>
      </c>
      <c r="I69" s="49" t="e">
        <f>+IF(VLOOKUP($B69,tablero!$S$5:$AB$201,I$4,FALSE)=0,"",VLOOKUP($B69,tablero!$S$5:$AB$201,I$4,FALSE))</f>
        <v>#N/A</v>
      </c>
      <c r="J69" s="49" t="e">
        <f>+IF(VLOOKUP($B69,tablero!$S$5:$AC$201,J$4,FALSE)=0,"",VLOOKUP($B69,tablero!$S$5:$AC$201,J$4,FALSE))</f>
        <v>#N/A</v>
      </c>
    </row>
    <row r="70" spans="2:49" hidden="1" x14ac:dyDescent="0.25">
      <c r="B70" s="63" t="s">
        <v>199</v>
      </c>
      <c r="C70" s="27" t="s">
        <v>200</v>
      </c>
      <c r="E70" s="49" t="e">
        <f>+IF(VLOOKUP($B70,tablero!$S$5:$AB$201,E$4,FALSE)=0,"",VLOOKUP($B70,tablero!$S$5:$AB$201,E$4,FALSE))</f>
        <v>#N/A</v>
      </c>
      <c r="F70" s="49" t="e">
        <f>+IF(VLOOKUP($B70,tablero!$S$5:$AB$201,F$4,FALSE)=0,"",VLOOKUP($B70,tablero!$S$5:$AB$201,F$4,FALSE))</f>
        <v>#N/A</v>
      </c>
      <c r="G70" s="49" t="e">
        <f>+IF(VLOOKUP($B70,tablero!$S$5:$AB$201,G$4,FALSE)=0,"",VLOOKUP($B70,tablero!$S$5:$AB$201,G$4,FALSE))</f>
        <v>#N/A</v>
      </c>
      <c r="H70" s="49" t="e">
        <f>+IF(VLOOKUP($B70,tablero!$S$5:$AB$201,H$4,FALSE)=0,"",VLOOKUP($B70,tablero!$S$5:$AB$201,H$4,FALSE))</f>
        <v>#N/A</v>
      </c>
      <c r="I70" s="49" t="e">
        <f>+IF(VLOOKUP($B70,tablero!$S$5:$AB$201,I$4,FALSE)=0,"",VLOOKUP($B70,tablero!$S$5:$AB$201,I$4,FALSE))</f>
        <v>#N/A</v>
      </c>
      <c r="J70" s="49" t="e">
        <f>+IF(VLOOKUP($B70,tablero!$S$5:$AC$201,J$4,FALSE)=0,"",VLOOKUP($B70,tablero!$S$5:$AC$201,J$4,FALSE))</f>
        <v>#N/A</v>
      </c>
    </row>
    <row r="71" spans="2:49" ht="24" x14ac:dyDescent="0.25">
      <c r="B71" s="63" t="s">
        <v>201</v>
      </c>
      <c r="C71" s="27" t="s">
        <v>1584</v>
      </c>
      <c r="E71" s="49" t="str">
        <f>+IF(VLOOKUP($B71,tablero!$S$5:$AB$201,E$4,FALSE)=0,"",VLOOKUP($B71,tablero!$S$5:$AB$201,E$4,FALSE))</f>
        <v>x</v>
      </c>
      <c r="F71" s="49" t="str">
        <f>+IF(VLOOKUP($B71,tablero!$S$5:$AB$201,F$4,FALSE)=0,"",VLOOKUP($B71,tablero!$S$5:$AB$201,F$4,FALSE))</f>
        <v>x</v>
      </c>
      <c r="G71" s="49" t="s">
        <v>1564</v>
      </c>
      <c r="H71" s="49" t="str">
        <f>+IF(VLOOKUP($B71,tablero!$S$5:$AB$201,H$4,FALSE)=0,"",VLOOKUP($B71,tablero!$S$5:$AB$201,H$4,FALSE))</f>
        <v/>
      </c>
      <c r="I71" s="49" t="str">
        <f>+IF(VLOOKUP($B71,tablero!$S$5:$AB$201,I$4,FALSE)=0,"",VLOOKUP($B71,tablero!$S$5:$AB$201,I$4,FALSE))</f>
        <v/>
      </c>
      <c r="J71" s="49" t="str">
        <f>+IF(VLOOKUP($B71,tablero!$S$5:$AC$201,J$4,FALSE)=0,"",VLOOKUP($B71,tablero!$S$5:$AC$201,J$4,FALSE))</f>
        <v/>
      </c>
    </row>
    <row r="72" spans="2:49" ht="24" x14ac:dyDescent="0.25">
      <c r="B72" s="63" t="s">
        <v>710</v>
      </c>
      <c r="C72" s="27" t="s">
        <v>1585</v>
      </c>
      <c r="E72" s="49" t="str">
        <f>+IF(VLOOKUP($B72,tablero!$S$5:$AB$201,E$4,FALSE)=0,"",VLOOKUP($B72,tablero!$S$5:$AB$201,E$4,FALSE))</f>
        <v>x</v>
      </c>
      <c r="F72" s="49" t="str">
        <f>+IF(VLOOKUP($B72,tablero!$S$5:$AB$201,F$4,FALSE)=0,"",VLOOKUP($B72,tablero!$S$5:$AB$201,F$4,FALSE))</f>
        <v>x</v>
      </c>
      <c r="G72" s="49" t="s">
        <v>1564</v>
      </c>
      <c r="H72" s="49" t="str">
        <f>+IF(VLOOKUP($B72,tablero!$S$5:$AB$201,H$4,FALSE)=0,"",VLOOKUP($B72,tablero!$S$5:$AB$201,H$4,FALSE))</f>
        <v/>
      </c>
      <c r="I72" s="49" t="str">
        <f>+IF(VLOOKUP($B72,tablero!$S$5:$AB$201,I$4,FALSE)=0,"",VLOOKUP($B72,tablero!$S$5:$AB$201,I$4,FALSE))</f>
        <v/>
      </c>
      <c r="J72" s="49" t="str">
        <f>+IF(VLOOKUP($B72,tablero!$S$5:$AC$201,J$4,FALSE)=0,"",VLOOKUP($B72,tablero!$S$5:$AC$201,J$4,FALSE))</f>
        <v/>
      </c>
    </row>
    <row r="73" spans="2:49" ht="14.25" customHeight="1" x14ac:dyDescent="0.25">
      <c r="B73" s="63" t="s">
        <v>1358</v>
      </c>
      <c r="C73" s="27" t="s">
        <v>1355</v>
      </c>
      <c r="E73" s="49" t="str">
        <f>+IF(VLOOKUP($B73,tablero!$S$5:$AB$201,E$4,FALSE)=0,"",VLOOKUP($B73,tablero!$S$5:$AB$201,E$4,FALSE))</f>
        <v>x</v>
      </c>
      <c r="F73" s="49" t="str">
        <f>+IF(VLOOKUP($B73,tablero!$S$5:$AB$201,F$4,FALSE)=0,"",VLOOKUP($B73,tablero!$S$5:$AB$201,F$4,FALSE))</f>
        <v/>
      </c>
      <c r="G73" s="49" t="str">
        <f>+IF(VLOOKUP($B73,tablero!$S$5:$AB$201,G$4,FALSE)=0,"",VLOOKUP($B73,tablero!$S$5:$AB$201,G$4,FALSE))</f>
        <v/>
      </c>
      <c r="H73" s="49" t="str">
        <f>+IF(VLOOKUP($B73,tablero!$S$5:$AB$201,H$4,FALSE)=0,"",VLOOKUP($B73,tablero!$S$5:$AB$201,H$4,FALSE))</f>
        <v/>
      </c>
      <c r="I73" s="49" t="str">
        <f>+IF(VLOOKUP($B73,tablero!$S$5:$AB$201,I$4,FALSE)=0,"",VLOOKUP($B73,tablero!$S$5:$AB$201,I$4,FALSE))</f>
        <v/>
      </c>
      <c r="J73" s="49" t="str">
        <f>+IF(VLOOKUP($B73,tablero!$S$5:$AC$201,J$4,FALSE)=0,"",VLOOKUP($B73,tablero!$S$5:$AC$201,J$4,FALSE))</f>
        <v/>
      </c>
    </row>
    <row r="74" spans="2:49" ht="14.25" customHeight="1" x14ac:dyDescent="0.25">
      <c r="B74" s="63" t="s">
        <v>2191</v>
      </c>
      <c r="C74" s="27" t="s">
        <v>2192</v>
      </c>
      <c r="E74" s="49" t="s">
        <v>1564</v>
      </c>
      <c r="F74" s="49" t="s">
        <v>1564</v>
      </c>
      <c r="G74" s="49"/>
      <c r="H74" s="49"/>
      <c r="I74" s="49"/>
      <c r="J74" s="49"/>
      <c r="K74" s="313" t="s">
        <v>2198</v>
      </c>
    </row>
    <row r="75" spans="2:49" x14ac:dyDescent="0.25">
      <c r="B75" s="46"/>
    </row>
    <row r="76" spans="2:49" ht="12.75" x14ac:dyDescent="0.25">
      <c r="B76" s="25" t="s">
        <v>202</v>
      </c>
    </row>
    <row r="77" spans="2:49" s="40" customFormat="1" ht="15" x14ac:dyDescent="0.25">
      <c r="B77" s="51" t="s">
        <v>203</v>
      </c>
      <c r="C77" s="52"/>
      <c r="D77" s="45"/>
      <c r="E77" s="316" t="s">
        <v>1563</v>
      </c>
      <c r="F77" s="316"/>
      <c r="G77" s="316"/>
      <c r="H77" s="316"/>
      <c r="I77" s="316"/>
      <c r="J77" s="316"/>
      <c r="AF77" s="41"/>
      <c r="AG77" s="41"/>
      <c r="AH77" s="41"/>
      <c r="AI77" s="41"/>
      <c r="AJ77" s="41"/>
      <c r="AK77" s="41"/>
      <c r="AL77" s="41"/>
      <c r="AM77" s="41"/>
      <c r="AN77" s="41"/>
      <c r="AO77" s="41"/>
      <c r="AP77" s="41"/>
      <c r="AQ77" s="41"/>
      <c r="AR77" s="41"/>
      <c r="AS77" s="41"/>
      <c r="AT77" s="41"/>
      <c r="AU77" s="41"/>
      <c r="AV77" s="41"/>
      <c r="AW77" s="41"/>
    </row>
    <row r="78" spans="2:49" ht="12.75" x14ac:dyDescent="0.25">
      <c r="B78" s="53" t="s">
        <v>204</v>
      </c>
      <c r="C78" s="54"/>
      <c r="E78" s="47" t="s">
        <v>1558</v>
      </c>
      <c r="F78" s="48" t="s">
        <v>1559</v>
      </c>
      <c r="G78" s="48" t="s">
        <v>1560</v>
      </c>
      <c r="H78" s="48" t="s">
        <v>1561</v>
      </c>
      <c r="I78" s="48" t="s">
        <v>1562</v>
      </c>
      <c r="J78" s="48" t="s">
        <v>1572</v>
      </c>
    </row>
    <row r="79" spans="2:49" ht="24" x14ac:dyDescent="0.25">
      <c r="B79" s="63" t="s">
        <v>205</v>
      </c>
      <c r="C79" s="27" t="s">
        <v>206</v>
      </c>
      <c r="E79" s="49" t="str">
        <f>+IF(VLOOKUP($B79,tablero!$S$5:$AB$201,E$4,FALSE)=0,"",VLOOKUP($B79,tablero!$S$5:$AB$201,E$4,FALSE))</f>
        <v>x</v>
      </c>
      <c r="F79" s="49" t="str">
        <f>+IF(VLOOKUP($B79,tablero!$S$5:$AB$201,F$4,FALSE)=0,"",VLOOKUP($B79,tablero!$S$5:$AB$201,F$4,FALSE))</f>
        <v>x</v>
      </c>
      <c r="G79" s="49" t="str">
        <f>+IF(VLOOKUP($B79,tablero!$S$5:$AB$201,G$4,FALSE)=0,"",VLOOKUP($B79,tablero!$S$5:$AB$201,G$4,FALSE))</f>
        <v>x</v>
      </c>
      <c r="H79" s="49" t="str">
        <f>+IF(VLOOKUP($B79,tablero!$S$5:$AB$201,H$4,FALSE)=0,"",VLOOKUP($B79,tablero!$S$5:$AB$201,H$4,FALSE))</f>
        <v>x</v>
      </c>
      <c r="I79" s="49" t="str">
        <f>+IF(VLOOKUP($B79,tablero!$S$5:$AB$201,I$4,FALSE)=0,"",VLOOKUP($B79,tablero!$S$5:$AB$201,I$4,FALSE))</f>
        <v/>
      </c>
      <c r="J79" s="49" t="str">
        <f>+IF(VLOOKUP($B79,tablero!$S$5:$AC$201,J$4,FALSE)=0,"",VLOOKUP($B79,tablero!$S$5:$AC$201,J$4,FALSE))</f>
        <v/>
      </c>
    </row>
    <row r="80" spans="2:49" ht="24" x14ac:dyDescent="0.25">
      <c r="B80" s="63" t="s">
        <v>207</v>
      </c>
      <c r="C80" s="27" t="s">
        <v>208</v>
      </c>
      <c r="E80" s="49" t="str">
        <f>+IF(VLOOKUP($B80,tablero!$S$5:$AB$201,E$4,FALSE)=0,"",VLOOKUP($B80,tablero!$S$5:$AB$201,E$4,FALSE))</f>
        <v>x</v>
      </c>
      <c r="F80" s="49" t="str">
        <f>+IF(VLOOKUP($B80,tablero!$S$5:$AB$201,F$4,FALSE)=0,"",VLOOKUP($B80,tablero!$S$5:$AB$201,F$4,FALSE))</f>
        <v>x</v>
      </c>
      <c r="G80" s="49" t="s">
        <v>1564</v>
      </c>
      <c r="H80" s="49" t="str">
        <f>+IF(VLOOKUP($B80,tablero!$S$5:$AB$201,H$4,FALSE)=0,"",VLOOKUP($B80,tablero!$S$5:$AB$201,H$4,FALSE))</f>
        <v>x</v>
      </c>
      <c r="I80" s="49" t="str">
        <f>+IF(VLOOKUP($B80,tablero!$S$5:$AB$201,I$4,FALSE)=0,"",VLOOKUP($B80,tablero!$S$5:$AB$201,I$4,FALSE))</f>
        <v/>
      </c>
      <c r="J80" s="49" t="str">
        <f>+IF(VLOOKUP($B80,tablero!$S$5:$AC$201,J$4,FALSE)=0,"",VLOOKUP($B80,tablero!$S$5:$AC$201,J$4,FALSE))</f>
        <v/>
      </c>
    </row>
    <row r="81" spans="2:10" ht="24" x14ac:dyDescent="0.25">
      <c r="B81" s="63" t="s">
        <v>209</v>
      </c>
      <c r="C81" s="27" t="s">
        <v>210</v>
      </c>
      <c r="E81" s="49" t="str">
        <f>+IF(VLOOKUP($B81,tablero!$S$5:$AB$201,E$4,FALSE)=0,"",VLOOKUP($B81,tablero!$S$5:$AB$201,E$4,FALSE))</f>
        <v>x</v>
      </c>
      <c r="F81" s="49" t="str">
        <f>+IF(VLOOKUP($B81,tablero!$S$5:$AB$201,F$4,FALSE)=0,"",VLOOKUP($B81,tablero!$S$5:$AB$201,F$4,FALSE))</f>
        <v/>
      </c>
      <c r="G81" s="49" t="str">
        <f>+IF(VLOOKUP($B81,tablero!$S$5:$AB$201,G$4,FALSE)=0,"",VLOOKUP($B81,tablero!$S$5:$AB$201,G$4,FALSE))</f>
        <v/>
      </c>
      <c r="H81" s="49" t="str">
        <f>+IF(VLOOKUP($B81,tablero!$S$5:$AB$201,H$4,FALSE)=0,"",VLOOKUP($B81,tablero!$S$5:$AB$201,H$4,FALSE))</f>
        <v>x</v>
      </c>
      <c r="I81" s="49" t="str">
        <f>+IF(VLOOKUP($B81,tablero!$S$5:$AB$201,I$4,FALSE)=0,"",VLOOKUP($B81,tablero!$S$5:$AB$201,I$4,FALSE))</f>
        <v/>
      </c>
      <c r="J81" s="49" t="str">
        <f>+IF(VLOOKUP($B81,tablero!$S$5:$AC$201,J$4,FALSE)=0,"",VLOOKUP($B81,tablero!$S$5:$AC$201,J$4,FALSE))</f>
        <v/>
      </c>
    </row>
    <row r="82" spans="2:10" ht="24" x14ac:dyDescent="0.25">
      <c r="B82" s="63" t="s">
        <v>211</v>
      </c>
      <c r="C82" s="27" t="s">
        <v>212</v>
      </c>
      <c r="E82" s="49" t="str">
        <f>+IF(VLOOKUP($B82,tablero!$S$5:$AB$201,E$4,FALSE)=0,"",VLOOKUP($B82,tablero!$S$5:$AB$201,E$4,FALSE))</f>
        <v>x</v>
      </c>
      <c r="F82" s="49" t="str">
        <f>+IF(VLOOKUP($B82,tablero!$S$5:$AB$201,F$4,FALSE)=0,"",VLOOKUP($B82,tablero!$S$5:$AB$201,F$4,FALSE))</f>
        <v>x</v>
      </c>
      <c r="G82" s="49" t="str">
        <f>+IF(VLOOKUP($B82,tablero!$S$5:$AB$201,G$4,FALSE)=0,"",VLOOKUP($B82,tablero!$S$5:$AB$201,G$4,FALSE))</f>
        <v/>
      </c>
      <c r="H82" s="49" t="str">
        <f>+IF(VLOOKUP($B82,tablero!$S$5:$AB$201,H$4,FALSE)=0,"",VLOOKUP($B82,tablero!$S$5:$AB$201,H$4,FALSE))</f>
        <v>x</v>
      </c>
      <c r="I82" s="49" t="str">
        <f>+IF(VLOOKUP($B82,tablero!$S$5:$AB$201,I$4,FALSE)=0,"",VLOOKUP($B82,tablero!$S$5:$AB$201,I$4,FALSE))</f>
        <v/>
      </c>
      <c r="J82" s="49" t="str">
        <f>+IF(VLOOKUP($B82,tablero!$S$5:$AC$201,J$4,FALSE)=0,"",VLOOKUP($B82,tablero!$S$5:$AC$201,J$4,FALSE))</f>
        <v/>
      </c>
    </row>
    <row r="83" spans="2:10" ht="12" customHeight="1" x14ac:dyDescent="0.25">
      <c r="B83" s="63" t="s">
        <v>213</v>
      </c>
      <c r="C83" s="27" t="s">
        <v>214</v>
      </c>
      <c r="E83" s="49" t="str">
        <f>+IF(VLOOKUP($B83,tablero!$S$5:$AB$201,E$4,FALSE)=0,"",VLOOKUP($B83,tablero!$S$5:$AB$201,E$4,FALSE))</f>
        <v>x</v>
      </c>
      <c r="F83" s="49" t="str">
        <f>+IF(VLOOKUP($B83,tablero!$S$5:$AB$201,F$4,FALSE)=0,"",VLOOKUP($B83,tablero!$S$5:$AB$201,F$4,FALSE))</f>
        <v/>
      </c>
      <c r="G83" s="49" t="str">
        <f>+IF(VLOOKUP($B83,tablero!$S$5:$AB$201,G$4,FALSE)=0,"",VLOOKUP($B83,tablero!$S$5:$AB$201,G$4,FALSE))</f>
        <v/>
      </c>
      <c r="H83" s="49" t="str">
        <f>+IF(VLOOKUP($B83,tablero!$S$5:$AB$201,H$4,FALSE)=0,"",VLOOKUP($B83,tablero!$S$5:$AB$201,H$4,FALSE))</f>
        <v>x</v>
      </c>
      <c r="I83" s="49" t="str">
        <f>+IF(VLOOKUP($B83,tablero!$S$5:$AB$201,I$4,FALSE)=0,"",VLOOKUP($B83,tablero!$S$5:$AB$201,I$4,FALSE))</f>
        <v/>
      </c>
      <c r="J83" s="49" t="str">
        <f>+IF(VLOOKUP($B83,tablero!$S$5:$AC$201,J$4,FALSE)=0,"",VLOOKUP($B83,tablero!$S$5:$AC$201,J$4,FALSE))</f>
        <v/>
      </c>
    </row>
    <row r="84" spans="2:10" ht="24" x14ac:dyDescent="0.25">
      <c r="B84" s="63" t="s">
        <v>215</v>
      </c>
      <c r="C84" s="27" t="s">
        <v>216</v>
      </c>
      <c r="E84" s="49" t="str">
        <f>+IF(VLOOKUP($B84,tablero!$S$5:$AB$201,E$4,FALSE)=0,"",VLOOKUP($B84,tablero!$S$5:$AB$201,E$4,FALSE))</f>
        <v>x</v>
      </c>
      <c r="F84" s="49" t="str">
        <f>+IF(VLOOKUP($B84,tablero!$S$5:$AB$201,F$4,FALSE)=0,"",VLOOKUP($B84,tablero!$S$5:$AB$201,F$4,FALSE))</f>
        <v/>
      </c>
      <c r="G84" s="49" t="str">
        <f>+IF(VLOOKUP($B84,tablero!$S$5:$AB$201,G$4,FALSE)=0,"",VLOOKUP($B84,tablero!$S$5:$AB$201,G$4,FALSE))</f>
        <v/>
      </c>
      <c r="H84" s="49" t="str">
        <f>+IF(VLOOKUP($B84,tablero!$S$5:$AB$201,H$4,FALSE)=0,"",VLOOKUP($B84,tablero!$S$5:$AB$201,H$4,FALSE))</f>
        <v>x</v>
      </c>
      <c r="I84" s="49" t="str">
        <f>+IF(VLOOKUP($B84,tablero!$S$5:$AB$201,I$4,FALSE)=0,"",VLOOKUP($B84,tablero!$S$5:$AB$201,I$4,FALSE))</f>
        <v>x</v>
      </c>
      <c r="J84" s="49" t="str">
        <f>+IF(VLOOKUP($B84,tablero!$S$5:$AC$201,J$4,FALSE)=0,"",VLOOKUP($B84,tablero!$S$5:$AC$201,J$4,FALSE))</f>
        <v/>
      </c>
    </row>
    <row r="85" spans="2:10" ht="24" x14ac:dyDescent="0.25">
      <c r="B85" s="63" t="s">
        <v>217</v>
      </c>
      <c r="C85" s="27" t="s">
        <v>218</v>
      </c>
      <c r="E85" s="49" t="str">
        <f>+IF(VLOOKUP($B85,tablero!$S$5:$AB$201,E$4,FALSE)=0,"",VLOOKUP($B85,tablero!$S$5:$AB$201,E$4,FALSE))</f>
        <v>x</v>
      </c>
      <c r="F85" s="49" t="str">
        <f>+IF(VLOOKUP($B85,tablero!$S$5:$AB$201,F$4,FALSE)=0,"",VLOOKUP($B85,tablero!$S$5:$AB$201,F$4,FALSE))</f>
        <v/>
      </c>
      <c r="G85" s="49" t="str">
        <f>+IF(VLOOKUP($B85,tablero!$S$5:$AB$201,G$4,FALSE)=0,"",VLOOKUP($B85,tablero!$S$5:$AB$201,G$4,FALSE))</f>
        <v/>
      </c>
      <c r="H85" s="49" t="str">
        <f>+IF(VLOOKUP($B85,tablero!$S$5:$AB$201,H$4,FALSE)=0,"",VLOOKUP($B85,tablero!$S$5:$AB$201,H$4,FALSE))</f>
        <v>x</v>
      </c>
      <c r="I85" s="49" t="str">
        <f>+IF(VLOOKUP($B85,tablero!$S$5:$AB$201,I$4,FALSE)=0,"",VLOOKUP($B85,tablero!$S$5:$AB$201,I$4,FALSE))</f>
        <v>x</v>
      </c>
      <c r="J85" s="49" t="str">
        <f>+IF(VLOOKUP($B85,tablero!$S$5:$AC$201,J$4,FALSE)=0,"",VLOOKUP($B85,tablero!$S$5:$AC$201,J$4,FALSE))</f>
        <v/>
      </c>
    </row>
    <row r="86" spans="2:10" ht="24" x14ac:dyDescent="0.25">
      <c r="B86" s="63" t="s">
        <v>219</v>
      </c>
      <c r="C86" s="27" t="s">
        <v>2155</v>
      </c>
      <c r="E86" s="49" t="str">
        <f>+IF(VLOOKUP($B86,tablero!$S$5:$AB$201,E$4,FALSE)=0,"",VLOOKUP($B86,tablero!$S$5:$AB$201,E$4,FALSE))</f>
        <v>x</v>
      </c>
      <c r="F86" s="49" t="str">
        <f>+IF(VLOOKUP($B86,tablero!$S$5:$AB$201,F$4,FALSE)=0,"",VLOOKUP($B86,tablero!$S$5:$AB$201,F$4,FALSE))</f>
        <v/>
      </c>
      <c r="G86" s="49" t="str">
        <f>+IF(VLOOKUP($B86,tablero!$S$5:$AB$201,G$4,FALSE)=0,"",VLOOKUP($B86,tablero!$S$5:$AB$201,G$4,FALSE))</f>
        <v/>
      </c>
      <c r="H86" s="49" t="str">
        <f>+IF(VLOOKUP($B86,tablero!$S$5:$AB$201,H$4,FALSE)=0,"",VLOOKUP($B86,tablero!$S$5:$AB$201,H$4,FALSE))</f>
        <v>x</v>
      </c>
      <c r="I86" s="49" t="str">
        <f>+IF(VLOOKUP($B86,tablero!$S$5:$AB$201,I$4,FALSE)=0,"",VLOOKUP($B86,tablero!$S$5:$AB$201,I$4,FALSE))</f>
        <v>x</v>
      </c>
      <c r="J86" s="49" t="str">
        <f>+IF(VLOOKUP($B86,tablero!$S$5:$AC$201,J$4,FALSE)=0,"",VLOOKUP($B86,tablero!$S$5:$AC$201,J$4,FALSE))</f>
        <v>x</v>
      </c>
    </row>
    <row r="87" spans="2:10" ht="24" x14ac:dyDescent="0.25">
      <c r="B87" s="63" t="s">
        <v>220</v>
      </c>
      <c r="C87" s="27" t="s">
        <v>221</v>
      </c>
      <c r="E87" s="49" t="s">
        <v>1564</v>
      </c>
      <c r="F87" s="49" t="str">
        <f>+IF(VLOOKUP($B87,tablero!$S$5:$AB$201,F$4,FALSE)=0,"",VLOOKUP($B87,tablero!$S$5:$AB$201,F$4,FALSE))</f>
        <v>x</v>
      </c>
      <c r="G87" s="49" t="s">
        <v>1564</v>
      </c>
      <c r="H87" s="49" t="str">
        <f>+IF(VLOOKUP($B87,tablero!$S$5:$AB$201,H$4,FALSE)=0,"",VLOOKUP($B87,tablero!$S$5:$AB$201,H$4,FALSE))</f>
        <v/>
      </c>
      <c r="I87" s="49" t="str">
        <f>+IF(VLOOKUP($B87,tablero!$S$5:$AB$201,I$4,FALSE)=0,"",VLOOKUP($B87,tablero!$S$5:$AB$201,I$4,FALSE))</f>
        <v/>
      </c>
      <c r="J87" s="49" t="str">
        <f>+IF(VLOOKUP($B87,tablero!$S$5:$AC$201,J$4,FALSE)=0,"",VLOOKUP($B87,tablero!$S$5:$AC$201,J$4,FALSE))</f>
        <v/>
      </c>
    </row>
    <row r="88" spans="2:10" x14ac:dyDescent="0.25">
      <c r="B88" s="63" t="s">
        <v>222</v>
      </c>
      <c r="C88" s="27" t="s">
        <v>237</v>
      </c>
      <c r="E88" s="49" t="s">
        <v>1564</v>
      </c>
      <c r="F88" s="49" t="str">
        <f>+IF(VLOOKUP($B88,tablero!$S$5:$AB$201,F$4,FALSE)=0,"",VLOOKUP($B88,tablero!$S$5:$AB$201,F$4,FALSE))</f>
        <v>x</v>
      </c>
      <c r="G88" s="49" t="s">
        <v>1564</v>
      </c>
      <c r="H88" s="49" t="str">
        <f>+IF(VLOOKUP($B88,tablero!$S$5:$AB$201,H$4,FALSE)=0,"",VLOOKUP($B88,tablero!$S$5:$AB$201,H$4,FALSE))</f>
        <v/>
      </c>
      <c r="I88" s="49" t="str">
        <f>+IF(VLOOKUP($B88,tablero!$S$5:$AB$201,I$4,FALSE)=0,"",VLOOKUP($B88,tablero!$S$5:$AB$201,I$4,FALSE))</f>
        <v/>
      </c>
      <c r="J88" s="49" t="str">
        <f>+IF(VLOOKUP($B88,tablero!$S$5:$AC$201,J$4,FALSE)=0,"",VLOOKUP($B88,tablero!$S$5:$AC$201,J$4,FALSE))</f>
        <v/>
      </c>
    </row>
    <row r="89" spans="2:10" ht="24" x14ac:dyDescent="0.25">
      <c r="B89" s="63" t="s">
        <v>224</v>
      </c>
      <c r="C89" s="27" t="s">
        <v>223</v>
      </c>
      <c r="E89" s="49" t="s">
        <v>1564</v>
      </c>
      <c r="F89" s="49" t="str">
        <f>+IF(VLOOKUP($B89,tablero!$S$5:$AB$201,F$4,FALSE)=0,"",VLOOKUP($B89,tablero!$S$5:$AB$201,F$4,FALSE))</f>
        <v>x</v>
      </c>
      <c r="G89" s="49" t="s">
        <v>1564</v>
      </c>
      <c r="H89" s="49" t="str">
        <f>+IF(VLOOKUP($B89,tablero!$S$5:$AB$201,H$4,FALSE)=0,"",VLOOKUP($B89,tablero!$S$5:$AB$201,H$4,FALSE))</f>
        <v/>
      </c>
      <c r="I89" s="49" t="str">
        <f>+IF(VLOOKUP($B89,tablero!$S$5:$AB$201,I$4,FALSE)=0,"",VLOOKUP($B89,tablero!$S$5:$AB$201,I$4,FALSE))</f>
        <v/>
      </c>
      <c r="J89" s="49" t="str">
        <f>+IF(VLOOKUP($B89,tablero!$S$5:$AC$201,J$4,FALSE)=0,"",VLOOKUP($B89,tablero!$S$5:$AC$201,J$4,FALSE))</f>
        <v/>
      </c>
    </row>
    <row r="90" spans="2:10" ht="24" x14ac:dyDescent="0.25">
      <c r="B90" s="63" t="s">
        <v>226</v>
      </c>
      <c r="C90" s="27" t="s">
        <v>225</v>
      </c>
      <c r="E90" s="49" t="s">
        <v>1564</v>
      </c>
      <c r="F90" s="49" t="str">
        <f>+IF(VLOOKUP($B90,tablero!$S$5:$AB$201,F$4,FALSE)=0,"",VLOOKUP($B90,tablero!$S$5:$AB$201,F$4,FALSE))</f>
        <v>x</v>
      </c>
      <c r="G90" s="49" t="s">
        <v>1564</v>
      </c>
      <c r="H90" s="49" t="str">
        <f>+IF(VLOOKUP($B90,tablero!$S$5:$AB$201,H$4,FALSE)=0,"",VLOOKUP($B90,tablero!$S$5:$AB$201,H$4,FALSE))</f>
        <v/>
      </c>
      <c r="I90" s="49" t="str">
        <f>+IF(VLOOKUP($B90,tablero!$S$5:$AB$201,I$4,FALSE)=0,"",VLOOKUP($B90,tablero!$S$5:$AB$201,I$4,FALSE))</f>
        <v/>
      </c>
      <c r="J90" s="49" t="str">
        <f>+IF(VLOOKUP($B90,tablero!$S$5:$AC$201,J$4,FALSE)=0,"",VLOOKUP($B90,tablero!$S$5:$AC$201,J$4,FALSE))</f>
        <v/>
      </c>
    </row>
    <row r="91" spans="2:10" x14ac:dyDescent="0.25">
      <c r="B91" s="63" t="s">
        <v>228</v>
      </c>
      <c r="C91" s="27" t="s">
        <v>227</v>
      </c>
      <c r="E91" s="49" t="s">
        <v>1564</v>
      </c>
      <c r="F91" s="49" t="str">
        <f>+IF(VLOOKUP($B91,tablero!$S$5:$AB$201,F$4,FALSE)=0,"",VLOOKUP($B91,tablero!$S$5:$AB$201,F$4,FALSE))</f>
        <v>x</v>
      </c>
      <c r="G91" s="49" t="s">
        <v>1564</v>
      </c>
      <c r="H91" s="49" t="str">
        <f>+IF(VLOOKUP($B91,tablero!$S$5:$AB$201,H$4,FALSE)=0,"",VLOOKUP($B91,tablero!$S$5:$AB$201,H$4,FALSE))</f>
        <v/>
      </c>
      <c r="I91" s="49" t="str">
        <f>+IF(VLOOKUP($B91,tablero!$S$5:$AB$201,I$4,FALSE)=0,"",VLOOKUP($B91,tablero!$S$5:$AB$201,I$4,FALSE))</f>
        <v/>
      </c>
      <c r="J91" s="49" t="str">
        <f>+IF(VLOOKUP($B91,tablero!$S$5:$AC$201,J$4,FALSE)=0,"",VLOOKUP($B91,tablero!$S$5:$AC$201,J$4,FALSE))</f>
        <v/>
      </c>
    </row>
    <row r="92" spans="2:10" ht="24" x14ac:dyDescent="0.25">
      <c r="B92" s="63" t="s">
        <v>230</v>
      </c>
      <c r="C92" s="27" t="s">
        <v>229</v>
      </c>
      <c r="E92" s="49" t="s">
        <v>1564</v>
      </c>
      <c r="F92" s="49" t="str">
        <f>+IF(VLOOKUP($B92,tablero!$S$5:$AB$201,F$4,FALSE)=0,"",VLOOKUP($B92,tablero!$S$5:$AB$201,F$4,FALSE))</f>
        <v>x</v>
      </c>
      <c r="G92" s="49" t="s">
        <v>500</v>
      </c>
      <c r="H92" s="49" t="str">
        <f>+IF(VLOOKUP($B92,tablero!$S$5:$AB$201,H$4,FALSE)=0,"",VLOOKUP($B92,tablero!$S$5:$AB$201,H$4,FALSE))</f>
        <v/>
      </c>
      <c r="I92" s="49" t="str">
        <f>+IF(VLOOKUP($B92,tablero!$S$5:$AB$201,I$4,FALSE)=0,"",VLOOKUP($B92,tablero!$S$5:$AB$201,I$4,FALSE))</f>
        <v/>
      </c>
      <c r="J92" s="49" t="str">
        <f>+IF(VLOOKUP($B92,tablero!$S$5:$AC$201,J$4,FALSE)=0,"",VLOOKUP($B92,tablero!$S$5:$AC$201,J$4,FALSE))</f>
        <v/>
      </c>
    </row>
    <row r="93" spans="2:10" ht="24" x14ac:dyDescent="0.25">
      <c r="B93" s="63" t="s">
        <v>232</v>
      </c>
      <c r="C93" s="27" t="s">
        <v>231</v>
      </c>
      <c r="E93" s="49" t="s">
        <v>1564</v>
      </c>
      <c r="F93" s="49" t="str">
        <f>+IF(VLOOKUP($B93,tablero!$S$5:$AB$201,F$4,FALSE)=0,"",VLOOKUP($B93,tablero!$S$5:$AB$201,F$4,FALSE))</f>
        <v>x</v>
      </c>
      <c r="G93" s="49" t="s">
        <v>500</v>
      </c>
      <c r="H93" s="49" t="str">
        <f>+IF(VLOOKUP($B93,tablero!$S$5:$AB$201,H$4,FALSE)=0,"",VLOOKUP($B93,tablero!$S$5:$AB$201,H$4,FALSE))</f>
        <v/>
      </c>
      <c r="I93" s="49" t="str">
        <f>+IF(VLOOKUP($B93,tablero!$S$5:$AB$201,I$4,FALSE)=0,"",VLOOKUP($B93,tablero!$S$5:$AB$201,I$4,FALSE))</f>
        <v/>
      </c>
      <c r="J93" s="49" t="str">
        <f>+IF(VLOOKUP($B93,tablero!$S$5:$AC$201,J$4,FALSE)=0,"",VLOOKUP($B93,tablero!$S$5:$AC$201,J$4,FALSE))</f>
        <v/>
      </c>
    </row>
    <row r="94" spans="2:10" ht="24" x14ac:dyDescent="0.25">
      <c r="B94" s="63" t="s">
        <v>234</v>
      </c>
      <c r="C94" s="27" t="s">
        <v>233</v>
      </c>
      <c r="E94" s="49" t="s">
        <v>1564</v>
      </c>
      <c r="F94" s="49" t="str">
        <f>+IF(VLOOKUP($B94,tablero!$S$5:$AB$201,F$4,FALSE)=0,"",VLOOKUP($B94,tablero!$S$5:$AB$201,F$4,FALSE))</f>
        <v>x</v>
      </c>
      <c r="G94" s="49" t="s">
        <v>500</v>
      </c>
      <c r="H94" s="49" t="str">
        <f>+IF(VLOOKUP($B94,tablero!$S$5:$AB$201,H$4,FALSE)=0,"",VLOOKUP($B94,tablero!$S$5:$AB$201,H$4,FALSE))</f>
        <v/>
      </c>
      <c r="I94" s="49" t="str">
        <f>+IF(VLOOKUP($B94,tablero!$S$5:$AB$201,I$4,FALSE)=0,"",VLOOKUP($B94,tablero!$S$5:$AB$201,I$4,FALSE))</f>
        <v/>
      </c>
      <c r="J94" s="49" t="str">
        <f>+IF(VLOOKUP($B94,tablero!$S$5:$AC$201,J$4,FALSE)=0,"",VLOOKUP($B94,tablero!$S$5:$AC$201,J$4,FALSE))</f>
        <v/>
      </c>
    </row>
    <row r="95" spans="2:10" ht="24" x14ac:dyDescent="0.25">
      <c r="B95" s="63" t="s">
        <v>236</v>
      </c>
      <c r="C95" s="27" t="s">
        <v>235</v>
      </c>
      <c r="E95" s="49" t="s">
        <v>1564</v>
      </c>
      <c r="F95" s="49" t="str">
        <f>+IF(VLOOKUP($B95,tablero!$S$5:$AB$201,F$4,FALSE)=0,"",VLOOKUP($B95,tablero!$S$5:$AB$201,F$4,FALSE))</f>
        <v>x</v>
      </c>
      <c r="G95" s="49" t="s">
        <v>1564</v>
      </c>
      <c r="H95" s="49" t="str">
        <f>+IF(VLOOKUP($B95,tablero!$S$5:$AB$201,H$4,FALSE)=0,"",VLOOKUP($B95,tablero!$S$5:$AB$201,H$4,FALSE))</f>
        <v/>
      </c>
      <c r="I95" s="49" t="str">
        <f>+IF(VLOOKUP($B95,tablero!$S$5:$AB$201,I$4,FALSE)=0,"",VLOOKUP($B95,tablero!$S$5:$AB$201,I$4,FALSE))</f>
        <v/>
      </c>
      <c r="J95" s="49" t="str">
        <f>+IF(VLOOKUP($B95,tablero!$S$5:$AC$201,J$4,FALSE)=0,"",VLOOKUP($B95,tablero!$S$5:$AC$201,J$4,FALSE))</f>
        <v/>
      </c>
    </row>
    <row r="96" spans="2:10" x14ac:dyDescent="0.25">
      <c r="B96" s="63" t="s">
        <v>1359</v>
      </c>
      <c r="C96" s="27" t="s">
        <v>1355</v>
      </c>
      <c r="E96" s="49" t="str">
        <f>+IF(VLOOKUP($B96,tablero!$S$5:$AB$201,E$4,FALSE)=0,"",VLOOKUP($B96,tablero!$S$5:$AB$201,E$4,FALSE))</f>
        <v>x</v>
      </c>
      <c r="F96" s="49" t="str">
        <f>+IF(VLOOKUP($B96,tablero!$S$5:$AB$201,F$4,FALSE)=0,"",VLOOKUP($B96,tablero!$S$5:$AB$201,F$4,FALSE))</f>
        <v/>
      </c>
      <c r="G96" s="49" t="str">
        <f>+IF(VLOOKUP($B96,tablero!$S$5:$AB$201,G$4,FALSE)=0,"",VLOOKUP($B96,tablero!$S$5:$AB$201,G$4,FALSE))</f>
        <v/>
      </c>
      <c r="H96" s="49" t="str">
        <f>+IF(VLOOKUP($B96,tablero!$S$5:$AB$201,H$4,FALSE)=0,"",VLOOKUP($B96,tablero!$S$5:$AB$201,H$4,FALSE))</f>
        <v/>
      </c>
      <c r="I96" s="49" t="str">
        <f>+IF(VLOOKUP($B96,tablero!$S$5:$AB$201,I$4,FALSE)=0,"",VLOOKUP($B96,tablero!$S$5:$AB$201,I$4,FALSE))</f>
        <v/>
      </c>
      <c r="J96" s="49" t="str">
        <f>+IF(VLOOKUP($B96,tablero!$S$5:$AC$201,J$4,FALSE)=0,"",VLOOKUP($B96,tablero!$S$5:$AC$201,J$4,FALSE))</f>
        <v/>
      </c>
    </row>
    <row r="97" spans="2:49" x14ac:dyDescent="0.25">
      <c r="B97" s="63" t="s">
        <v>2206</v>
      </c>
      <c r="C97" s="486" t="s">
        <v>2208</v>
      </c>
      <c r="E97" s="49" t="s">
        <v>1564</v>
      </c>
      <c r="F97" s="49" t="s">
        <v>1564</v>
      </c>
      <c r="G97" s="49" t="s">
        <v>1564</v>
      </c>
      <c r="H97" s="49"/>
      <c r="I97" s="49"/>
      <c r="J97" s="49"/>
    </row>
    <row r="98" spans="2:49" ht="12.75" x14ac:dyDescent="0.25">
      <c r="B98" s="53" t="s">
        <v>238</v>
      </c>
      <c r="C98" s="54"/>
      <c r="E98" s="47" t="s">
        <v>1558</v>
      </c>
      <c r="F98" s="48" t="s">
        <v>1559</v>
      </c>
      <c r="G98" s="48" t="s">
        <v>1560</v>
      </c>
      <c r="H98" s="48" t="s">
        <v>1561</v>
      </c>
      <c r="I98" s="48" t="s">
        <v>1562</v>
      </c>
      <c r="J98" s="48" t="s">
        <v>1572</v>
      </c>
    </row>
    <row r="99" spans="2:49" ht="24" x14ac:dyDescent="0.25">
      <c r="B99" s="63" t="s">
        <v>239</v>
      </c>
      <c r="C99" s="27" t="s">
        <v>240</v>
      </c>
      <c r="E99" s="49" t="str">
        <f>+IF(VLOOKUP($B99,tablero!$S$5:$AB$201,E$4,FALSE)=0,"",VLOOKUP($B99,tablero!$S$5:$AB$201,E$4,FALSE))</f>
        <v>x</v>
      </c>
      <c r="F99" s="49" t="str">
        <f>+IF(VLOOKUP($B99,tablero!$S$5:$AB$201,F$4,FALSE)=0,"",VLOOKUP($B99,tablero!$S$5:$AB$201,F$4,FALSE))</f>
        <v>x</v>
      </c>
      <c r="G99" s="49" t="str">
        <f>+IF(VLOOKUP($B99,tablero!$S$5:$AB$201,G$4,FALSE)=0,"",VLOOKUP($B99,tablero!$S$5:$AB$201,G$4,FALSE))</f>
        <v/>
      </c>
      <c r="H99" s="49" t="str">
        <f>+IF(VLOOKUP($B99,tablero!$S$5:$AB$201,H$4,FALSE)=0,"",VLOOKUP($B99,tablero!$S$5:$AB$201,H$4,FALSE))</f>
        <v>x</v>
      </c>
      <c r="I99" s="49" t="str">
        <f>+IF(VLOOKUP($B99,tablero!$S$5:$AB$201,I$4,FALSE)=0,"",VLOOKUP($B99,tablero!$S$5:$AB$201,I$4,FALSE))</f>
        <v/>
      </c>
      <c r="J99" s="49" t="str">
        <f>+IF(VLOOKUP($B99,tablero!$S$5:$AC$201,J$4,FALSE)=0,"",VLOOKUP($B99,tablero!$S$5:$AC$201,J$4,FALSE))</f>
        <v/>
      </c>
    </row>
    <row r="100" spans="2:49" ht="24" x14ac:dyDescent="0.25">
      <c r="B100" s="63" t="s">
        <v>241</v>
      </c>
      <c r="C100" s="27" t="s">
        <v>242</v>
      </c>
      <c r="E100" s="49" t="str">
        <f>+IF(VLOOKUP($B100,tablero!$S$5:$AB$201,E$4,FALSE)=0,"",VLOOKUP($B100,tablero!$S$5:$AB$201,E$4,FALSE))</f>
        <v>x</v>
      </c>
      <c r="F100" s="49" t="str">
        <f>+IF(VLOOKUP($B100,tablero!$S$5:$AB$201,F$4,FALSE)=0,"",VLOOKUP($B100,tablero!$S$5:$AB$201,F$4,FALSE))</f>
        <v>x</v>
      </c>
      <c r="G100" s="49" t="str">
        <f>+IF(VLOOKUP($B100,tablero!$S$5:$AB$201,G$4,FALSE)=0,"",VLOOKUP($B100,tablero!$S$5:$AB$201,G$4,FALSE))</f>
        <v/>
      </c>
      <c r="H100" s="49" t="str">
        <f>+IF(VLOOKUP($B100,tablero!$S$5:$AB$201,H$4,FALSE)=0,"",VLOOKUP($B100,tablero!$S$5:$AB$201,H$4,FALSE))</f>
        <v>x</v>
      </c>
      <c r="I100" s="49" t="str">
        <f>+IF(VLOOKUP($B100,tablero!$S$5:$AB$201,I$4,FALSE)=0,"",VLOOKUP($B100,tablero!$S$5:$AB$201,I$4,FALSE))</f>
        <v>x</v>
      </c>
      <c r="J100" s="49" t="str">
        <f>+IF(VLOOKUP($B100,tablero!$S$5:$AC$201,J$4,FALSE)=0,"",VLOOKUP($B100,tablero!$S$5:$AC$201,J$4,FALSE))</f>
        <v/>
      </c>
    </row>
    <row r="101" spans="2:49" ht="24" x14ac:dyDescent="0.25">
      <c r="B101" s="63" t="s">
        <v>243</v>
      </c>
      <c r="C101" s="27" t="s">
        <v>244</v>
      </c>
      <c r="E101" s="49" t="str">
        <f>+IF(VLOOKUP($B101,tablero!$S$5:$AB$201,E$4,FALSE)=0,"",VLOOKUP($B101,tablero!$S$5:$AB$201,E$4,FALSE))</f>
        <v>x</v>
      </c>
      <c r="F101" s="49" t="str">
        <f>+IF(VLOOKUP($B101,tablero!$S$5:$AB$201,F$4,FALSE)=0,"",VLOOKUP($B101,tablero!$S$5:$AB$201,F$4,FALSE))</f>
        <v>x</v>
      </c>
      <c r="G101" s="49" t="str">
        <f>+IF(VLOOKUP($B101,tablero!$S$5:$AB$201,G$4,FALSE)=0,"",VLOOKUP($B101,tablero!$S$5:$AB$201,G$4,FALSE))</f>
        <v/>
      </c>
      <c r="H101" s="49" t="str">
        <f>+IF(VLOOKUP($B101,tablero!$S$5:$AB$201,H$4,FALSE)=0,"",VLOOKUP($B101,tablero!$S$5:$AB$201,H$4,FALSE))</f>
        <v>x</v>
      </c>
      <c r="I101" s="49" t="str">
        <f>+IF(VLOOKUP($B101,tablero!$S$5:$AB$201,I$4,FALSE)=0,"",VLOOKUP($B101,tablero!$S$5:$AB$201,I$4,FALSE))</f>
        <v>x</v>
      </c>
      <c r="J101" s="49" t="str">
        <f>+IF(VLOOKUP($B101,tablero!$S$5:$AC$201,J$4,FALSE)=0,"",VLOOKUP($B101,tablero!$S$5:$AC$201,J$4,FALSE))</f>
        <v/>
      </c>
    </row>
    <row r="102" spans="2:49" ht="24" x14ac:dyDescent="0.25">
      <c r="B102" s="63" t="s">
        <v>245</v>
      </c>
      <c r="C102" s="27" t="s">
        <v>246</v>
      </c>
      <c r="E102" s="49" t="str">
        <f>+IF(VLOOKUP($B102,tablero!$S$5:$AB$201,E$4,FALSE)=0,"",VLOOKUP($B102,tablero!$S$5:$AB$201,E$4,FALSE))</f>
        <v>x</v>
      </c>
      <c r="F102" s="49" t="str">
        <f>+IF(VLOOKUP($B102,tablero!$S$5:$AB$201,F$4,FALSE)=0,"",VLOOKUP($B102,tablero!$S$5:$AB$201,F$4,FALSE))</f>
        <v>x</v>
      </c>
      <c r="G102" s="49" t="str">
        <f>+IF(VLOOKUP($B102,tablero!$S$5:$AB$201,G$4,FALSE)=0,"",VLOOKUP($B102,tablero!$S$5:$AB$201,G$4,FALSE))</f>
        <v/>
      </c>
      <c r="H102" s="49" t="str">
        <f>+IF(VLOOKUP($B102,tablero!$S$5:$AB$201,H$4,FALSE)=0,"",VLOOKUP($B102,tablero!$S$5:$AB$201,H$4,FALSE))</f>
        <v/>
      </c>
      <c r="I102" s="49" t="str">
        <f>+IF(VLOOKUP($B102,tablero!$S$5:$AB$201,I$4,FALSE)=0,"",VLOOKUP($B102,tablero!$S$5:$AB$201,I$4,FALSE))</f>
        <v/>
      </c>
      <c r="J102" s="49" t="str">
        <f>+IF(VLOOKUP($B102,tablero!$S$5:$AC$201,J$4,FALSE)=0,"",VLOOKUP($B102,tablero!$S$5:$AC$201,J$4,FALSE))</f>
        <v/>
      </c>
    </row>
    <row r="103" spans="2:49" ht="12.75" x14ac:dyDescent="0.25">
      <c r="B103" s="34" t="s">
        <v>247</v>
      </c>
      <c r="C103" s="37"/>
      <c r="E103" s="47" t="s">
        <v>1558</v>
      </c>
      <c r="F103" s="48" t="s">
        <v>1559</v>
      </c>
      <c r="G103" s="48" t="s">
        <v>1560</v>
      </c>
      <c r="H103" s="48" t="s">
        <v>1561</v>
      </c>
      <c r="I103" s="48" t="s">
        <v>1562</v>
      </c>
      <c r="J103" s="48" t="s">
        <v>1572</v>
      </c>
    </row>
    <row r="104" spans="2:49" ht="24" x14ac:dyDescent="0.25">
      <c r="B104" s="63" t="s">
        <v>248</v>
      </c>
      <c r="C104" s="27" t="s">
        <v>249</v>
      </c>
      <c r="E104" s="49" t="str">
        <f>+IF(VLOOKUP($B104,tablero!$S$5:$AB$201,E$4,FALSE)=0,"",VLOOKUP($B104,tablero!$S$5:$AB$201,E$4,FALSE))</f>
        <v>x</v>
      </c>
      <c r="F104" s="49" t="str">
        <f>+IF(VLOOKUP($B104,tablero!$S$5:$AB$201,F$4,FALSE)=0,"",VLOOKUP($B104,tablero!$S$5:$AB$201,F$4,FALSE))</f>
        <v>x</v>
      </c>
      <c r="G104" s="49" t="str">
        <f>+IF(VLOOKUP($B104,tablero!$S$5:$AB$201,G$4,FALSE)=0,"",VLOOKUP($B104,tablero!$S$5:$AB$201,G$4,FALSE))</f>
        <v/>
      </c>
      <c r="H104" s="49" t="str">
        <f>+IF(VLOOKUP($B104,tablero!$S$5:$AB$201,H$4,FALSE)=0,"",VLOOKUP($B104,tablero!$S$5:$AB$201,H$4,FALSE))</f>
        <v>x</v>
      </c>
      <c r="I104" s="49" t="str">
        <f>+IF(VLOOKUP($B104,tablero!$S$5:$AB$201,I$4,FALSE)=0,"",VLOOKUP($B104,tablero!$S$5:$AB$201,I$4,FALSE))</f>
        <v>x</v>
      </c>
      <c r="J104" s="49" t="str">
        <f>+IF(VLOOKUP($B104,tablero!$S$5:$AC$201,J$4,FALSE)=0,"",VLOOKUP($B104,tablero!$S$5:$AC$201,J$4,FALSE))</f>
        <v>x</v>
      </c>
    </row>
    <row r="105" spans="2:49" x14ac:dyDescent="0.25">
      <c r="B105" s="63" t="s">
        <v>250</v>
      </c>
      <c r="C105" s="27" t="s">
        <v>251</v>
      </c>
      <c r="E105" s="49" t="str">
        <f>+IF(VLOOKUP($B105,tablero!$S$5:$AB$201,E$4,FALSE)=0,"",VLOOKUP($B105,tablero!$S$5:$AB$201,E$4,FALSE))</f>
        <v>x</v>
      </c>
      <c r="F105" s="49" t="str">
        <f>+IF(VLOOKUP($B105,tablero!$S$5:$AB$201,F$4,FALSE)=0,"",VLOOKUP($B105,tablero!$S$5:$AB$201,F$4,FALSE))</f>
        <v/>
      </c>
      <c r="G105" s="49" t="str">
        <f>+IF(VLOOKUP($B105,tablero!$S$5:$AB$201,G$4,FALSE)=0,"",VLOOKUP($B105,tablero!$S$5:$AB$201,G$4,FALSE))</f>
        <v/>
      </c>
      <c r="H105" s="49" t="str">
        <f>+IF(VLOOKUP($B105,tablero!$S$5:$AB$201,H$4,FALSE)=0,"",VLOOKUP($B105,tablero!$S$5:$AB$201,H$4,FALSE))</f>
        <v>x</v>
      </c>
      <c r="I105" s="49" t="str">
        <f>+IF(VLOOKUP($B105,tablero!$S$5:$AB$201,I$4,FALSE)=0,"",VLOOKUP($B105,tablero!$S$5:$AB$201,I$4,FALSE))</f>
        <v>x</v>
      </c>
      <c r="J105" s="49" t="str">
        <f>+IF(VLOOKUP($B105,tablero!$S$5:$AC$201,J$4,FALSE)=0,"",VLOOKUP($B105,tablero!$S$5:$AC$201,J$4,FALSE))</f>
        <v>x</v>
      </c>
    </row>
    <row r="106" spans="2:49" x14ac:dyDescent="0.25">
      <c r="B106" s="63" t="s">
        <v>252</v>
      </c>
      <c r="C106" s="27" t="s">
        <v>253</v>
      </c>
      <c r="E106" s="49" t="str">
        <f>+IF(VLOOKUP($B106,tablero!$S$5:$AB$201,E$4,FALSE)=0,"",VLOOKUP($B106,tablero!$S$5:$AB$201,E$4,FALSE))</f>
        <v>x</v>
      </c>
      <c r="F106" s="49" t="str">
        <f>+IF(VLOOKUP($B106,tablero!$S$5:$AB$201,F$4,FALSE)=0,"",VLOOKUP($B106,tablero!$S$5:$AB$201,F$4,FALSE))</f>
        <v/>
      </c>
      <c r="G106" s="49" t="str">
        <f>+IF(VLOOKUP($B106,tablero!$S$5:$AB$201,G$4,FALSE)=0,"",VLOOKUP($B106,tablero!$S$5:$AB$201,G$4,FALSE))</f>
        <v/>
      </c>
      <c r="H106" s="49" t="str">
        <f>+IF(VLOOKUP($B106,tablero!$S$5:$AB$201,H$4,FALSE)=0,"",VLOOKUP($B106,tablero!$S$5:$AB$201,H$4,FALSE))</f>
        <v>x</v>
      </c>
      <c r="I106" s="49" t="str">
        <f>+IF(VLOOKUP($B106,tablero!$S$5:$AB$201,I$4,FALSE)=0,"",VLOOKUP($B106,tablero!$S$5:$AB$201,I$4,FALSE))</f>
        <v>x</v>
      </c>
      <c r="J106" s="49" t="str">
        <f>+IF(VLOOKUP($B106,tablero!$S$5:$AC$201,J$4,FALSE)=0,"",VLOOKUP($B106,tablero!$S$5:$AC$201,J$4,FALSE))</f>
        <v/>
      </c>
    </row>
    <row r="107" spans="2:49" ht="24" x14ac:dyDescent="0.25">
      <c r="B107" s="63" t="s">
        <v>254</v>
      </c>
      <c r="C107" s="27" t="s">
        <v>2157</v>
      </c>
      <c r="E107" s="49" t="str">
        <f>+IF(VLOOKUP($B107,tablero!$S$5:$AB$201,E$4,FALSE)=0,"",VLOOKUP($B107,tablero!$S$5:$AB$201,E$4,FALSE))</f>
        <v>x</v>
      </c>
      <c r="F107" s="49" t="str">
        <f>+IF(VLOOKUP($B107,tablero!$S$5:$AB$201,F$4,FALSE)=0,"",VLOOKUP($B107,tablero!$S$5:$AB$201,F$4,FALSE))</f>
        <v/>
      </c>
      <c r="G107" s="49" t="str">
        <f>+IF(VLOOKUP($B107,tablero!$S$5:$AB$201,G$4,FALSE)=0,"",VLOOKUP($B107,tablero!$S$5:$AB$201,G$4,FALSE))</f>
        <v/>
      </c>
      <c r="H107" s="49" t="str">
        <f>+IF(VLOOKUP($B107,tablero!$S$5:$AB$201,H$4,FALSE)=0,"",VLOOKUP($B107,tablero!$S$5:$AB$201,H$4,FALSE))</f>
        <v>x</v>
      </c>
      <c r="I107" s="49" t="str">
        <f>+IF(VLOOKUP($B107,tablero!$S$5:$AB$201,I$4,FALSE)=0,"",VLOOKUP($B107,tablero!$S$5:$AB$201,I$4,FALSE))</f>
        <v>x</v>
      </c>
      <c r="J107" s="49" t="str">
        <f>+IF(VLOOKUP($B107,tablero!$S$5:$AC$201,J$4,FALSE)=0,"",VLOOKUP($B107,tablero!$S$5:$AC$201,J$4,FALSE))</f>
        <v>x</v>
      </c>
    </row>
    <row r="108" spans="2:49" x14ac:dyDescent="0.25">
      <c r="B108" s="63" t="s">
        <v>255</v>
      </c>
      <c r="C108" s="27" t="s">
        <v>256</v>
      </c>
      <c r="E108" s="49" t="str">
        <f>+IF(VLOOKUP($B108,tablero!$S$5:$AB$201,E$4,FALSE)=0,"",VLOOKUP($B108,tablero!$S$5:$AB$201,E$4,FALSE))</f>
        <v>x</v>
      </c>
      <c r="F108" s="49" t="str">
        <f>+IF(VLOOKUP($B108,tablero!$S$5:$AB$201,F$4,FALSE)=0,"",VLOOKUP($B108,tablero!$S$5:$AB$201,F$4,FALSE))</f>
        <v>x</v>
      </c>
      <c r="G108" s="49" t="str">
        <f>+IF(VLOOKUP($B108,tablero!$S$5:$AB$201,G$4,FALSE)=0,"",VLOOKUP($B108,tablero!$S$5:$AB$201,G$4,FALSE))</f>
        <v/>
      </c>
      <c r="H108" s="49" t="str">
        <f>+IF(VLOOKUP($B108,tablero!$S$5:$AB$201,H$4,FALSE)=0,"",VLOOKUP($B108,tablero!$S$5:$AB$201,H$4,FALSE))</f>
        <v/>
      </c>
      <c r="I108" s="49" t="str">
        <f>+IF(VLOOKUP($B108,tablero!$S$5:$AB$201,I$4,FALSE)=0,"",VLOOKUP($B108,tablero!$S$5:$AB$201,I$4,FALSE))</f>
        <v/>
      </c>
      <c r="J108" s="49" t="str">
        <f>+IF(VLOOKUP($B108,tablero!$S$5:$AC$201,J$4,FALSE)=0,"",VLOOKUP($B108,tablero!$S$5:$AC$201,J$4,FALSE))</f>
        <v/>
      </c>
    </row>
    <row r="109" spans="2:49" x14ac:dyDescent="0.25">
      <c r="B109" s="46"/>
    </row>
    <row r="110" spans="2:49" ht="12.75" x14ac:dyDescent="0.25">
      <c r="B110" s="25" t="s">
        <v>257</v>
      </c>
    </row>
    <row r="111" spans="2:49" s="40" customFormat="1" ht="15" x14ac:dyDescent="0.25">
      <c r="B111" s="51" t="s">
        <v>258</v>
      </c>
      <c r="C111" s="52"/>
      <c r="D111" s="45"/>
      <c r="E111" s="316" t="s">
        <v>1563</v>
      </c>
      <c r="F111" s="316"/>
      <c r="G111" s="316"/>
      <c r="H111" s="316"/>
      <c r="I111" s="316"/>
      <c r="J111" s="316"/>
      <c r="AF111" s="41"/>
      <c r="AG111" s="41"/>
      <c r="AH111" s="41"/>
      <c r="AI111" s="41"/>
      <c r="AJ111" s="41"/>
      <c r="AK111" s="41"/>
      <c r="AL111" s="41"/>
      <c r="AM111" s="41"/>
      <c r="AN111" s="41"/>
      <c r="AO111" s="41"/>
      <c r="AP111" s="41"/>
      <c r="AQ111" s="41"/>
      <c r="AR111" s="41"/>
      <c r="AS111" s="41"/>
      <c r="AT111" s="41"/>
      <c r="AU111" s="41"/>
      <c r="AV111" s="41"/>
      <c r="AW111" s="41"/>
    </row>
    <row r="112" spans="2:49" ht="12.75" x14ac:dyDescent="0.25">
      <c r="B112" s="53" t="s">
        <v>308</v>
      </c>
      <c r="C112" s="54"/>
      <c r="E112" s="47" t="s">
        <v>1558</v>
      </c>
      <c r="F112" s="48" t="s">
        <v>1559</v>
      </c>
      <c r="G112" s="48" t="s">
        <v>1560</v>
      </c>
      <c r="H112" s="48" t="s">
        <v>1561</v>
      </c>
      <c r="I112" s="48" t="s">
        <v>1562</v>
      </c>
      <c r="J112" s="48" t="s">
        <v>1572</v>
      </c>
    </row>
    <row r="113" spans="2:10" x14ac:dyDescent="0.25">
      <c r="B113" s="63" t="s">
        <v>309</v>
      </c>
      <c r="C113" s="27" t="s">
        <v>310</v>
      </c>
      <c r="E113" s="49" t="str">
        <f>+IF(VLOOKUP($B113,tablero!$S$5:$AB$201,E$4,FALSE)=0,"",VLOOKUP($B113,tablero!$S$5:$AB$201,E$4,FALSE))</f>
        <v>x</v>
      </c>
      <c r="F113" s="49" t="str">
        <f>+IF(VLOOKUP($B113,tablero!$S$5:$AB$201,F$4,FALSE)=0,"",VLOOKUP($B113,tablero!$S$5:$AB$201,F$4,FALSE))</f>
        <v>x</v>
      </c>
      <c r="G113" s="49" t="str">
        <f>+IF(VLOOKUP($B113,tablero!$S$5:$AB$201,G$4,FALSE)=0,"",VLOOKUP($B113,tablero!$S$5:$AB$201,G$4,FALSE))</f>
        <v/>
      </c>
      <c r="H113" s="49" t="str">
        <f>+IF(VLOOKUP($B113,tablero!$S$5:$AB$201,H$4,FALSE)=0,"",VLOOKUP($B113,tablero!$S$5:$AB$201,H$4,FALSE))</f>
        <v>x</v>
      </c>
      <c r="I113" s="49" t="str">
        <f>+IF(VLOOKUP($B113,tablero!$S$5:$AB$201,I$4,FALSE)=0,"",VLOOKUP($B113,tablero!$S$5:$AB$201,I$4,FALSE))</f>
        <v/>
      </c>
      <c r="J113" s="49" t="str">
        <f>+IF(VLOOKUP($B113,tablero!$S$5:$AC$201,J$4,FALSE)=0,"",VLOOKUP($B113,tablero!$S$5:$AC$201,J$4,FALSE))</f>
        <v/>
      </c>
    </row>
    <row r="114" spans="2:10" x14ac:dyDescent="0.25">
      <c r="B114" s="63" t="s">
        <v>311</v>
      </c>
      <c r="C114" s="98" t="s">
        <v>312</v>
      </c>
      <c r="E114" s="49" t="str">
        <f>+IF(VLOOKUP($B114,tablero!$S$5:$AB$201,E$4,FALSE)=0,"",VLOOKUP($B114,tablero!$S$5:$AB$201,E$4,FALSE))</f>
        <v>x</v>
      </c>
      <c r="F114" s="49" t="str">
        <f>+IF(VLOOKUP($B114,tablero!$S$5:$AB$201,F$4,FALSE)=0,"",VLOOKUP($B114,tablero!$S$5:$AB$201,F$4,FALSE))</f>
        <v/>
      </c>
      <c r="G114" s="49" t="str">
        <f>+IF(VLOOKUP($B114,tablero!$S$5:$AB$201,G$4,FALSE)=0,"",VLOOKUP($B114,tablero!$S$5:$AB$201,G$4,FALSE))</f>
        <v/>
      </c>
      <c r="H114" s="49" t="str">
        <f>+IF(VLOOKUP($B114,tablero!$S$5:$AB$201,H$4,FALSE)=0,"",VLOOKUP($B114,tablero!$S$5:$AB$201,H$4,FALSE))</f>
        <v>x</v>
      </c>
      <c r="I114" s="49" t="str">
        <f>+IF(VLOOKUP($B114,tablero!$S$5:$AB$201,I$4,FALSE)=0,"",VLOOKUP($B114,tablero!$S$5:$AB$201,I$4,FALSE))</f>
        <v/>
      </c>
      <c r="J114" s="49" t="str">
        <f>+IF(VLOOKUP($B114,tablero!$S$5:$AC$201,J$4,FALSE)=0,"",VLOOKUP($B114,tablero!$S$5:$AC$201,J$4,FALSE))</f>
        <v/>
      </c>
    </row>
    <row r="115" spans="2:10" x14ac:dyDescent="0.25">
      <c r="B115" s="63" t="s">
        <v>313</v>
      </c>
      <c r="C115" s="98" t="s">
        <v>314</v>
      </c>
      <c r="E115" s="49" t="str">
        <f>+IF(VLOOKUP($B115,tablero!$S$5:$AB$201,E$4,FALSE)=0,"",VLOOKUP($B115,tablero!$S$5:$AB$201,E$4,FALSE))</f>
        <v>x</v>
      </c>
      <c r="F115" s="49" t="str">
        <f>+IF(VLOOKUP($B115,tablero!$S$5:$AB$201,F$4,FALSE)=0,"",VLOOKUP($B115,tablero!$S$5:$AB$201,F$4,FALSE))</f>
        <v>x</v>
      </c>
      <c r="G115" s="49" t="str">
        <f>+IF(VLOOKUP($B115,tablero!$S$5:$AB$201,G$4,FALSE)=0,"",VLOOKUP($B115,tablero!$S$5:$AB$201,G$4,FALSE))</f>
        <v/>
      </c>
      <c r="H115" s="49" t="str">
        <f>+IF(VLOOKUP($B115,tablero!$S$5:$AB$201,H$4,FALSE)=0,"",VLOOKUP($B115,tablero!$S$5:$AB$201,H$4,FALSE))</f>
        <v>x</v>
      </c>
      <c r="I115" s="49" t="str">
        <f>+IF(VLOOKUP($B115,tablero!$S$5:$AB$201,I$4,FALSE)=0,"",VLOOKUP($B115,tablero!$S$5:$AB$201,I$4,FALSE))</f>
        <v/>
      </c>
      <c r="J115" s="49" t="str">
        <f>+IF(VLOOKUP($B115,tablero!$S$5:$AC$201,J$4,FALSE)=0,"",VLOOKUP($B115,tablero!$S$5:$AC$201,J$4,FALSE))</f>
        <v/>
      </c>
    </row>
    <row r="116" spans="2:10" x14ac:dyDescent="0.25">
      <c r="B116" s="63" t="s">
        <v>315</v>
      </c>
      <c r="C116" s="98" t="s">
        <v>316</v>
      </c>
      <c r="E116" s="49" t="str">
        <f>+IF(VLOOKUP($B116,tablero!$S$5:$AB$201,E$4,FALSE)=0,"",VLOOKUP($B116,tablero!$S$5:$AB$201,E$4,FALSE))</f>
        <v>x</v>
      </c>
      <c r="F116" s="49" t="str">
        <f>+IF(VLOOKUP($B116,tablero!$S$5:$AB$201,F$4,FALSE)=0,"",VLOOKUP($B116,tablero!$S$5:$AB$201,F$4,FALSE))</f>
        <v/>
      </c>
      <c r="G116" s="49" t="str">
        <f>+IF(VLOOKUP($B116,tablero!$S$5:$AB$201,G$4,FALSE)=0,"",VLOOKUP($B116,tablero!$S$5:$AB$201,G$4,FALSE))</f>
        <v/>
      </c>
      <c r="H116" s="49" t="str">
        <f>+IF(VLOOKUP($B116,tablero!$S$5:$AB$201,H$4,FALSE)=0,"",VLOOKUP($B116,tablero!$S$5:$AB$201,H$4,FALSE))</f>
        <v>x</v>
      </c>
      <c r="I116" s="49" t="str">
        <f>+IF(VLOOKUP($B116,tablero!$S$5:$AB$201,I$4,FALSE)=0,"",VLOOKUP($B116,tablero!$S$5:$AB$201,I$4,FALSE))</f>
        <v>x</v>
      </c>
      <c r="J116" s="49" t="str">
        <f>+IF(VLOOKUP($B116,tablero!$S$5:$AC$201,J$4,FALSE)=0,"",VLOOKUP($B116,tablero!$S$5:$AC$201,J$4,FALSE))</f>
        <v/>
      </c>
    </row>
    <row r="117" spans="2:10" x14ac:dyDescent="0.25">
      <c r="B117" s="63" t="s">
        <v>317</v>
      </c>
      <c r="C117" s="98" t="s">
        <v>1999</v>
      </c>
      <c r="E117" s="49" t="str">
        <f>+IF(VLOOKUP($B117,tablero!$S$5:$AB$201,E$4,FALSE)=0,"",VLOOKUP($B117,tablero!$S$5:$AB$201,E$4,FALSE))</f>
        <v>x</v>
      </c>
      <c r="F117" s="49" t="str">
        <f>+IF(VLOOKUP($B117,tablero!$S$5:$AB$201,F$4,FALSE)=0,"",VLOOKUP($B117,tablero!$S$5:$AB$201,F$4,FALSE))</f>
        <v/>
      </c>
      <c r="G117" s="49" t="str">
        <f>+IF(VLOOKUP($B117,tablero!$S$5:$AB$201,G$4,FALSE)=0,"",VLOOKUP($B117,tablero!$S$5:$AB$201,G$4,FALSE))</f>
        <v/>
      </c>
      <c r="H117" s="49" t="str">
        <f>+IF(VLOOKUP($B117,tablero!$S$5:$AB$201,H$4,FALSE)=0,"",VLOOKUP($B117,tablero!$S$5:$AB$201,H$4,FALSE))</f>
        <v/>
      </c>
      <c r="I117" s="49" t="str">
        <f>+IF(VLOOKUP($B117,tablero!$S$5:$AB$201,I$4,FALSE)=0,"",VLOOKUP($B117,tablero!$S$5:$AB$201,I$4,FALSE))</f>
        <v/>
      </c>
      <c r="J117" s="49" t="str">
        <f>+IF(VLOOKUP($B117,tablero!$S$5:$AC$201,J$4,FALSE)=0,"",VLOOKUP($B117,tablero!$S$5:$AC$201,J$4,FALSE))</f>
        <v/>
      </c>
    </row>
    <row r="118" spans="2:10" x14ac:dyDescent="0.25">
      <c r="B118" s="63" t="s">
        <v>318</v>
      </c>
      <c r="C118" s="98" t="s">
        <v>319</v>
      </c>
      <c r="E118" s="49" t="str">
        <f>+IF(VLOOKUP($B118,tablero!$S$5:$AB$201,E$4,FALSE)=0,"",VLOOKUP($B118,tablero!$S$5:$AB$201,E$4,FALSE))</f>
        <v>x</v>
      </c>
      <c r="F118" s="49" t="str">
        <f>+IF(VLOOKUP($B118,tablero!$S$5:$AB$201,F$4,FALSE)=0,"",VLOOKUP($B118,tablero!$S$5:$AB$201,F$4,FALSE))</f>
        <v>x</v>
      </c>
      <c r="G118" s="49" t="str">
        <f>+IF(VLOOKUP($B118,tablero!$S$5:$AB$201,G$4,FALSE)=0,"",VLOOKUP($B118,tablero!$S$5:$AB$201,G$4,FALSE))</f>
        <v/>
      </c>
      <c r="H118" s="49" t="str">
        <f>+IF(VLOOKUP($B118,tablero!$S$5:$AB$201,H$4,FALSE)=0,"",VLOOKUP($B118,tablero!$S$5:$AB$201,H$4,FALSE))</f>
        <v/>
      </c>
      <c r="I118" s="49" t="str">
        <f>+IF(VLOOKUP($B118,tablero!$S$5:$AB$201,I$4,FALSE)=0,"",VLOOKUP($B118,tablero!$S$5:$AB$201,I$4,FALSE))</f>
        <v/>
      </c>
      <c r="J118" s="49" t="str">
        <f>+IF(VLOOKUP($B118,tablero!$S$5:$AC$201,J$4,FALSE)=0,"",VLOOKUP($B118,tablero!$S$5:$AC$201,J$4,FALSE))</f>
        <v/>
      </c>
    </row>
    <row r="119" spans="2:10" x14ac:dyDescent="0.25">
      <c r="B119" s="63" t="s">
        <v>320</v>
      </c>
      <c r="C119" s="98" t="s">
        <v>321</v>
      </c>
      <c r="E119" s="49" t="str">
        <f>+IF(VLOOKUP($B119,tablero!$S$5:$AB$201,E$4,FALSE)=0,"",VLOOKUP($B119,tablero!$S$5:$AB$201,E$4,FALSE))</f>
        <v>x</v>
      </c>
      <c r="F119" s="49" t="str">
        <f>+IF(VLOOKUP($B119,tablero!$S$5:$AB$201,F$4,FALSE)=0,"",VLOOKUP($B119,tablero!$S$5:$AB$201,F$4,FALSE))</f>
        <v/>
      </c>
      <c r="G119" s="49" t="str">
        <f>+IF(VLOOKUP($B119,tablero!$S$5:$AB$201,G$4,FALSE)=0,"",VLOOKUP($B119,tablero!$S$5:$AB$201,G$4,FALSE))</f>
        <v/>
      </c>
      <c r="H119" s="49" t="str">
        <f>+IF(VLOOKUP($B119,tablero!$S$5:$AB$201,H$4,FALSE)=0,"",VLOOKUP($B119,tablero!$S$5:$AB$201,H$4,FALSE))</f>
        <v/>
      </c>
      <c r="I119" s="49" t="str">
        <f>+IF(VLOOKUP($B119,tablero!$S$5:$AB$201,I$4,FALSE)=0,"",VLOOKUP($B119,tablero!$S$5:$AB$201,I$4,FALSE))</f>
        <v/>
      </c>
      <c r="J119" s="49" t="str">
        <f>+IF(VLOOKUP($B119,tablero!$S$5:$AC$201,J$4,FALSE)=0,"",VLOOKUP($B119,tablero!$S$5:$AC$201,J$4,FALSE))</f>
        <v/>
      </c>
    </row>
    <row r="120" spans="2:10" x14ac:dyDescent="0.25">
      <c r="B120" s="63" t="s">
        <v>322</v>
      </c>
      <c r="C120" s="98" t="s">
        <v>323</v>
      </c>
      <c r="E120" s="49" t="str">
        <f>+IF(VLOOKUP($B120,tablero!$S$5:$AB$201,E$4,FALSE)=0,"",VLOOKUP($B120,tablero!$S$5:$AB$201,E$4,FALSE))</f>
        <v>x</v>
      </c>
      <c r="F120" s="49" t="str">
        <f>+IF(VLOOKUP($B120,tablero!$S$5:$AB$201,F$4,FALSE)=0,"",VLOOKUP($B120,tablero!$S$5:$AB$201,F$4,FALSE))</f>
        <v/>
      </c>
      <c r="G120" s="49" t="str">
        <f>+IF(VLOOKUP($B120,tablero!$S$5:$AB$201,G$4,FALSE)=0,"",VLOOKUP($B120,tablero!$S$5:$AB$201,G$4,FALSE))</f>
        <v/>
      </c>
      <c r="H120" s="49" t="str">
        <f>+IF(VLOOKUP($B120,tablero!$S$5:$AB$201,H$4,FALSE)=0,"",VLOOKUP($B120,tablero!$S$5:$AB$201,H$4,FALSE))</f>
        <v/>
      </c>
      <c r="I120" s="49" t="str">
        <f>+IF(VLOOKUP($B120,tablero!$S$5:$AB$201,I$4,FALSE)=0,"",VLOOKUP($B120,tablero!$S$5:$AB$201,I$4,FALSE))</f>
        <v/>
      </c>
      <c r="J120" s="49" t="str">
        <f>+IF(VLOOKUP($B120,tablero!$S$5:$AC$201,J$4,FALSE)=0,"",VLOOKUP($B120,tablero!$S$5:$AC$201,J$4,FALSE))</f>
        <v/>
      </c>
    </row>
    <row r="121" spans="2:10" x14ac:dyDescent="0.25">
      <c r="B121" s="63" t="s">
        <v>324</v>
      </c>
      <c r="C121" s="98" t="s">
        <v>325</v>
      </c>
      <c r="E121" s="49" t="str">
        <f>+IF(VLOOKUP($B121,tablero!$S$5:$AB$201,E$4,FALSE)=0,"",VLOOKUP($B121,tablero!$S$5:$AB$201,E$4,FALSE))</f>
        <v>x</v>
      </c>
      <c r="F121" s="49" t="str">
        <f>+IF(VLOOKUP($B121,tablero!$S$5:$AB$201,F$4,FALSE)=0,"",VLOOKUP($B121,tablero!$S$5:$AB$201,F$4,FALSE))</f>
        <v>x</v>
      </c>
      <c r="G121" s="49" t="str">
        <f>+IF(VLOOKUP($B121,tablero!$S$5:$AB$201,G$4,FALSE)=0,"",VLOOKUP($B121,tablero!$S$5:$AB$201,G$4,FALSE))</f>
        <v/>
      </c>
      <c r="H121" s="49" t="str">
        <f>+IF(VLOOKUP($B121,tablero!$S$5:$AB$201,H$4,FALSE)=0,"",VLOOKUP($B121,tablero!$S$5:$AB$201,H$4,FALSE))</f>
        <v/>
      </c>
      <c r="I121" s="49" t="str">
        <f>+IF(VLOOKUP($B121,tablero!$S$5:$AB$201,I$4,FALSE)=0,"",VLOOKUP($B121,tablero!$S$5:$AB$201,I$4,FALSE))</f>
        <v/>
      </c>
      <c r="J121" s="49" t="str">
        <f>+IF(VLOOKUP($B121,tablero!$S$5:$AC$201,J$4,FALSE)=0,"",VLOOKUP($B121,tablero!$S$5:$AC$201,J$4,FALSE))</f>
        <v/>
      </c>
    </row>
    <row r="122" spans="2:10" hidden="1" x14ac:dyDescent="0.25">
      <c r="B122" s="63" t="s">
        <v>326</v>
      </c>
      <c r="C122" s="98" t="s">
        <v>327</v>
      </c>
      <c r="E122" s="49" t="e">
        <f>+IF(VLOOKUP($B122,tablero!$S$5:$AB$201,E$4,FALSE)=0,"",VLOOKUP($B122,tablero!$S$5:$AB$201,E$4,FALSE))</f>
        <v>#N/A</v>
      </c>
      <c r="F122" s="49" t="e">
        <f>+IF(VLOOKUP($B122,tablero!$S$5:$AB$201,F$4,FALSE)=0,"",VLOOKUP($B122,tablero!$S$5:$AB$201,F$4,FALSE))</f>
        <v>#N/A</v>
      </c>
      <c r="G122" s="49" t="e">
        <f>+IF(VLOOKUP($B122,tablero!$S$5:$AB$201,G$4,FALSE)=0,"",VLOOKUP($B122,tablero!$S$5:$AB$201,G$4,FALSE))</f>
        <v>#N/A</v>
      </c>
      <c r="H122" s="49" t="e">
        <f>+IF(VLOOKUP($B122,tablero!$S$5:$AB$201,H$4,FALSE)=0,"",VLOOKUP($B122,tablero!$S$5:$AB$201,H$4,FALSE))</f>
        <v>#N/A</v>
      </c>
      <c r="I122" s="49" t="e">
        <f>+IF(VLOOKUP($B122,tablero!$S$5:$AB$201,I$4,FALSE)=0,"",VLOOKUP($B122,tablero!$S$5:$AB$201,I$4,FALSE))</f>
        <v>#N/A</v>
      </c>
      <c r="J122" s="49" t="e">
        <f>+IF(VLOOKUP($B122,tablero!$S$5:$AC$201,J$4,FALSE)=0,"",VLOOKUP($B122,tablero!$S$5:$AC$201,J$4,FALSE))</f>
        <v>#N/A</v>
      </c>
    </row>
    <row r="123" spans="2:10" x14ac:dyDescent="0.25">
      <c r="B123" s="63" t="s">
        <v>328</v>
      </c>
      <c r="C123" s="98" t="s">
        <v>329</v>
      </c>
      <c r="E123" s="49" t="str">
        <f>+IF(VLOOKUP($B123,tablero!$S$5:$AB$201,E$4,FALSE)=0,"",VLOOKUP($B123,tablero!$S$5:$AB$201,E$4,FALSE))</f>
        <v>x</v>
      </c>
      <c r="F123" s="49" t="str">
        <f>+IF(VLOOKUP($B123,tablero!$S$5:$AB$201,F$4,FALSE)=0,"",VLOOKUP($B123,tablero!$S$5:$AB$201,F$4,FALSE))</f>
        <v>x</v>
      </c>
      <c r="G123" s="49" t="str">
        <f>+IF(VLOOKUP($B123,tablero!$S$5:$AB$201,G$4,FALSE)=0,"",VLOOKUP($B123,tablero!$S$5:$AB$201,G$4,FALSE))</f>
        <v/>
      </c>
      <c r="H123" s="49" t="str">
        <f>+IF(VLOOKUP($B123,tablero!$S$5:$AB$201,H$4,FALSE)=0,"",VLOOKUP($B123,tablero!$S$5:$AB$201,H$4,FALSE))</f>
        <v/>
      </c>
      <c r="I123" s="49" t="str">
        <f>+IF(VLOOKUP($B123,tablero!$S$5:$AB$201,I$4,FALSE)=0,"",VLOOKUP($B123,tablero!$S$5:$AB$201,I$4,FALSE))</f>
        <v/>
      </c>
      <c r="J123" s="49" t="str">
        <f>+IF(VLOOKUP($B123,tablero!$S$5:$AC$201,J$4,FALSE)=0,"",VLOOKUP($B123,tablero!$S$5:$AC$201,J$4,FALSE))</f>
        <v/>
      </c>
    </row>
    <row r="124" spans="2:10" x14ac:dyDescent="0.25">
      <c r="B124" s="63" t="s">
        <v>330</v>
      </c>
      <c r="C124" s="27" t="s">
        <v>331</v>
      </c>
      <c r="E124" s="49" t="str">
        <f>+IF(VLOOKUP($B124,tablero!$S$5:$AB$201,E$4,FALSE)=0,"",VLOOKUP($B124,tablero!$S$5:$AB$201,E$4,FALSE))</f>
        <v>x</v>
      </c>
      <c r="F124" s="49" t="str">
        <f>+IF(VLOOKUP($B124,tablero!$S$5:$AB$201,F$4,FALSE)=0,"",VLOOKUP($B124,tablero!$S$5:$AB$201,F$4,FALSE))</f>
        <v/>
      </c>
      <c r="G124" s="49" t="str">
        <f>+IF(VLOOKUP($B124,tablero!$S$5:$AB$201,G$4,FALSE)=0,"",VLOOKUP($B124,tablero!$S$5:$AB$201,G$4,FALSE))</f>
        <v/>
      </c>
      <c r="H124" s="49" t="str">
        <f>+IF(VLOOKUP($B124,tablero!$S$5:$AB$201,H$4,FALSE)=0,"",VLOOKUP($B124,tablero!$S$5:$AB$201,H$4,FALSE))</f>
        <v/>
      </c>
      <c r="I124" s="49" t="str">
        <f>+IF(VLOOKUP($B124,tablero!$S$5:$AB$201,I$4,FALSE)=0,"",VLOOKUP($B124,tablero!$S$5:$AB$201,I$4,FALSE))</f>
        <v/>
      </c>
      <c r="J124" s="49" t="str">
        <f>+IF(VLOOKUP($B124,tablero!$S$5:$AC$201,J$4,FALSE)=0,"",VLOOKUP($B124,tablero!$S$5:$AC$201,J$4,FALSE))</f>
        <v/>
      </c>
    </row>
    <row r="125" spans="2:10" x14ac:dyDescent="0.25">
      <c r="B125" s="63" t="s">
        <v>332</v>
      </c>
      <c r="C125" s="27" t="s">
        <v>333</v>
      </c>
      <c r="E125" s="49" t="str">
        <f>+IF(VLOOKUP($B125,tablero!$S$5:$AB$201,E$4,FALSE)=0,"",VLOOKUP($B125,tablero!$S$5:$AB$201,E$4,FALSE))</f>
        <v>x</v>
      </c>
      <c r="F125" s="49" t="str">
        <f>+IF(VLOOKUP($B125,tablero!$S$5:$AB$201,F$4,FALSE)=0,"",VLOOKUP($B125,tablero!$S$5:$AB$201,F$4,FALSE))</f>
        <v/>
      </c>
      <c r="G125" s="49" t="str">
        <f>+IF(VLOOKUP($B125,tablero!$S$5:$AB$201,G$4,FALSE)=0,"",VLOOKUP($B125,tablero!$S$5:$AB$201,G$4,FALSE))</f>
        <v/>
      </c>
      <c r="H125" s="49" t="str">
        <f>+IF(VLOOKUP($B125,tablero!$S$5:$AB$201,H$4,FALSE)=0,"",VLOOKUP($B125,tablero!$S$5:$AB$201,H$4,FALSE))</f>
        <v/>
      </c>
      <c r="I125" s="49" t="str">
        <f>+IF(VLOOKUP($B125,tablero!$S$5:$AB$201,I$4,FALSE)=0,"",VLOOKUP($B125,tablero!$S$5:$AB$201,I$4,FALSE))</f>
        <v/>
      </c>
      <c r="J125" s="49" t="str">
        <f>+IF(VLOOKUP($B125,tablero!$S$5:$AC$201,J$4,FALSE)=0,"",VLOOKUP($B125,tablero!$S$5:$AC$201,J$4,FALSE))</f>
        <v/>
      </c>
    </row>
    <row r="126" spans="2:10" x14ac:dyDescent="0.25">
      <c r="B126" s="63" t="s">
        <v>1360</v>
      </c>
      <c r="C126" s="27" t="s">
        <v>1355</v>
      </c>
      <c r="E126" s="49" t="str">
        <f>+IF(VLOOKUP($B126,tablero!$S$5:$AB$201,E$4,FALSE)=0,"",VLOOKUP($B126,tablero!$S$5:$AB$201,E$4,FALSE))</f>
        <v>x</v>
      </c>
      <c r="F126" s="49" t="str">
        <f>+IF(VLOOKUP($B126,tablero!$S$5:$AB$201,F$4,FALSE)=0,"",VLOOKUP($B126,tablero!$S$5:$AB$201,F$4,FALSE))</f>
        <v/>
      </c>
      <c r="G126" s="49" t="str">
        <f>+IF(VLOOKUP($B126,tablero!$S$5:$AB$201,G$4,FALSE)=0,"",VLOOKUP($B126,tablero!$S$5:$AB$201,G$4,FALSE))</f>
        <v/>
      </c>
      <c r="H126" s="49" t="str">
        <f>+IF(VLOOKUP($B126,tablero!$S$5:$AB$201,H$4,FALSE)=0,"",VLOOKUP($B126,tablero!$S$5:$AB$201,H$4,FALSE))</f>
        <v/>
      </c>
      <c r="I126" s="49" t="str">
        <f>+IF(VLOOKUP($B126,tablero!$S$5:$AB$201,I$4,FALSE)=0,"",VLOOKUP($B126,tablero!$S$5:$AB$201,I$4,FALSE))</f>
        <v/>
      </c>
      <c r="J126" s="49" t="str">
        <f>+IF(VLOOKUP($B126,tablero!$S$5:$AC$201,J$4,FALSE)=0,"",VLOOKUP($B126,tablero!$S$5:$AC$201,J$4,FALSE))</f>
        <v/>
      </c>
    </row>
    <row r="127" spans="2:10" ht="12.75" x14ac:dyDescent="0.25">
      <c r="B127" s="72" t="s">
        <v>334</v>
      </c>
      <c r="C127" s="54"/>
      <c r="E127" s="47" t="s">
        <v>1558</v>
      </c>
      <c r="F127" s="48" t="s">
        <v>1559</v>
      </c>
      <c r="G127" s="48" t="s">
        <v>1560</v>
      </c>
      <c r="H127" s="48" t="s">
        <v>1561</v>
      </c>
      <c r="I127" s="48" t="s">
        <v>1562</v>
      </c>
      <c r="J127" s="48" t="s">
        <v>1572</v>
      </c>
    </row>
    <row r="128" spans="2:10" x14ac:dyDescent="0.25">
      <c r="B128" s="63" t="s">
        <v>335</v>
      </c>
      <c r="C128" s="27" t="s">
        <v>336</v>
      </c>
      <c r="E128" s="49" t="str">
        <f>+IF(VLOOKUP($B128,tablero!$S$5:$AB$201,E$4,FALSE)=0,"",VLOOKUP($B128,tablero!$S$5:$AB$201,E$4,FALSE))</f>
        <v>x</v>
      </c>
      <c r="F128" s="49" t="str">
        <f>+IF(VLOOKUP($B128,tablero!$S$5:$AB$201,F$4,FALSE)=0,"",VLOOKUP($B128,tablero!$S$5:$AB$201,F$4,FALSE))</f>
        <v>x</v>
      </c>
      <c r="G128" s="49" t="str">
        <f>+IF(VLOOKUP($B128,tablero!$S$5:$AB$201,G$4,FALSE)=0,"",VLOOKUP($B128,tablero!$S$5:$AB$201,G$4,FALSE))</f>
        <v/>
      </c>
      <c r="H128" s="49" t="str">
        <f>+IF(VLOOKUP($B128,tablero!$S$5:$AB$201,H$4,FALSE)=0,"",VLOOKUP($B128,tablero!$S$5:$AB$201,H$4,FALSE))</f>
        <v>x</v>
      </c>
      <c r="I128" s="49" t="str">
        <f>+IF(VLOOKUP($B128,tablero!$S$5:$AB$201,I$4,FALSE)=0,"",VLOOKUP($B128,tablero!$S$5:$AB$201,I$4,FALSE))</f>
        <v>x</v>
      </c>
      <c r="J128" s="49" t="str">
        <f>+IF(VLOOKUP($B128,tablero!$S$5:$AC$201,J$4,FALSE)=0,"",VLOOKUP($B128,tablero!$S$5:$AC$201,J$4,FALSE))</f>
        <v/>
      </c>
    </row>
    <row r="129" spans="2:10" x14ac:dyDescent="0.25">
      <c r="B129" s="63" t="s">
        <v>337</v>
      </c>
      <c r="C129" s="27" t="s">
        <v>338</v>
      </c>
      <c r="E129" s="49" t="str">
        <f>+IF(VLOOKUP($B129,tablero!$S$5:$AB$201,E$4,FALSE)=0,"",VLOOKUP($B129,tablero!$S$5:$AB$201,E$4,FALSE))</f>
        <v>x</v>
      </c>
      <c r="F129" s="49" t="str">
        <f>+IF(VLOOKUP($B129,tablero!$S$5:$AB$201,F$4,FALSE)=0,"",VLOOKUP($B129,tablero!$S$5:$AB$201,F$4,FALSE))</f>
        <v>x</v>
      </c>
      <c r="G129" s="49" t="str">
        <f>+IF(VLOOKUP($B129,tablero!$S$5:$AB$201,G$4,FALSE)=0,"",VLOOKUP($B129,tablero!$S$5:$AB$201,G$4,FALSE))</f>
        <v/>
      </c>
      <c r="H129" s="49" t="str">
        <f>+IF(VLOOKUP($B129,tablero!$S$5:$AB$201,H$4,FALSE)=0,"",VLOOKUP($B129,tablero!$S$5:$AB$201,H$4,FALSE))</f>
        <v>x</v>
      </c>
      <c r="I129" s="49" t="str">
        <f>+IF(VLOOKUP($B129,tablero!$S$5:$AB$201,I$4,FALSE)=0,"",VLOOKUP($B129,tablero!$S$5:$AB$201,I$4,FALSE))</f>
        <v>x</v>
      </c>
      <c r="J129" s="49" t="str">
        <f>+IF(VLOOKUP($B129,tablero!$S$5:$AC$201,J$4,FALSE)=0,"",VLOOKUP($B129,tablero!$S$5:$AC$201,J$4,FALSE))</f>
        <v/>
      </c>
    </row>
    <row r="130" spans="2:10" x14ac:dyDescent="0.25">
      <c r="B130" s="63" t="s">
        <v>339</v>
      </c>
      <c r="C130" s="27" t="s">
        <v>341</v>
      </c>
      <c r="E130" s="49" t="str">
        <f>+IF(VLOOKUP($B130,tablero!$S$5:$AB$201,E$4,FALSE)=0,"",VLOOKUP($B130,tablero!$S$5:$AB$201,E$4,FALSE))</f>
        <v>x</v>
      </c>
      <c r="F130" s="49" t="s">
        <v>1564</v>
      </c>
      <c r="G130" s="49" t="str">
        <f>+IF(VLOOKUP($B130,tablero!$S$5:$AB$201,G$4,FALSE)=0,"",VLOOKUP($B130,tablero!$S$5:$AB$201,G$4,FALSE))</f>
        <v/>
      </c>
      <c r="H130" s="49" t="str">
        <f>+IF(VLOOKUP($B130,tablero!$S$5:$AB$201,H$4,FALSE)=0,"",VLOOKUP($B130,tablero!$S$5:$AB$201,H$4,FALSE))</f>
        <v/>
      </c>
      <c r="I130" s="49" t="str">
        <f>+IF(VLOOKUP($B130,tablero!$S$5:$AB$201,I$4,FALSE)=0,"",VLOOKUP($B130,tablero!$S$5:$AB$201,I$4,FALSE))</f>
        <v/>
      </c>
      <c r="J130" s="49" t="str">
        <f>+IF(VLOOKUP($B130,tablero!$S$5:$AC$201,J$4,FALSE)=0,"",VLOOKUP($B130,tablero!$S$5:$AC$201,J$4,FALSE))</f>
        <v/>
      </c>
    </row>
    <row r="131" spans="2:10" x14ac:dyDescent="0.25">
      <c r="B131" s="63" t="s">
        <v>340</v>
      </c>
      <c r="C131" s="27" t="s">
        <v>993</v>
      </c>
      <c r="E131" s="49" t="str">
        <f>+IF(VLOOKUP($B131,tablero!$S$5:$AB$201,E$4,FALSE)=0,"",VLOOKUP($B131,tablero!$S$5:$AB$201,E$4,FALSE))</f>
        <v>x</v>
      </c>
      <c r="F131" s="49" t="str">
        <f>+IF(VLOOKUP($B131,tablero!$S$5:$AB$201,F$4,FALSE)=0,"",VLOOKUP($B131,tablero!$S$5:$AB$201,F$4,FALSE))</f>
        <v>x</v>
      </c>
      <c r="G131" s="49" t="str">
        <f>+IF(VLOOKUP($B131,tablero!$S$5:$AB$201,G$4,FALSE)=0,"",VLOOKUP($B131,tablero!$S$5:$AB$201,G$4,FALSE))</f>
        <v/>
      </c>
      <c r="H131" s="49" t="str">
        <f>+IF(VLOOKUP($B131,tablero!$S$5:$AB$201,H$4,FALSE)=0,"",VLOOKUP($B131,tablero!$S$5:$AB$201,H$4,FALSE))</f>
        <v/>
      </c>
      <c r="I131" s="49" t="str">
        <f>+IF(VLOOKUP($B131,tablero!$S$5:$AB$201,I$4,FALSE)=0,"",VLOOKUP($B131,tablero!$S$5:$AB$201,I$4,FALSE))</f>
        <v/>
      </c>
      <c r="J131" s="49" t="str">
        <f>+IF(VLOOKUP($B131,tablero!$S$5:$AC$201,J$4,FALSE)=0,"",VLOOKUP($B131,tablero!$S$5:$AC$201,J$4,FALSE))</f>
        <v/>
      </c>
    </row>
    <row r="132" spans="2:10" x14ac:dyDescent="0.25">
      <c r="B132" s="63" t="s">
        <v>342</v>
      </c>
      <c r="C132" s="27" t="s">
        <v>1355</v>
      </c>
      <c r="E132" s="49" t="str">
        <f>+IF(VLOOKUP($B132,tablero!$S$5:$AB$201,E$4,FALSE)=0,"",VLOOKUP($B132,tablero!$S$5:$AB$201,E$4,FALSE))</f>
        <v>x</v>
      </c>
      <c r="F132" s="49" t="str">
        <f>+IF(VLOOKUP($B132,tablero!$S$5:$AB$201,F$4,FALSE)=0,"",VLOOKUP($B132,tablero!$S$5:$AB$201,F$4,FALSE))</f>
        <v/>
      </c>
      <c r="G132" s="49" t="str">
        <f>+IF(VLOOKUP($B132,tablero!$S$5:$AB$201,G$4,FALSE)=0,"",VLOOKUP($B132,tablero!$S$5:$AB$201,G$4,FALSE))</f>
        <v/>
      </c>
      <c r="H132" s="49" t="str">
        <f>+IF(VLOOKUP($B132,tablero!$S$5:$AB$201,H$4,FALSE)=0,"",VLOOKUP($B132,tablero!$S$5:$AB$201,H$4,FALSE))</f>
        <v/>
      </c>
      <c r="I132" s="49" t="str">
        <f>+IF(VLOOKUP($B132,tablero!$S$5:$AB$201,I$4,FALSE)=0,"",VLOOKUP($B132,tablero!$S$5:$AB$201,I$4,FALSE))</f>
        <v/>
      </c>
      <c r="J132" s="49" t="str">
        <f>+IF(VLOOKUP($B132,tablero!$S$5:$AC$201,J$4,FALSE)=0,"",VLOOKUP($B132,tablero!$S$5:$AC$201,J$4,FALSE))</f>
        <v/>
      </c>
    </row>
    <row r="133" spans="2:10" ht="12.75" x14ac:dyDescent="0.25">
      <c r="B133" s="53" t="s">
        <v>343</v>
      </c>
      <c r="C133" s="54"/>
      <c r="E133" s="47" t="s">
        <v>1558</v>
      </c>
      <c r="F133" s="48" t="s">
        <v>1559</v>
      </c>
      <c r="G133" s="48" t="s">
        <v>1560</v>
      </c>
      <c r="H133" s="48" t="s">
        <v>1561</v>
      </c>
      <c r="I133" s="48" t="s">
        <v>1562</v>
      </c>
      <c r="J133" s="48" t="s">
        <v>1572</v>
      </c>
    </row>
    <row r="134" spans="2:10" x14ac:dyDescent="0.25">
      <c r="B134" s="63" t="s">
        <v>344</v>
      </c>
      <c r="C134" s="27" t="s">
        <v>345</v>
      </c>
      <c r="E134" s="49" t="str">
        <f>+IF(VLOOKUP($B134,tablero!$S$5:$AB$201,E$4,FALSE)=0,"",VLOOKUP($B134,tablero!$S$5:$AB$201,E$4,FALSE))</f>
        <v>x</v>
      </c>
      <c r="F134" s="49" t="str">
        <f>+IF(VLOOKUP($B134,tablero!$S$5:$AB$201,F$4,FALSE)=0,"",VLOOKUP($B134,tablero!$S$5:$AB$201,F$4,FALSE))</f>
        <v/>
      </c>
      <c r="G134" s="49" t="str">
        <f>+IF(VLOOKUP($B134,tablero!$S$5:$AB$201,G$4,FALSE)=0,"",VLOOKUP($B134,tablero!$S$5:$AB$201,G$4,FALSE))</f>
        <v/>
      </c>
      <c r="H134" s="49" t="str">
        <f>+IF(VLOOKUP($B134,tablero!$S$5:$AB$201,H$4,FALSE)=0,"",VLOOKUP($B134,tablero!$S$5:$AB$201,H$4,FALSE))</f>
        <v>x</v>
      </c>
      <c r="I134" s="49" t="str">
        <f>+IF(VLOOKUP($B134,tablero!$S$5:$AB$201,I$4,FALSE)=0,"",VLOOKUP($B134,tablero!$S$5:$AB$201,I$4,FALSE))</f>
        <v>x</v>
      </c>
      <c r="J134" s="49" t="str">
        <f>+IF(VLOOKUP($B134,tablero!$S$5:$AC$201,J$4,FALSE)=0,"",VLOOKUP($B134,tablero!$S$5:$AC$201,J$4,FALSE))</f>
        <v/>
      </c>
    </row>
    <row r="135" spans="2:10" x14ac:dyDescent="0.25">
      <c r="B135" s="63" t="s">
        <v>346</v>
      </c>
      <c r="C135" s="27" t="s">
        <v>347</v>
      </c>
      <c r="E135" s="49" t="str">
        <f>+IF(VLOOKUP($B135,tablero!$S$5:$AB$201,E$4,FALSE)=0,"",VLOOKUP($B135,tablero!$S$5:$AB$201,E$4,FALSE))</f>
        <v>x</v>
      </c>
      <c r="F135" s="49" t="str">
        <f>+IF(VLOOKUP($B135,tablero!$S$5:$AB$201,F$4,FALSE)=0,"",VLOOKUP($B135,tablero!$S$5:$AB$201,F$4,FALSE))</f>
        <v/>
      </c>
      <c r="G135" s="49" t="str">
        <f>+IF(VLOOKUP($B135,tablero!$S$5:$AB$201,G$4,FALSE)=0,"",VLOOKUP($B135,tablero!$S$5:$AB$201,G$4,FALSE))</f>
        <v/>
      </c>
      <c r="H135" s="49" t="str">
        <f>+IF(VLOOKUP($B135,tablero!$S$5:$AB$201,H$4,FALSE)=0,"",VLOOKUP($B135,tablero!$S$5:$AB$201,H$4,FALSE))</f>
        <v/>
      </c>
      <c r="I135" s="49" t="str">
        <f>+IF(VLOOKUP($B135,tablero!$S$5:$AB$201,I$4,FALSE)=0,"",VLOOKUP($B135,tablero!$S$5:$AB$201,I$4,FALSE))</f>
        <v/>
      </c>
      <c r="J135" s="49" t="str">
        <f>+IF(VLOOKUP($B135,tablero!$S$5:$AC$201,J$4,FALSE)=0,"",VLOOKUP($B135,tablero!$S$5:$AC$201,J$4,FALSE))</f>
        <v/>
      </c>
    </row>
    <row r="136" spans="2:10" x14ac:dyDescent="0.25">
      <c r="B136" s="63" t="s">
        <v>348</v>
      </c>
      <c r="C136" s="27" t="s">
        <v>349</v>
      </c>
      <c r="E136" s="49" t="str">
        <f>+IF(VLOOKUP($B136,tablero!$S$5:$AB$201,E$4,FALSE)=0,"",VLOOKUP($B136,tablero!$S$5:$AB$201,E$4,FALSE))</f>
        <v>x</v>
      </c>
      <c r="F136" s="49" t="str">
        <f>+IF(VLOOKUP($B136,tablero!$S$5:$AB$201,F$4,FALSE)=0,"",VLOOKUP($B136,tablero!$S$5:$AB$201,F$4,FALSE))</f>
        <v/>
      </c>
      <c r="G136" s="49" t="str">
        <f>+IF(VLOOKUP($B136,tablero!$S$5:$AB$201,G$4,FALSE)=0,"",VLOOKUP($B136,tablero!$S$5:$AB$201,G$4,FALSE))</f>
        <v/>
      </c>
      <c r="H136" s="49" t="str">
        <f>+IF(VLOOKUP($B136,tablero!$S$5:$AB$201,H$4,FALSE)=0,"",VLOOKUP($B136,tablero!$S$5:$AB$201,H$4,FALSE))</f>
        <v/>
      </c>
      <c r="I136" s="49" t="str">
        <f>+IF(VLOOKUP($B136,tablero!$S$5:$AB$201,I$4,FALSE)=0,"",VLOOKUP($B136,tablero!$S$5:$AB$201,I$4,FALSE))</f>
        <v/>
      </c>
      <c r="J136" s="49" t="str">
        <f>+IF(VLOOKUP($B136,tablero!$S$5:$AC$201,J$4,FALSE)=0,"",VLOOKUP($B136,tablero!$S$5:$AC$201,J$4,FALSE))</f>
        <v/>
      </c>
    </row>
    <row r="137" spans="2:10" x14ac:dyDescent="0.25">
      <c r="B137" s="63" t="s">
        <v>350</v>
      </c>
      <c r="C137" s="27" t="s">
        <v>351</v>
      </c>
      <c r="E137" s="49" t="str">
        <f>+IF(VLOOKUP($B137,tablero!$S$5:$AB$201,E$4,FALSE)=0,"",VLOOKUP($B137,tablero!$S$5:$AB$201,E$4,FALSE))</f>
        <v>x</v>
      </c>
      <c r="F137" s="49" t="str">
        <f>+IF(VLOOKUP($B137,tablero!$S$5:$AB$201,F$4,FALSE)=0,"",VLOOKUP($B137,tablero!$S$5:$AB$201,F$4,FALSE))</f>
        <v/>
      </c>
      <c r="G137" s="49" t="str">
        <f>+IF(VLOOKUP($B137,tablero!$S$5:$AB$201,G$4,FALSE)=0,"",VLOOKUP($B137,tablero!$S$5:$AB$201,G$4,FALSE))</f>
        <v/>
      </c>
      <c r="H137" s="49" t="str">
        <f>+IF(VLOOKUP($B137,tablero!$S$5:$AB$201,H$4,FALSE)=0,"",VLOOKUP($B137,tablero!$S$5:$AB$201,H$4,FALSE))</f>
        <v/>
      </c>
      <c r="I137" s="49" t="str">
        <f>+IF(VLOOKUP($B137,tablero!$S$5:$AB$201,I$4,FALSE)=0,"",VLOOKUP($B137,tablero!$S$5:$AB$201,I$4,FALSE))</f>
        <v/>
      </c>
      <c r="J137" s="49" t="str">
        <f>+IF(VLOOKUP($B137,tablero!$S$5:$AC$201,J$4,FALSE)=0,"",VLOOKUP($B137,tablero!$S$5:$AC$201,J$4,FALSE))</f>
        <v/>
      </c>
    </row>
    <row r="138" spans="2:10" x14ac:dyDescent="0.25">
      <c r="B138" s="64" t="s">
        <v>352</v>
      </c>
      <c r="C138" s="62" t="s">
        <v>353</v>
      </c>
      <c r="E138" s="49" t="str">
        <f>+IF(VLOOKUP($B138,tablero!$S$5:$AB$201,E$4,FALSE)=0,"",VLOOKUP($B138,tablero!$S$5:$AB$201,E$4,FALSE))</f>
        <v>x</v>
      </c>
      <c r="F138" s="49" t="str">
        <f>+IF(VLOOKUP($B138,tablero!$S$5:$AB$201,F$4,FALSE)=0,"",VLOOKUP($B138,tablero!$S$5:$AB$201,F$4,FALSE))</f>
        <v/>
      </c>
      <c r="G138" s="49" t="str">
        <f>+IF(VLOOKUP($B138,tablero!$S$5:$AB$201,G$4,FALSE)=0,"",VLOOKUP($B138,tablero!$S$5:$AB$201,G$4,FALSE))</f>
        <v/>
      </c>
      <c r="H138" s="49" t="str">
        <f>+IF(VLOOKUP($B138,tablero!$S$5:$AB$201,H$4,FALSE)=0,"",VLOOKUP($B138,tablero!$S$5:$AB$201,H$4,FALSE))</f>
        <v/>
      </c>
      <c r="I138" s="49" t="str">
        <f>+IF(VLOOKUP($B138,tablero!$S$5:$AB$201,I$4,FALSE)=0,"",VLOOKUP($B138,tablero!$S$5:$AB$201,I$4,FALSE))</f>
        <v/>
      </c>
      <c r="J138" s="49" t="str">
        <f>+IF(VLOOKUP($B138,tablero!$S$5:$AC$201,J$4,FALSE)=0,"",VLOOKUP($B138,tablero!$S$5:$AC$201,J$4,FALSE))</f>
        <v/>
      </c>
    </row>
    <row r="139" spans="2:10" ht="12.75" x14ac:dyDescent="0.25">
      <c r="B139" s="53" t="s">
        <v>291</v>
      </c>
      <c r="C139" s="54"/>
      <c r="E139" s="47" t="s">
        <v>1558</v>
      </c>
      <c r="F139" s="48" t="s">
        <v>1559</v>
      </c>
      <c r="G139" s="48" t="s">
        <v>1560</v>
      </c>
      <c r="H139" s="48" t="s">
        <v>1561</v>
      </c>
      <c r="I139" s="48" t="s">
        <v>1562</v>
      </c>
      <c r="J139" s="48" t="s">
        <v>1572</v>
      </c>
    </row>
    <row r="140" spans="2:10" x14ac:dyDescent="0.25">
      <c r="B140" s="63" t="s">
        <v>292</v>
      </c>
      <c r="C140" s="27" t="s">
        <v>293</v>
      </c>
      <c r="E140" s="49" t="str">
        <f>+IF(VLOOKUP($B140,tablero!$S$5:$AB$201,E$4,FALSE)=0,"",VLOOKUP($B140,tablero!$S$5:$AB$201,E$4,FALSE))</f>
        <v>x</v>
      </c>
      <c r="F140" s="49" t="str">
        <f>+IF(VLOOKUP($B140,tablero!$S$5:$AB$201,F$4,FALSE)=0,"",VLOOKUP($B140,tablero!$S$5:$AB$201,F$4,FALSE))</f>
        <v/>
      </c>
      <c r="G140" s="49" t="str">
        <f>+IF(VLOOKUP($B140,tablero!$S$5:$AB$201,G$4,FALSE)=0,"",VLOOKUP($B140,tablero!$S$5:$AB$201,G$4,FALSE))</f>
        <v/>
      </c>
      <c r="H140" s="49" t="str">
        <f>+IF(VLOOKUP($B140,tablero!$S$5:$AB$201,H$4,FALSE)=0,"",VLOOKUP($B140,tablero!$S$5:$AB$201,H$4,FALSE))</f>
        <v>x</v>
      </c>
      <c r="I140" s="49" t="str">
        <f>+IF(VLOOKUP($B140,tablero!$S$5:$AB$201,I$4,FALSE)=0,"",VLOOKUP($B140,tablero!$S$5:$AB$201,I$4,FALSE))</f>
        <v>x</v>
      </c>
      <c r="J140" s="49" t="str">
        <f>+IF(VLOOKUP($B140,tablero!$S$5:$AC$201,J$4,FALSE)=0,"",VLOOKUP($B140,tablero!$S$5:$AC$201,J$4,FALSE))</f>
        <v/>
      </c>
    </row>
    <row r="141" spans="2:10" x14ac:dyDescent="0.25">
      <c r="B141" s="63" t="s">
        <v>294</v>
      </c>
      <c r="C141" s="27" t="s">
        <v>295</v>
      </c>
      <c r="E141" s="49" t="str">
        <f>+IF(VLOOKUP($B141,tablero!$S$5:$AB$201,E$4,FALSE)=0,"",VLOOKUP($B141,tablero!$S$5:$AB$201,E$4,FALSE))</f>
        <v>x</v>
      </c>
      <c r="F141" s="49" t="str">
        <f>+IF(VLOOKUP($B141,tablero!$S$5:$AB$201,F$4,FALSE)=0,"",VLOOKUP($B141,tablero!$S$5:$AB$201,F$4,FALSE))</f>
        <v/>
      </c>
      <c r="G141" s="49" t="str">
        <f>+IF(VLOOKUP($B141,tablero!$S$5:$AB$201,G$4,FALSE)=0,"",VLOOKUP($B141,tablero!$S$5:$AB$201,G$4,FALSE))</f>
        <v/>
      </c>
      <c r="H141" s="49" t="str">
        <f>+IF(VLOOKUP($B141,tablero!$S$5:$AB$201,H$4,FALSE)=0,"",VLOOKUP($B141,tablero!$S$5:$AB$201,H$4,FALSE))</f>
        <v>x</v>
      </c>
      <c r="I141" s="49" t="str">
        <f>+IF(VLOOKUP($B141,tablero!$S$5:$AB$201,I$4,FALSE)=0,"",VLOOKUP($B141,tablero!$S$5:$AB$201,I$4,FALSE))</f>
        <v>x</v>
      </c>
      <c r="J141" s="49" t="str">
        <f>+IF(VLOOKUP($B141,tablero!$S$5:$AC$201,J$4,FALSE)=0,"",VLOOKUP($B141,tablero!$S$5:$AC$201,J$4,FALSE))</f>
        <v/>
      </c>
    </row>
    <row r="142" spans="2:10" x14ac:dyDescent="0.25">
      <c r="B142" s="63" t="s">
        <v>296</v>
      </c>
      <c r="C142" s="27" t="s">
        <v>297</v>
      </c>
      <c r="E142" s="49" t="str">
        <f>+IF(VLOOKUP($B142,tablero!$S$5:$AB$201,E$4,FALSE)=0,"",VLOOKUP($B142,tablero!$S$5:$AB$201,E$4,FALSE))</f>
        <v>x</v>
      </c>
      <c r="F142" s="49" t="str">
        <f>+IF(VLOOKUP($B142,tablero!$S$5:$AB$201,F$4,FALSE)=0,"",VLOOKUP($B142,tablero!$S$5:$AB$201,F$4,FALSE))</f>
        <v>x</v>
      </c>
      <c r="G142" s="49" t="str">
        <f>+IF(VLOOKUP($B142,tablero!$S$5:$AB$201,G$4,FALSE)=0,"",VLOOKUP($B142,tablero!$S$5:$AB$201,G$4,FALSE))</f>
        <v/>
      </c>
      <c r="H142" s="49" t="str">
        <f>+IF(VLOOKUP($B142,tablero!$S$5:$AB$201,H$4,FALSE)=0,"",VLOOKUP($B142,tablero!$S$5:$AB$201,H$4,FALSE))</f>
        <v>x</v>
      </c>
      <c r="I142" s="49" t="str">
        <f>+IF(VLOOKUP($B142,tablero!$S$5:$AB$201,I$4,FALSE)=0,"",VLOOKUP($B142,tablero!$S$5:$AB$201,I$4,FALSE))</f>
        <v/>
      </c>
      <c r="J142" s="49" t="str">
        <f>+IF(VLOOKUP($B142,tablero!$S$5:$AC$201,J$4,FALSE)=0,"",VLOOKUP($B142,tablero!$S$5:$AC$201,J$4,FALSE))</f>
        <v/>
      </c>
    </row>
    <row r="143" spans="2:10" x14ac:dyDescent="0.25">
      <c r="B143" s="63" t="s">
        <v>298</v>
      </c>
      <c r="C143" s="27" t="s">
        <v>1055</v>
      </c>
      <c r="E143" s="49" t="str">
        <f>+IF(VLOOKUP($B143,tablero!$S$5:$AB$201,E$4,FALSE)=0,"",VLOOKUP($B143,tablero!$S$5:$AB$201,E$4,FALSE))</f>
        <v>x</v>
      </c>
      <c r="F143" s="49" t="str">
        <f>+IF(VLOOKUP($B143,tablero!$S$5:$AB$201,F$4,FALSE)=0,"",VLOOKUP($B143,tablero!$S$5:$AB$201,F$4,FALSE))</f>
        <v/>
      </c>
      <c r="G143" s="49" t="str">
        <f>+IF(VLOOKUP($B143,tablero!$S$5:$AB$201,G$4,FALSE)=0,"",VLOOKUP($B143,tablero!$S$5:$AB$201,G$4,FALSE))</f>
        <v/>
      </c>
      <c r="H143" s="49" t="str">
        <f>+IF(VLOOKUP($B143,tablero!$S$5:$AB$201,H$4,FALSE)=0,"",VLOOKUP($B143,tablero!$S$5:$AB$201,H$4,FALSE))</f>
        <v/>
      </c>
      <c r="I143" s="49" t="str">
        <f>+IF(VLOOKUP($B143,tablero!$S$5:$AB$201,I$4,FALSE)=0,"",VLOOKUP($B143,tablero!$S$5:$AB$201,I$4,FALSE))</f>
        <v/>
      </c>
      <c r="J143" s="49" t="str">
        <f>+IF(VLOOKUP($B143,tablero!$S$5:$AC$201,J$4,FALSE)=0,"",VLOOKUP($B143,tablero!$S$5:$AC$201,J$4,FALSE))</f>
        <v/>
      </c>
    </row>
    <row r="144" spans="2:10" x14ac:dyDescent="0.25">
      <c r="B144" s="63" t="s">
        <v>299</v>
      </c>
      <c r="C144" s="27" t="s">
        <v>300</v>
      </c>
      <c r="E144" s="49" t="str">
        <f>+IF(VLOOKUP($B144,tablero!$S$5:$AB$201,E$4,FALSE)=0,"",VLOOKUP($B144,tablero!$S$5:$AB$201,E$4,FALSE))</f>
        <v>x</v>
      </c>
      <c r="F144" s="49" t="str">
        <f>+IF(VLOOKUP($B144,tablero!$S$5:$AB$201,F$4,FALSE)=0,"",VLOOKUP($B144,tablero!$S$5:$AB$201,F$4,FALSE))</f>
        <v/>
      </c>
      <c r="G144" s="49" t="str">
        <f>+IF(VLOOKUP($B144,tablero!$S$5:$AB$201,G$4,FALSE)=0,"",VLOOKUP($B144,tablero!$S$5:$AB$201,G$4,FALSE))</f>
        <v/>
      </c>
      <c r="H144" s="49" t="str">
        <f>+IF(VLOOKUP($B144,tablero!$S$5:$AB$201,H$4,FALSE)=0,"",VLOOKUP($B144,tablero!$S$5:$AB$201,H$4,FALSE))</f>
        <v/>
      </c>
      <c r="I144" s="49" t="str">
        <f>+IF(VLOOKUP($B144,tablero!$S$5:$AB$201,I$4,FALSE)=0,"",VLOOKUP($B144,tablero!$S$5:$AB$201,I$4,FALSE))</f>
        <v/>
      </c>
      <c r="J144" s="49" t="str">
        <f>+IF(VLOOKUP($B144,tablero!$S$5:$AC$201,J$4,FALSE)=0,"",VLOOKUP($B144,tablero!$S$5:$AC$201,J$4,FALSE))</f>
        <v/>
      </c>
    </row>
    <row r="145" spans="2:10" x14ac:dyDescent="0.25">
      <c r="B145" s="63" t="s">
        <v>301</v>
      </c>
      <c r="C145" s="27" t="s">
        <v>1030</v>
      </c>
      <c r="E145" s="49" t="str">
        <f>+IF(VLOOKUP($B145,tablero!$S$5:$AB$201,E$4,FALSE)=0,"",VLOOKUP($B145,tablero!$S$5:$AB$201,E$4,FALSE))</f>
        <v>x</v>
      </c>
      <c r="F145" s="49" t="str">
        <f>+IF(VLOOKUP($B145,tablero!$S$5:$AB$201,F$4,FALSE)=0,"",VLOOKUP($B145,tablero!$S$5:$AB$201,F$4,FALSE))</f>
        <v>x</v>
      </c>
      <c r="G145" s="49" t="str">
        <f>+IF(VLOOKUP($B145,tablero!$S$5:$AB$201,G$4,FALSE)=0,"",VLOOKUP($B145,tablero!$S$5:$AB$201,G$4,FALSE))</f>
        <v/>
      </c>
      <c r="H145" s="49" t="str">
        <f>+IF(VLOOKUP($B145,tablero!$S$5:$AB$201,H$4,FALSE)=0,"",VLOOKUP($B145,tablero!$S$5:$AB$201,H$4,FALSE))</f>
        <v/>
      </c>
      <c r="I145" s="49" t="str">
        <f>+IF(VLOOKUP($B145,tablero!$S$5:$AB$201,I$4,FALSE)=0,"",VLOOKUP($B145,tablero!$S$5:$AB$201,I$4,FALSE))</f>
        <v/>
      </c>
      <c r="J145" s="49" t="str">
        <f>+IF(VLOOKUP($B145,tablero!$S$5:$AC$201,J$4,FALSE)=0,"",VLOOKUP($B145,tablero!$S$5:$AC$201,J$4,FALSE))</f>
        <v/>
      </c>
    </row>
    <row r="146" spans="2:10" x14ac:dyDescent="0.25">
      <c r="B146" s="63" t="s">
        <v>302</v>
      </c>
      <c r="C146" s="27" t="s">
        <v>1355</v>
      </c>
      <c r="E146" s="49" t="str">
        <f>+IF(VLOOKUP($B146,tablero!$S$5:$AB$201,E$4,FALSE)=0,"",VLOOKUP($B146,tablero!$S$5:$AB$201,E$4,FALSE))</f>
        <v>x</v>
      </c>
      <c r="F146" s="49" t="str">
        <f>+IF(VLOOKUP($B146,tablero!$S$5:$AB$201,F$4,FALSE)=0,"",VLOOKUP($B146,tablero!$S$5:$AB$201,F$4,FALSE))</f>
        <v/>
      </c>
      <c r="G146" s="49" t="str">
        <f>+IF(VLOOKUP($B146,tablero!$S$5:$AB$201,G$4,FALSE)=0,"",VLOOKUP($B146,tablero!$S$5:$AB$201,G$4,FALSE))</f>
        <v/>
      </c>
      <c r="H146" s="49" t="str">
        <f>+IF(VLOOKUP($B146,tablero!$S$5:$AB$201,H$4,FALSE)=0,"",VLOOKUP($B146,tablero!$S$5:$AB$201,H$4,FALSE))</f>
        <v/>
      </c>
      <c r="I146" s="49" t="str">
        <f>+IF(VLOOKUP($B146,tablero!$S$5:$AB$201,I$4,FALSE)=0,"",VLOOKUP($B146,tablero!$S$5:$AB$201,I$4,FALSE))</f>
        <v/>
      </c>
      <c r="J146" s="49" t="str">
        <f>+IF(VLOOKUP($B146,tablero!$S$5:$AC$201,J$4,FALSE)=0,"",VLOOKUP($B146,tablero!$S$5:$AC$201,J$4,FALSE))</f>
        <v/>
      </c>
    </row>
    <row r="147" spans="2:10" ht="12.75" x14ac:dyDescent="0.25">
      <c r="B147" s="53" t="s">
        <v>259</v>
      </c>
      <c r="C147" s="54"/>
      <c r="E147" s="47" t="s">
        <v>1558</v>
      </c>
      <c r="F147" s="48" t="s">
        <v>1559</v>
      </c>
      <c r="G147" s="48" t="s">
        <v>1560</v>
      </c>
      <c r="H147" s="48" t="s">
        <v>1561</v>
      </c>
      <c r="I147" s="48" t="s">
        <v>1562</v>
      </c>
      <c r="J147" s="48" t="s">
        <v>1572</v>
      </c>
    </row>
    <row r="148" spans="2:10" x14ac:dyDescent="0.25">
      <c r="B148" s="63" t="s">
        <v>260</v>
      </c>
      <c r="C148" s="27" t="s">
        <v>261</v>
      </c>
      <c r="E148" s="49" t="str">
        <f>+IF(VLOOKUP($B148,tablero!$S$5:$AB$201,E$4,FALSE)=0,"",VLOOKUP($B148,tablero!$S$5:$AB$201,E$4,FALSE))</f>
        <v>x</v>
      </c>
      <c r="F148" s="49" t="str">
        <f>+IF(VLOOKUP($B148,tablero!$S$5:$AB$201,F$4,FALSE)=0,"",VLOOKUP($B148,tablero!$S$5:$AB$201,F$4,FALSE))</f>
        <v/>
      </c>
      <c r="G148" s="49" t="str">
        <f>+IF(VLOOKUP($B148,tablero!$S$5:$AB$201,G$4,FALSE)=0,"",VLOOKUP($B148,tablero!$S$5:$AB$201,G$4,FALSE))</f>
        <v/>
      </c>
      <c r="H148" s="49" t="str">
        <f>+IF(VLOOKUP($B148,tablero!$S$5:$AB$201,H$4,FALSE)=0,"",VLOOKUP($B148,tablero!$S$5:$AB$201,H$4,FALSE))</f>
        <v>x</v>
      </c>
      <c r="I148" s="49" t="str">
        <f>+IF(VLOOKUP($B148,tablero!$S$5:$AB$201,I$4,FALSE)=0,"",VLOOKUP($B148,tablero!$S$5:$AB$201,I$4,FALSE))</f>
        <v>x</v>
      </c>
      <c r="J148" s="49" t="str">
        <f>+IF(VLOOKUP($B148,tablero!$S$5:$AC$201,J$4,FALSE)=0,"",VLOOKUP($B148,tablero!$S$5:$AC$201,J$4,FALSE))</f>
        <v/>
      </c>
    </row>
    <row r="149" spans="2:10" x14ac:dyDescent="0.25">
      <c r="B149" s="63" t="s">
        <v>262</v>
      </c>
      <c r="C149" s="27" t="s">
        <v>263</v>
      </c>
      <c r="E149" s="49" t="str">
        <f>+IF(VLOOKUP($B149,tablero!$S$5:$AB$201,E$4,FALSE)=0,"",VLOOKUP($B149,tablero!$S$5:$AB$201,E$4,FALSE))</f>
        <v>x</v>
      </c>
      <c r="F149" s="49" t="str">
        <f>+IF(VLOOKUP($B149,tablero!$S$5:$AB$201,F$4,FALSE)=0,"",VLOOKUP($B149,tablero!$S$5:$AB$201,F$4,FALSE))</f>
        <v/>
      </c>
      <c r="G149" s="49" t="str">
        <f>+IF(VLOOKUP($B149,tablero!$S$5:$AB$201,G$4,FALSE)=0,"",VLOOKUP($B149,tablero!$S$5:$AB$201,G$4,FALSE))</f>
        <v/>
      </c>
      <c r="H149" s="49" t="str">
        <f>+IF(VLOOKUP($B149,tablero!$S$5:$AB$201,H$4,FALSE)=0,"",VLOOKUP($B149,tablero!$S$5:$AB$201,H$4,FALSE))</f>
        <v>x</v>
      </c>
      <c r="I149" s="49" t="str">
        <f>+IF(VLOOKUP($B149,tablero!$S$5:$AB$201,I$4,FALSE)=0,"",VLOOKUP($B149,tablero!$S$5:$AB$201,I$4,FALSE))</f>
        <v>x</v>
      </c>
      <c r="J149" s="49" t="str">
        <f>+IF(VLOOKUP($B149,tablero!$S$5:$AC$201,J$4,FALSE)=0,"",VLOOKUP($B149,tablero!$S$5:$AC$201,J$4,FALSE))</f>
        <v/>
      </c>
    </row>
    <row r="150" spans="2:10" x14ac:dyDescent="0.25">
      <c r="B150" s="63" t="s">
        <v>264</v>
      </c>
      <c r="C150" s="27" t="s">
        <v>1156</v>
      </c>
      <c r="E150" s="49" t="str">
        <f>+IF(VLOOKUP($B150,tablero!$S$5:$AB$201,E$4,FALSE)=0,"",VLOOKUP($B150,tablero!$S$5:$AB$201,E$4,FALSE))</f>
        <v>x</v>
      </c>
      <c r="F150" s="49" t="str">
        <f>+IF(VLOOKUP($B150,tablero!$S$5:$AB$201,F$4,FALSE)=0,"",VLOOKUP($B150,tablero!$S$5:$AB$201,F$4,FALSE))</f>
        <v/>
      </c>
      <c r="G150" s="49" t="str">
        <f>+IF(VLOOKUP($B150,tablero!$S$5:$AB$201,G$4,FALSE)=0,"",VLOOKUP($B150,tablero!$S$5:$AB$201,G$4,FALSE))</f>
        <v/>
      </c>
      <c r="H150" s="49" t="str">
        <f>+IF(VLOOKUP($B150,tablero!$S$5:$AB$201,H$4,FALSE)=0,"",VLOOKUP($B150,tablero!$S$5:$AB$201,H$4,FALSE))</f>
        <v>x</v>
      </c>
      <c r="I150" s="49" t="str">
        <f>+IF(VLOOKUP($B150,tablero!$S$5:$AB$201,I$4,FALSE)=0,"",VLOOKUP($B150,tablero!$S$5:$AB$201,I$4,FALSE))</f>
        <v/>
      </c>
      <c r="J150" s="49" t="str">
        <f>+IF(VLOOKUP($B150,tablero!$S$5:$AC$201,J$4,FALSE)=0,"",VLOOKUP($B150,tablero!$S$5:$AC$201,J$4,FALSE))</f>
        <v/>
      </c>
    </row>
    <row r="151" spans="2:10" x14ac:dyDescent="0.25">
      <c r="B151" s="63" t="s">
        <v>265</v>
      </c>
      <c r="C151" s="27" t="s">
        <v>266</v>
      </c>
      <c r="E151" s="49" t="str">
        <f>+IF(VLOOKUP($B151,tablero!$S$5:$AB$201,E$4,FALSE)=0,"",VLOOKUP($B151,tablero!$S$5:$AB$201,E$4,FALSE))</f>
        <v>x</v>
      </c>
      <c r="F151" s="49" t="str">
        <f>+IF(VLOOKUP($B151,tablero!$S$5:$AB$201,F$4,FALSE)=0,"",VLOOKUP($B151,tablero!$S$5:$AB$201,F$4,FALSE))</f>
        <v/>
      </c>
      <c r="G151" s="49" t="str">
        <f>+IF(VLOOKUP($B151,tablero!$S$5:$AB$201,G$4,FALSE)=0,"",VLOOKUP($B151,tablero!$S$5:$AB$201,G$4,FALSE))</f>
        <v/>
      </c>
      <c r="H151" s="49" t="str">
        <f>+IF(VLOOKUP($B151,tablero!$S$5:$AB$201,H$4,FALSE)=0,"",VLOOKUP($B151,tablero!$S$5:$AB$201,H$4,FALSE))</f>
        <v>x</v>
      </c>
      <c r="I151" s="49" t="str">
        <f>+IF(VLOOKUP($B151,tablero!$S$5:$AB$201,I$4,FALSE)=0,"",VLOOKUP($B151,tablero!$S$5:$AB$201,I$4,FALSE))</f>
        <v/>
      </c>
      <c r="J151" s="49" t="str">
        <f>+IF(VLOOKUP($B151,tablero!$S$5:$AC$201,J$4,FALSE)=0,"",VLOOKUP($B151,tablero!$S$5:$AC$201,J$4,FALSE))</f>
        <v/>
      </c>
    </row>
    <row r="152" spans="2:10" x14ac:dyDescent="0.25">
      <c r="B152" s="63" t="s">
        <v>267</v>
      </c>
      <c r="C152" s="27" t="s">
        <v>268</v>
      </c>
      <c r="E152" s="49" t="str">
        <f>+IF(VLOOKUP($B152,tablero!$S$5:$AB$201,E$4,FALSE)=0,"",VLOOKUP($B152,tablero!$S$5:$AB$201,E$4,FALSE))</f>
        <v>x</v>
      </c>
      <c r="F152" s="49" t="str">
        <f>+IF(VLOOKUP($B152,tablero!$S$5:$AB$201,F$4,FALSE)=0,"",VLOOKUP($B152,tablero!$S$5:$AB$201,F$4,FALSE))</f>
        <v/>
      </c>
      <c r="G152" s="49" t="str">
        <f>+IF(VLOOKUP($B152,tablero!$S$5:$AB$201,G$4,FALSE)=0,"",VLOOKUP($B152,tablero!$S$5:$AB$201,G$4,FALSE))</f>
        <v/>
      </c>
      <c r="H152" s="49" t="str">
        <f>+IF(VLOOKUP($B152,tablero!$S$5:$AB$201,H$4,FALSE)=0,"",VLOOKUP($B152,tablero!$S$5:$AB$201,H$4,FALSE))</f>
        <v>x</v>
      </c>
      <c r="I152" s="49" t="str">
        <f>+IF(VLOOKUP($B152,tablero!$S$5:$AB$201,I$4,FALSE)=0,"",VLOOKUP($B152,tablero!$S$5:$AB$201,I$4,FALSE))</f>
        <v/>
      </c>
      <c r="J152" s="49" t="str">
        <f>+IF(VLOOKUP($B152,tablero!$S$5:$AC$201,J$4,FALSE)=0,"",VLOOKUP($B152,tablero!$S$5:$AC$201,J$4,FALSE))</f>
        <v/>
      </c>
    </row>
    <row r="153" spans="2:10" x14ac:dyDescent="0.25">
      <c r="B153" s="63" t="s">
        <v>269</v>
      </c>
      <c r="C153" s="27" t="s">
        <v>270</v>
      </c>
      <c r="E153" s="49" t="str">
        <f>+IF(VLOOKUP($B153,tablero!$S$5:$AB$201,E$4,FALSE)=0,"",VLOOKUP($B153,tablero!$S$5:$AB$201,E$4,FALSE))</f>
        <v>x</v>
      </c>
      <c r="F153" s="49" t="str">
        <f>+IF(VLOOKUP($B153,tablero!$S$5:$AB$201,F$4,FALSE)=0,"",VLOOKUP($B153,tablero!$S$5:$AB$201,F$4,FALSE))</f>
        <v/>
      </c>
      <c r="G153" s="49" t="str">
        <f>+IF(VLOOKUP($B153,tablero!$S$5:$AB$201,G$4,FALSE)=0,"",VLOOKUP($B153,tablero!$S$5:$AB$201,G$4,FALSE))</f>
        <v/>
      </c>
      <c r="H153" s="49" t="str">
        <f>+IF(VLOOKUP($B153,tablero!$S$5:$AB$201,H$4,FALSE)=0,"",VLOOKUP($B153,tablero!$S$5:$AB$201,H$4,FALSE))</f>
        <v>x</v>
      </c>
      <c r="I153" s="49" t="str">
        <f>+IF(VLOOKUP($B153,tablero!$S$5:$AB$201,I$4,FALSE)=0,"",VLOOKUP($B153,tablero!$S$5:$AB$201,I$4,FALSE))</f>
        <v/>
      </c>
      <c r="J153" s="49" t="str">
        <f>+IF(VLOOKUP($B153,tablero!$S$5:$AC$201,J$4,FALSE)=0,"",VLOOKUP($B153,tablero!$S$5:$AC$201,J$4,FALSE))</f>
        <v/>
      </c>
    </row>
    <row r="154" spans="2:10" x14ac:dyDescent="0.25">
      <c r="B154" s="63" t="s">
        <v>271</v>
      </c>
      <c r="C154" s="27" t="s">
        <v>272</v>
      </c>
      <c r="E154" s="49" t="str">
        <f>+IF(VLOOKUP($B154,tablero!$S$5:$AB$201,E$4,FALSE)=0,"",VLOOKUP($B154,tablero!$S$5:$AB$201,E$4,FALSE))</f>
        <v>x</v>
      </c>
      <c r="F154" s="49" t="str">
        <f>+IF(VLOOKUP($B154,tablero!$S$5:$AB$201,F$4,FALSE)=0,"",VLOOKUP($B154,tablero!$S$5:$AB$201,F$4,FALSE))</f>
        <v/>
      </c>
      <c r="G154" s="49" t="str">
        <f>+IF(VLOOKUP($B154,tablero!$S$5:$AB$201,G$4,FALSE)=0,"",VLOOKUP($B154,tablero!$S$5:$AB$201,G$4,FALSE))</f>
        <v/>
      </c>
      <c r="H154" s="49" t="str">
        <f>+IF(VLOOKUP($B154,tablero!$S$5:$AB$201,H$4,FALSE)=0,"",VLOOKUP($B154,tablero!$S$5:$AB$201,H$4,FALSE))</f>
        <v>x</v>
      </c>
      <c r="I154" s="49" t="str">
        <f>+IF(VLOOKUP($B154,tablero!$S$5:$AB$201,I$4,FALSE)=0,"",VLOOKUP($B154,tablero!$S$5:$AB$201,I$4,FALSE))</f>
        <v/>
      </c>
      <c r="J154" s="49" t="str">
        <f>+IF(VLOOKUP($B154,tablero!$S$5:$AC$201,J$4,FALSE)=0,"",VLOOKUP($B154,tablero!$S$5:$AC$201,J$4,FALSE))</f>
        <v/>
      </c>
    </row>
    <row r="155" spans="2:10" x14ac:dyDescent="0.25">
      <c r="B155" s="63" t="s">
        <v>273</v>
      </c>
      <c r="C155" s="27" t="s">
        <v>274</v>
      </c>
      <c r="E155" s="49" t="str">
        <f>+IF(VLOOKUP($B155,tablero!$S$5:$AB$201,E$4,FALSE)=0,"",VLOOKUP($B155,tablero!$S$5:$AB$201,E$4,FALSE))</f>
        <v>x</v>
      </c>
      <c r="F155" s="49" t="str">
        <f>+IF(VLOOKUP($B155,tablero!$S$5:$AB$201,F$4,FALSE)=0,"",VLOOKUP($B155,tablero!$S$5:$AB$201,F$4,FALSE))</f>
        <v>x</v>
      </c>
      <c r="G155" s="49" t="str">
        <f>+IF(VLOOKUP($B155,tablero!$S$5:$AB$201,G$4,FALSE)=0,"",VLOOKUP($B155,tablero!$S$5:$AB$201,G$4,FALSE))</f>
        <v/>
      </c>
      <c r="H155" s="49" t="str">
        <f>+IF(VLOOKUP($B155,tablero!$S$5:$AB$201,H$4,FALSE)=0,"",VLOOKUP($B155,tablero!$S$5:$AB$201,H$4,FALSE))</f>
        <v/>
      </c>
      <c r="I155" s="49" t="str">
        <f>+IF(VLOOKUP($B155,tablero!$S$5:$AB$201,I$4,FALSE)=0,"",VLOOKUP($B155,tablero!$S$5:$AB$201,I$4,FALSE))</f>
        <v/>
      </c>
      <c r="J155" s="49" t="str">
        <f>+IF(VLOOKUP($B155,tablero!$S$5:$AC$201,J$4,FALSE)=0,"",VLOOKUP($B155,tablero!$S$5:$AC$201,J$4,FALSE))</f>
        <v/>
      </c>
    </row>
    <row r="156" spans="2:10" x14ac:dyDescent="0.25">
      <c r="B156" s="63" t="s">
        <v>275</v>
      </c>
      <c r="C156" s="27" t="s">
        <v>276</v>
      </c>
      <c r="E156" s="49" t="str">
        <f>+IF(VLOOKUP($B156,tablero!$S$5:$AB$201,E$4,FALSE)=0,"",VLOOKUP($B156,tablero!$S$5:$AB$201,E$4,FALSE))</f>
        <v>x</v>
      </c>
      <c r="F156" s="49" t="str">
        <f>+IF(VLOOKUP($B156,tablero!$S$5:$AB$201,F$4,FALSE)=0,"",VLOOKUP($B156,tablero!$S$5:$AB$201,F$4,FALSE))</f>
        <v/>
      </c>
      <c r="G156" s="49" t="str">
        <f>+IF(VLOOKUP($B156,tablero!$S$5:$AB$201,G$4,FALSE)=0,"",VLOOKUP($B156,tablero!$S$5:$AB$201,G$4,FALSE))</f>
        <v/>
      </c>
      <c r="H156" s="49" t="str">
        <f>+IF(VLOOKUP($B156,tablero!$S$5:$AB$201,H$4,FALSE)=0,"",VLOOKUP($B156,tablero!$S$5:$AB$201,H$4,FALSE))</f>
        <v/>
      </c>
      <c r="I156" s="49" t="str">
        <f>+IF(VLOOKUP($B156,tablero!$S$5:$AB$201,I$4,FALSE)=0,"",VLOOKUP($B156,tablero!$S$5:$AB$201,I$4,FALSE))</f>
        <v/>
      </c>
      <c r="J156" s="49" t="str">
        <f>+IF(VLOOKUP($B156,tablero!$S$5:$AC$201,J$4,FALSE)=0,"",VLOOKUP($B156,tablero!$S$5:$AC$201,J$4,FALSE))</f>
        <v/>
      </c>
    </row>
    <row r="157" spans="2:10" x14ac:dyDescent="0.25">
      <c r="B157" s="63" t="s">
        <v>277</v>
      </c>
      <c r="C157" s="27" t="s">
        <v>1157</v>
      </c>
      <c r="E157" s="49" t="str">
        <f>+IF(VLOOKUP($B157,tablero!$S$5:$AB$201,E$4,FALSE)=0,"",VLOOKUP($B157,tablero!$S$5:$AB$201,E$4,FALSE))</f>
        <v>x</v>
      </c>
      <c r="F157" s="49" t="str">
        <f>+IF(VLOOKUP($B157,tablero!$S$5:$AB$201,F$4,FALSE)=0,"",VLOOKUP($B157,tablero!$S$5:$AB$201,F$4,FALSE))</f>
        <v/>
      </c>
      <c r="G157" s="49" t="str">
        <f>+IF(VLOOKUP($B157,tablero!$S$5:$AB$201,G$4,FALSE)=0,"",VLOOKUP($B157,tablero!$S$5:$AB$201,G$4,FALSE))</f>
        <v/>
      </c>
      <c r="H157" s="49" t="str">
        <f>+IF(VLOOKUP($B157,tablero!$S$5:$AB$201,H$4,FALSE)=0,"",VLOOKUP($B157,tablero!$S$5:$AB$201,H$4,FALSE))</f>
        <v/>
      </c>
      <c r="I157" s="49" t="str">
        <f>+IF(VLOOKUP($B157,tablero!$S$5:$AB$201,I$4,FALSE)=0,"",VLOOKUP($B157,tablero!$S$5:$AB$201,I$4,FALSE))</f>
        <v/>
      </c>
      <c r="J157" s="49" t="str">
        <f>+IF(VLOOKUP($B157,tablero!$S$5:$AC$201,J$4,FALSE)=0,"",VLOOKUP($B157,tablero!$S$5:$AC$201,J$4,FALSE))</f>
        <v/>
      </c>
    </row>
    <row r="158" spans="2:10" x14ac:dyDescent="0.25">
      <c r="B158" s="63" t="s">
        <v>278</v>
      </c>
      <c r="C158" s="27" t="s">
        <v>279</v>
      </c>
      <c r="E158" s="49" t="str">
        <f>+IF(VLOOKUP($B158,tablero!$S$5:$AB$201,E$4,FALSE)=0,"",VLOOKUP($B158,tablero!$S$5:$AB$201,E$4,FALSE))</f>
        <v>x</v>
      </c>
      <c r="F158" s="49" t="str">
        <f>+IF(VLOOKUP($B158,tablero!$S$5:$AB$201,F$4,FALSE)=0,"",VLOOKUP($B158,tablero!$S$5:$AB$201,F$4,FALSE))</f>
        <v/>
      </c>
      <c r="G158" s="49" t="str">
        <f>+IF(VLOOKUP($B158,tablero!$S$5:$AB$201,G$4,FALSE)=0,"",VLOOKUP($B158,tablero!$S$5:$AB$201,G$4,FALSE))</f>
        <v/>
      </c>
      <c r="H158" s="49" t="str">
        <f>+IF(VLOOKUP($B158,tablero!$S$5:$AB$201,H$4,FALSE)=0,"",VLOOKUP($B158,tablero!$S$5:$AB$201,H$4,FALSE))</f>
        <v/>
      </c>
      <c r="I158" s="49" t="str">
        <f>+IF(VLOOKUP($B158,tablero!$S$5:$AB$201,I$4,FALSE)=0,"",VLOOKUP($B158,tablero!$S$5:$AB$201,I$4,FALSE))</f>
        <v/>
      </c>
      <c r="J158" s="49" t="str">
        <f>+IF(VLOOKUP($B158,tablero!$S$5:$AC$201,J$4,FALSE)=0,"",VLOOKUP($B158,tablero!$S$5:$AC$201,J$4,FALSE))</f>
        <v/>
      </c>
    </row>
    <row r="159" spans="2:10" x14ac:dyDescent="0.25">
      <c r="B159" s="63" t="s">
        <v>280</v>
      </c>
      <c r="C159" s="27" t="s">
        <v>2125</v>
      </c>
      <c r="E159" s="49" t="str">
        <f>+IF(VLOOKUP($B159,tablero!$S$5:$AB$201,E$4,FALSE)=0,"",VLOOKUP($B159,tablero!$S$5:$AB$201,E$4,FALSE))</f>
        <v>x</v>
      </c>
      <c r="F159" s="49" t="str">
        <f>+IF(VLOOKUP($B159,tablero!$S$5:$AB$201,F$4,FALSE)=0,"",VLOOKUP($B159,tablero!$S$5:$AB$201,F$4,FALSE))</f>
        <v>x</v>
      </c>
      <c r="G159" s="49" t="str">
        <f>+IF(VLOOKUP($B159,tablero!$S$5:$AB$201,G$4,FALSE)=0,"",VLOOKUP($B159,tablero!$S$5:$AB$201,G$4,FALSE))</f>
        <v/>
      </c>
      <c r="H159" s="49" t="str">
        <f>+IF(VLOOKUP($B159,tablero!$S$5:$AB$201,H$4,FALSE)=0,"",VLOOKUP($B159,tablero!$S$5:$AB$201,H$4,FALSE))</f>
        <v/>
      </c>
      <c r="I159" s="49" t="str">
        <f>+IF(VLOOKUP($B159,tablero!$S$5:$AB$201,I$4,FALSE)=0,"",VLOOKUP($B159,tablero!$S$5:$AB$201,I$4,FALSE))</f>
        <v/>
      </c>
      <c r="J159" s="49" t="str">
        <f>+IF(VLOOKUP($B159,tablero!$S$5:$AC$201,J$4,FALSE)=0,"",VLOOKUP($B159,tablero!$S$5:$AC$201,J$4,FALSE))</f>
        <v/>
      </c>
    </row>
    <row r="160" spans="2:10" x14ac:dyDescent="0.25">
      <c r="B160" s="63" t="s">
        <v>281</v>
      </c>
      <c r="C160" s="27" t="s">
        <v>282</v>
      </c>
      <c r="E160" s="49" t="str">
        <f>+IF(VLOOKUP($B160,tablero!$S$5:$AB$201,E$4,FALSE)=0,"",VLOOKUP($B160,tablero!$S$5:$AB$201,E$4,FALSE))</f>
        <v>x</v>
      </c>
      <c r="F160" s="49" t="str">
        <f>+IF(VLOOKUP($B160,tablero!$S$5:$AB$201,F$4,FALSE)=0,"",VLOOKUP($B160,tablero!$S$5:$AB$201,F$4,FALSE))</f>
        <v>x</v>
      </c>
      <c r="G160" s="49" t="str">
        <f>+IF(VLOOKUP($B160,tablero!$S$5:$AB$201,G$4,FALSE)=0,"",VLOOKUP($B160,tablero!$S$5:$AB$201,G$4,FALSE))</f>
        <v/>
      </c>
      <c r="H160" s="49" t="str">
        <f>+IF(VLOOKUP($B160,tablero!$S$5:$AB$201,H$4,FALSE)=0,"",VLOOKUP($B160,tablero!$S$5:$AB$201,H$4,FALSE))</f>
        <v/>
      </c>
      <c r="I160" s="49" t="str">
        <f>+IF(VLOOKUP($B160,tablero!$S$5:$AB$201,I$4,FALSE)=0,"",VLOOKUP($B160,tablero!$S$5:$AB$201,I$4,FALSE))</f>
        <v/>
      </c>
      <c r="J160" s="49" t="str">
        <f>+IF(VLOOKUP($B160,tablero!$S$5:$AC$201,J$4,FALSE)=0,"",VLOOKUP($B160,tablero!$S$5:$AC$201,J$4,FALSE))</f>
        <v/>
      </c>
    </row>
    <row r="161" spans="2:49" x14ac:dyDescent="0.25">
      <c r="B161" s="63" t="s">
        <v>283</v>
      </c>
      <c r="C161" s="27" t="s">
        <v>1158</v>
      </c>
      <c r="E161" s="49" t="str">
        <f>+IF(VLOOKUP($B161,tablero!$S$5:$AB$201,E$4,FALSE)=0,"",VLOOKUP($B161,tablero!$S$5:$AB$201,E$4,FALSE))</f>
        <v>x</v>
      </c>
      <c r="F161" s="49" t="str">
        <f>+IF(VLOOKUP($B161,tablero!$S$5:$AB$201,F$4,FALSE)=0,"",VLOOKUP($B161,tablero!$S$5:$AB$201,F$4,FALSE))</f>
        <v>x</v>
      </c>
      <c r="G161" s="49" t="str">
        <f>+IF(VLOOKUP($B161,tablero!$S$5:$AB$201,G$4,FALSE)=0,"",VLOOKUP($B161,tablero!$S$5:$AB$201,G$4,FALSE))</f>
        <v/>
      </c>
      <c r="H161" s="49" t="str">
        <f>+IF(VLOOKUP($B161,tablero!$S$5:$AB$201,H$4,FALSE)=0,"",VLOOKUP($B161,tablero!$S$5:$AB$201,H$4,FALSE))</f>
        <v/>
      </c>
      <c r="I161" s="49" t="str">
        <f>+IF(VLOOKUP($B161,tablero!$S$5:$AB$201,I$4,FALSE)=0,"",VLOOKUP($B161,tablero!$S$5:$AB$201,I$4,FALSE))</f>
        <v/>
      </c>
      <c r="J161" s="49" t="str">
        <f>+IF(VLOOKUP($B161,tablero!$S$5:$AC$201,J$4,FALSE)=0,"",VLOOKUP($B161,tablero!$S$5:$AC$201,J$4,FALSE))</f>
        <v/>
      </c>
    </row>
    <row r="162" spans="2:49" x14ac:dyDescent="0.25">
      <c r="B162" s="63" t="s">
        <v>284</v>
      </c>
      <c r="C162" s="27" t="s">
        <v>1159</v>
      </c>
      <c r="E162" s="49" t="str">
        <f>+IF(VLOOKUP($B162,tablero!$S$5:$AB$201,E$4,FALSE)=0,"",VLOOKUP($B162,tablero!$S$5:$AB$201,E$4,FALSE))</f>
        <v>x</v>
      </c>
      <c r="F162" s="49" t="str">
        <f>+IF(VLOOKUP($B162,tablero!$S$5:$AB$201,F$4,FALSE)=0,"",VLOOKUP($B162,tablero!$S$5:$AB$201,F$4,FALSE))</f>
        <v>x</v>
      </c>
      <c r="G162" s="49" t="str">
        <f>+IF(VLOOKUP($B162,tablero!$S$5:$AB$201,G$4,FALSE)=0,"",VLOOKUP($B162,tablero!$S$5:$AB$201,G$4,FALSE))</f>
        <v/>
      </c>
      <c r="H162" s="49" t="str">
        <f>+IF(VLOOKUP($B162,tablero!$S$5:$AB$201,H$4,FALSE)=0,"",VLOOKUP($B162,tablero!$S$5:$AB$201,H$4,FALSE))</f>
        <v/>
      </c>
      <c r="I162" s="49" t="str">
        <f>+IF(VLOOKUP($B162,tablero!$S$5:$AB$201,I$4,FALSE)=0,"",VLOOKUP($B162,tablero!$S$5:$AB$201,I$4,FALSE))</f>
        <v/>
      </c>
      <c r="J162" s="49" t="str">
        <f>+IF(VLOOKUP($B162,tablero!$S$5:$AC$201,J$4,FALSE)=0,"",VLOOKUP($B162,tablero!$S$5:$AC$201,J$4,FALSE))</f>
        <v/>
      </c>
    </row>
    <row r="163" spans="2:49" x14ac:dyDescent="0.25">
      <c r="B163" s="63" t="s">
        <v>285</v>
      </c>
      <c r="C163" s="27" t="s">
        <v>286</v>
      </c>
      <c r="E163" s="49" t="str">
        <f>+IF(VLOOKUP($B163,tablero!$S$5:$AB$201,E$4,FALSE)=0,"",VLOOKUP($B163,tablero!$S$5:$AB$201,E$4,FALSE))</f>
        <v>x</v>
      </c>
      <c r="F163" s="49" t="str">
        <f>+IF(VLOOKUP($B163,tablero!$S$5:$AB$201,F$4,FALSE)=0,"",VLOOKUP($B163,tablero!$S$5:$AB$201,F$4,FALSE))</f>
        <v>x</v>
      </c>
      <c r="G163" s="49" t="str">
        <f>+IF(VLOOKUP($B163,tablero!$S$5:$AB$201,G$4,FALSE)=0,"",VLOOKUP($B163,tablero!$S$5:$AB$201,G$4,FALSE))</f>
        <v/>
      </c>
      <c r="H163" s="49" t="str">
        <f>+IF(VLOOKUP($B163,tablero!$S$5:$AB$201,H$4,FALSE)=0,"",VLOOKUP($B163,tablero!$S$5:$AB$201,H$4,FALSE))</f>
        <v/>
      </c>
      <c r="I163" s="49" t="str">
        <f>+IF(VLOOKUP($B163,tablero!$S$5:$AB$201,I$4,FALSE)=0,"",VLOOKUP($B163,tablero!$S$5:$AB$201,I$4,FALSE))</f>
        <v/>
      </c>
      <c r="J163" s="49" t="str">
        <f>+IF(VLOOKUP($B163,tablero!$S$5:$AC$201,J$4,FALSE)=0,"",VLOOKUP($B163,tablero!$S$5:$AC$201,J$4,FALSE))</f>
        <v/>
      </c>
    </row>
    <row r="164" spans="2:49" x14ac:dyDescent="0.25">
      <c r="B164" s="63" t="s">
        <v>287</v>
      </c>
      <c r="C164" s="27" t="s">
        <v>288</v>
      </c>
      <c r="E164" s="49" t="str">
        <f>+IF(VLOOKUP($B164,tablero!$S$5:$AB$201,E$4,FALSE)=0,"",VLOOKUP($B164,tablero!$S$5:$AB$201,E$4,FALSE))</f>
        <v>x</v>
      </c>
      <c r="F164" s="49" t="str">
        <f>+IF(VLOOKUP($B164,tablero!$S$5:$AB$201,F$4,FALSE)=0,"",VLOOKUP($B164,tablero!$S$5:$AB$201,F$4,FALSE))</f>
        <v>x</v>
      </c>
      <c r="G164" s="49" t="str">
        <f>+IF(VLOOKUP($B164,tablero!$S$5:$AB$201,G$4,FALSE)=0,"",VLOOKUP($B164,tablero!$S$5:$AB$201,G$4,FALSE))</f>
        <v/>
      </c>
      <c r="H164" s="49" t="str">
        <f>+IF(VLOOKUP($B164,tablero!$S$5:$AB$201,H$4,FALSE)=0,"",VLOOKUP($B164,tablero!$S$5:$AB$201,H$4,FALSE))</f>
        <v/>
      </c>
      <c r="I164" s="49" t="str">
        <f>+IF(VLOOKUP($B164,tablero!$S$5:$AB$201,I$4,FALSE)=0,"",VLOOKUP($B164,tablero!$S$5:$AB$201,I$4,FALSE))</f>
        <v/>
      </c>
      <c r="J164" s="49" t="str">
        <f>+IF(VLOOKUP($B164,tablero!$S$5:$AC$201,J$4,FALSE)=0,"",VLOOKUP($B164,tablero!$S$5:$AC$201,J$4,FALSE))</f>
        <v/>
      </c>
    </row>
    <row r="165" spans="2:49" x14ac:dyDescent="0.25">
      <c r="B165" s="63" t="s">
        <v>289</v>
      </c>
      <c r="C165" s="27" t="s">
        <v>290</v>
      </c>
      <c r="E165" s="49" t="str">
        <f>+IF(VLOOKUP($B165,tablero!$S$5:$AB$201,E$4,FALSE)=0,"",VLOOKUP($B165,tablero!$S$5:$AB$201,E$4,FALSE))</f>
        <v>x</v>
      </c>
      <c r="F165" s="49" t="str">
        <f>+IF(VLOOKUP($B165,tablero!$S$5:$AB$201,F$4,FALSE)=0,"",VLOOKUP($B165,tablero!$S$5:$AB$201,F$4,FALSE))</f>
        <v>x</v>
      </c>
      <c r="G165" s="49" t="str">
        <f>+IF(VLOOKUP($B165,tablero!$S$5:$AB$201,G$4,FALSE)=0,"",VLOOKUP($B165,tablero!$S$5:$AB$201,G$4,FALSE))</f>
        <v/>
      </c>
      <c r="H165" s="49" t="str">
        <f>+IF(VLOOKUP($B165,tablero!$S$5:$AB$201,H$4,FALSE)=0,"",VLOOKUP($B165,tablero!$S$5:$AB$201,H$4,FALSE))</f>
        <v/>
      </c>
      <c r="I165" s="49" t="str">
        <f>+IF(VLOOKUP($B165,tablero!$S$5:$AB$201,I$4,FALSE)=0,"",VLOOKUP($B165,tablero!$S$5:$AB$201,I$4,FALSE))</f>
        <v/>
      </c>
      <c r="J165" s="49" t="str">
        <f>+IF(VLOOKUP($B165,tablero!$S$5:$AC$201,J$4,FALSE)=0,"",VLOOKUP($B165,tablero!$S$5:$AC$201,J$4,FALSE))</f>
        <v/>
      </c>
    </row>
    <row r="166" spans="2:49" x14ac:dyDescent="0.25">
      <c r="B166" s="63" t="s">
        <v>1361</v>
      </c>
      <c r="C166" s="27" t="s">
        <v>1355</v>
      </c>
      <c r="E166" s="49" t="str">
        <f>+IF(VLOOKUP($B166,tablero!$S$5:$AB$201,E$4,FALSE)=0,"",VLOOKUP($B166,tablero!$S$5:$AB$201,E$4,FALSE))</f>
        <v>x</v>
      </c>
      <c r="F166" s="49" t="str">
        <f>+IF(VLOOKUP($B166,tablero!$S$5:$AB$201,F$4,FALSE)=0,"",VLOOKUP($B166,tablero!$S$5:$AB$201,F$4,FALSE))</f>
        <v/>
      </c>
      <c r="G166" s="49" t="str">
        <f>+IF(VLOOKUP($B166,tablero!$S$5:$AB$201,G$4,FALSE)=0,"",VLOOKUP($B166,tablero!$S$5:$AB$201,G$4,FALSE))</f>
        <v/>
      </c>
      <c r="H166" s="49" t="str">
        <f>+IF(VLOOKUP($B166,tablero!$S$5:$AB$201,H$4,FALSE)=0,"",VLOOKUP($B166,tablero!$S$5:$AB$201,H$4,FALSE))</f>
        <v/>
      </c>
      <c r="I166" s="49" t="str">
        <f>+IF(VLOOKUP($B166,tablero!$S$5:$AB$201,I$4,FALSE)=0,"",VLOOKUP($B166,tablero!$S$5:$AB$201,I$4,FALSE))</f>
        <v/>
      </c>
      <c r="J166" s="49" t="str">
        <f>+IF(VLOOKUP($B166,tablero!$S$5:$AC$201,J$4,FALSE)=0,"",VLOOKUP($B166,tablero!$S$5:$AC$201,J$4,FALSE))</f>
        <v/>
      </c>
    </row>
    <row r="167" spans="2:49" ht="12.75" x14ac:dyDescent="0.25">
      <c r="B167" s="53" t="s">
        <v>303</v>
      </c>
      <c r="C167" s="54"/>
      <c r="E167" s="47" t="s">
        <v>1558</v>
      </c>
      <c r="F167" s="48" t="s">
        <v>1559</v>
      </c>
      <c r="G167" s="48" t="s">
        <v>1560</v>
      </c>
      <c r="H167" s="48" t="s">
        <v>1561</v>
      </c>
      <c r="I167" s="48" t="s">
        <v>1562</v>
      </c>
      <c r="J167" s="48" t="s">
        <v>1572</v>
      </c>
    </row>
    <row r="168" spans="2:49" ht="24" x14ac:dyDescent="0.25">
      <c r="B168" s="63" t="s">
        <v>304</v>
      </c>
      <c r="C168" s="27" t="s">
        <v>305</v>
      </c>
      <c r="E168" s="49" t="str">
        <f>+IF(VLOOKUP($B168,tablero!$S$5:$AB$201,E$4,FALSE)=0,"",VLOOKUP($B168,tablero!$S$5:$AB$201,E$4,FALSE))</f>
        <v>x</v>
      </c>
      <c r="F168" s="49" t="str">
        <f>+IF(VLOOKUP($B168,tablero!$S$5:$AB$201,F$4,FALSE)=0,"",VLOOKUP($B168,tablero!$S$5:$AB$201,F$4,FALSE))</f>
        <v/>
      </c>
      <c r="G168" s="49" t="str">
        <f>+IF(VLOOKUP($B168,tablero!$S$5:$AB$201,G$4,FALSE)=0,"",VLOOKUP($B168,tablero!$S$5:$AB$201,G$4,FALSE))</f>
        <v/>
      </c>
      <c r="H168" s="49" t="str">
        <f>+IF(VLOOKUP($B168,tablero!$S$5:$AB$201,H$4,FALSE)=0,"",VLOOKUP($B168,tablero!$S$5:$AB$201,H$4,FALSE))</f>
        <v>x</v>
      </c>
      <c r="I168" s="49" t="str">
        <f>+IF(VLOOKUP($B168,tablero!$S$5:$AB$201,I$4,FALSE)=0,"",VLOOKUP($B168,tablero!$S$5:$AB$201,I$4,FALSE))</f>
        <v>x</v>
      </c>
      <c r="J168" s="49" t="str">
        <f>+IF(VLOOKUP($B168,tablero!$S$5:$AC$201,J$4,FALSE)=0,"",VLOOKUP($B168,tablero!$S$5:$AC$201,J$4,FALSE))</f>
        <v/>
      </c>
    </row>
    <row r="169" spans="2:49" x14ac:dyDescent="0.25">
      <c r="B169" s="63" t="s">
        <v>306</v>
      </c>
      <c r="C169" s="27" t="s">
        <v>307</v>
      </c>
      <c r="E169" s="49" t="str">
        <f>+IF(VLOOKUP($B169,tablero!$S$5:$AB$201,E$4,FALSE)=0,"",VLOOKUP($B169,tablero!$S$5:$AB$201,E$4,FALSE))</f>
        <v>x</v>
      </c>
      <c r="F169" s="49" t="str">
        <f>+IF(VLOOKUP($B169,tablero!$S$5:$AB$201,F$4,FALSE)=0,"",VLOOKUP($B169,tablero!$S$5:$AB$201,F$4,FALSE))</f>
        <v>x</v>
      </c>
      <c r="G169" s="49" t="str">
        <f>+IF(VLOOKUP($B169,tablero!$S$5:$AB$201,G$4,FALSE)=0,"",VLOOKUP($B169,tablero!$S$5:$AB$201,G$4,FALSE))</f>
        <v/>
      </c>
      <c r="H169" s="49" t="str">
        <f>+IF(VLOOKUP($B169,tablero!$S$5:$AB$201,H$4,FALSE)=0,"",VLOOKUP($B169,tablero!$S$5:$AB$201,H$4,FALSE))</f>
        <v>x</v>
      </c>
      <c r="I169" s="49" t="str">
        <f>+IF(VLOOKUP($B169,tablero!$S$5:$AB$201,I$4,FALSE)=0,"",VLOOKUP($B169,tablero!$S$5:$AB$201,I$4,FALSE))</f>
        <v/>
      </c>
      <c r="J169" s="49" t="str">
        <f>+IF(VLOOKUP($B169,tablero!$S$5:$AC$201,J$4,FALSE)=0,"",VLOOKUP($B169,tablero!$S$5:$AC$201,J$4,FALSE))</f>
        <v/>
      </c>
    </row>
    <row r="170" spans="2:49" x14ac:dyDescent="0.25">
      <c r="B170" s="46"/>
      <c r="F170" s="43" t="s">
        <v>500</v>
      </c>
      <c r="G170" s="43" t="s">
        <v>500</v>
      </c>
      <c r="H170" s="43" t="s">
        <v>500</v>
      </c>
      <c r="I170" s="43" t="s">
        <v>500</v>
      </c>
    </row>
    <row r="171" spans="2:49" ht="12.75" x14ac:dyDescent="0.25">
      <c r="B171" s="25" t="s">
        <v>354</v>
      </c>
      <c r="F171" s="43" t="s">
        <v>500</v>
      </c>
      <c r="G171" s="43" t="s">
        <v>500</v>
      </c>
      <c r="H171" s="43" t="s">
        <v>500</v>
      </c>
      <c r="I171" s="43" t="s">
        <v>500</v>
      </c>
    </row>
    <row r="172" spans="2:49" s="40" customFormat="1" ht="15" x14ac:dyDescent="0.25">
      <c r="B172" s="51" t="s">
        <v>355</v>
      </c>
      <c r="C172" s="52"/>
      <c r="D172" s="45"/>
      <c r="E172" s="316" t="s">
        <v>1563</v>
      </c>
      <c r="F172" s="316"/>
      <c r="G172" s="316"/>
      <c r="H172" s="316"/>
      <c r="I172" s="316"/>
      <c r="J172" s="316"/>
      <c r="AF172" s="41"/>
      <c r="AG172" s="41"/>
      <c r="AH172" s="41"/>
      <c r="AI172" s="41"/>
      <c r="AJ172" s="41"/>
      <c r="AK172" s="41"/>
      <c r="AL172" s="41"/>
      <c r="AM172" s="41"/>
      <c r="AN172" s="41"/>
      <c r="AO172" s="41"/>
      <c r="AP172" s="41"/>
      <c r="AQ172" s="41"/>
      <c r="AR172" s="41"/>
      <c r="AS172" s="41"/>
      <c r="AT172" s="41"/>
      <c r="AU172" s="41"/>
      <c r="AV172" s="41"/>
      <c r="AW172" s="41"/>
    </row>
    <row r="173" spans="2:49" ht="12.75" x14ac:dyDescent="0.25">
      <c r="B173" s="53" t="s">
        <v>356</v>
      </c>
      <c r="C173" s="54"/>
      <c r="E173" s="47" t="s">
        <v>1558</v>
      </c>
      <c r="F173" s="48" t="s">
        <v>1559</v>
      </c>
      <c r="G173" s="48" t="s">
        <v>1560</v>
      </c>
      <c r="H173" s="48" t="s">
        <v>1561</v>
      </c>
      <c r="I173" s="48" t="s">
        <v>1562</v>
      </c>
      <c r="J173" s="48" t="s">
        <v>1572</v>
      </c>
    </row>
    <row r="174" spans="2:49" x14ac:dyDescent="0.25">
      <c r="B174" s="63" t="s">
        <v>357</v>
      </c>
      <c r="C174" s="27" t="s">
        <v>1185</v>
      </c>
      <c r="E174" s="49" t="str">
        <f>+IF(VLOOKUP($B174,tablero!$S$5:$AB$201,E$4,FALSE)=0,"",VLOOKUP($B174,tablero!$S$5:$AB$201,E$4,FALSE))</f>
        <v>x</v>
      </c>
      <c r="F174" s="49" t="str">
        <f>+IF(VLOOKUP($B174,tablero!$S$5:$AB$201,F$4,FALSE)=0,"",VLOOKUP($B174,tablero!$S$5:$AB$201,F$4,FALSE))</f>
        <v/>
      </c>
      <c r="G174" s="49" t="str">
        <f>+IF(VLOOKUP($B174,tablero!$S$5:$AB$201,G$4,FALSE)=0,"",VLOOKUP($B174,tablero!$S$5:$AB$201,G$4,FALSE))</f>
        <v/>
      </c>
      <c r="H174" s="49" t="str">
        <f>+IF(VLOOKUP($B174,tablero!$S$5:$AB$201,H$4,FALSE)=0,"",VLOOKUP($B174,tablero!$S$5:$AB$201,H$4,FALSE))</f>
        <v>x</v>
      </c>
      <c r="I174" s="49" t="str">
        <f>+IF(VLOOKUP($B174,tablero!$S$5:$AB$201,I$4,FALSE)=0,"",VLOOKUP($B174,tablero!$S$5:$AB$201,I$4,FALSE))</f>
        <v>x</v>
      </c>
      <c r="J174" s="49" t="str">
        <f>+IF(VLOOKUP($B174,tablero!$S$5:$AC$201,J$4,FALSE)=0,"",VLOOKUP($B174,tablero!$S$5:$AC$201,J$4,FALSE))</f>
        <v/>
      </c>
    </row>
    <row r="175" spans="2:49" x14ac:dyDescent="0.25">
      <c r="B175" s="63" t="s">
        <v>358</v>
      </c>
      <c r="C175" s="27" t="s">
        <v>359</v>
      </c>
      <c r="E175" s="49" t="str">
        <f>+IF(VLOOKUP($B175,tablero!$S$5:$AB$201,E$4,FALSE)=0,"",VLOOKUP($B175,tablero!$S$5:$AB$201,E$4,FALSE))</f>
        <v>x</v>
      </c>
      <c r="F175" s="49" t="str">
        <f>+IF(VLOOKUP($B175,tablero!$S$5:$AB$201,F$4,FALSE)=0,"",VLOOKUP($B175,tablero!$S$5:$AB$201,F$4,FALSE))</f>
        <v>x</v>
      </c>
      <c r="G175" s="49" t="str">
        <f>+IF(VLOOKUP($B175,tablero!$S$5:$AB$201,G$4,FALSE)=0,"",VLOOKUP($B175,tablero!$S$5:$AB$201,G$4,FALSE))</f>
        <v/>
      </c>
      <c r="H175" s="49" t="str">
        <f>+IF(VLOOKUP($B175,tablero!$S$5:$AB$201,H$4,FALSE)=0,"",VLOOKUP($B175,tablero!$S$5:$AB$201,H$4,FALSE))</f>
        <v/>
      </c>
      <c r="I175" s="49" t="str">
        <f>+IF(VLOOKUP($B175,tablero!$S$5:$AB$201,I$4,FALSE)=0,"",VLOOKUP($B175,tablero!$S$5:$AB$201,I$4,FALSE))</f>
        <v/>
      </c>
      <c r="J175" s="49" t="str">
        <f>+IF(VLOOKUP($B175,tablero!$S$5:$AC$201,J$4,FALSE)=0,"",VLOOKUP($B175,tablero!$S$5:$AC$201,J$4,FALSE))</f>
        <v/>
      </c>
    </row>
    <row r="176" spans="2:49" x14ac:dyDescent="0.25">
      <c r="B176" s="63" t="s">
        <v>360</v>
      </c>
      <c r="C176" s="27" t="s">
        <v>1197</v>
      </c>
      <c r="E176" s="49" t="str">
        <f>+IF(VLOOKUP($B176,tablero!$S$5:$AB$201,E$4,FALSE)=0,"",VLOOKUP($B176,tablero!$S$5:$AB$201,E$4,FALSE))</f>
        <v>x</v>
      </c>
      <c r="F176" s="49" t="str">
        <f>+IF(VLOOKUP($B176,tablero!$S$5:$AB$201,F$4,FALSE)=0,"",VLOOKUP($B176,tablero!$S$5:$AB$201,F$4,FALSE))</f>
        <v/>
      </c>
      <c r="G176" s="49" t="str">
        <f>+IF(VLOOKUP($B176,tablero!$S$5:$AB$201,G$4,FALSE)=0,"",VLOOKUP($B176,tablero!$S$5:$AB$201,G$4,FALSE))</f>
        <v/>
      </c>
      <c r="H176" s="49" t="str">
        <f>+IF(VLOOKUP($B176,tablero!$S$5:$AB$201,H$4,FALSE)=0,"",VLOOKUP($B176,tablero!$S$5:$AB$201,H$4,FALSE))</f>
        <v/>
      </c>
      <c r="I176" s="49" t="str">
        <f>+IF(VLOOKUP($B176,tablero!$S$5:$AB$201,I$4,FALSE)=0,"",VLOOKUP($B176,tablero!$S$5:$AB$201,I$4,FALSE))</f>
        <v/>
      </c>
      <c r="J176" s="49" t="str">
        <f>+IF(VLOOKUP($B176,tablero!$S$5:$AC$201,J$4,FALSE)=0,"",VLOOKUP($B176,tablero!$S$5:$AC$201,J$4,FALSE))</f>
        <v/>
      </c>
    </row>
    <row r="177" spans="2:49" x14ac:dyDescent="0.25">
      <c r="B177" s="63" t="s">
        <v>361</v>
      </c>
      <c r="C177" s="27" t="s">
        <v>362</v>
      </c>
      <c r="E177" s="49" t="str">
        <f>+IF(VLOOKUP($B177,tablero!$S$5:$AB$201,E$4,FALSE)=0,"",VLOOKUP($B177,tablero!$S$5:$AB$201,E$4,FALSE))</f>
        <v>x</v>
      </c>
      <c r="F177" s="49" t="str">
        <f>+IF(VLOOKUP($B177,tablero!$S$5:$AB$201,F$4,FALSE)=0,"",VLOOKUP($B177,tablero!$S$5:$AB$201,F$4,FALSE))</f>
        <v/>
      </c>
      <c r="G177" s="49" t="str">
        <f>+IF(VLOOKUP($B177,tablero!$S$5:$AB$201,G$4,FALSE)=0,"",VLOOKUP($B177,tablero!$S$5:$AB$201,G$4,FALSE))</f>
        <v/>
      </c>
      <c r="H177" s="49" t="str">
        <f>+IF(VLOOKUP($B177,tablero!$S$5:$AB$201,H$4,FALSE)=0,"",VLOOKUP($B177,tablero!$S$5:$AB$201,H$4,FALSE))</f>
        <v/>
      </c>
      <c r="I177" s="49" t="str">
        <f>+IF(VLOOKUP($B177,tablero!$S$5:$AB$201,I$4,FALSE)=0,"",VLOOKUP($B177,tablero!$S$5:$AB$201,I$4,FALSE))</f>
        <v/>
      </c>
      <c r="J177" s="49" t="str">
        <f>+IF(VLOOKUP($B177,tablero!$S$5:$AC$201,J$4,FALSE)=0,"",VLOOKUP($B177,tablero!$S$5:$AC$201,J$4,FALSE))</f>
        <v/>
      </c>
    </row>
    <row r="178" spans="2:49" hidden="1" x14ac:dyDescent="0.25">
      <c r="B178" s="26" t="s">
        <v>1368</v>
      </c>
      <c r="C178" s="50" t="s">
        <v>1355</v>
      </c>
      <c r="E178" s="49" t="e">
        <f>+IF(VLOOKUP($B178,tablero!$S$5:$AB$201,E$4,FALSE)=0,"",VLOOKUP($B178,tablero!$S$5:$AB$201,E$4,FALSE))</f>
        <v>#N/A</v>
      </c>
      <c r="F178" s="49" t="e">
        <f>+IF(VLOOKUP($B178,tablero!$S$5:$AB$201,F$4,FALSE)=0,"",VLOOKUP($B178,tablero!$S$5:$AB$201,F$4,FALSE))</f>
        <v>#N/A</v>
      </c>
      <c r="G178" s="49" t="e">
        <f>+IF(VLOOKUP($B178,tablero!$S$5:$AB$201,G$4,FALSE)=0,"",VLOOKUP($B178,tablero!$S$5:$AB$201,G$4,FALSE))</f>
        <v>#N/A</v>
      </c>
      <c r="H178" s="49" t="e">
        <f>+IF(VLOOKUP($B178,tablero!$S$5:$AB$201,H$4,FALSE)=0,"",VLOOKUP($B178,tablero!$S$5:$AB$201,H$4,FALSE))</f>
        <v>#N/A</v>
      </c>
      <c r="I178" s="49" t="e">
        <f>+IF(VLOOKUP($B178,tablero!$S$5:$AB$201,I$4,FALSE)=0,"",VLOOKUP($B178,tablero!$S$5:$AB$201,I$4,FALSE))</f>
        <v>#N/A</v>
      </c>
      <c r="J178" s="49" t="e">
        <f>+IF(VLOOKUP($B178,tablero!$S$5:$AC$201,J$4,FALSE)=0,"",VLOOKUP($B178,tablero!$S$5:$AC$201,J$4,FALSE))</f>
        <v>#N/A</v>
      </c>
    </row>
    <row r="179" spans="2:49" x14ac:dyDescent="0.25">
      <c r="B179" s="46"/>
      <c r="F179" s="43" t="s">
        <v>500</v>
      </c>
      <c r="G179" s="43" t="s">
        <v>500</v>
      </c>
      <c r="H179" s="43" t="s">
        <v>500</v>
      </c>
      <c r="I179" s="43" t="s">
        <v>500</v>
      </c>
    </row>
    <row r="180" spans="2:49" ht="12.75" x14ac:dyDescent="0.25">
      <c r="B180" s="25" t="s">
        <v>363</v>
      </c>
      <c r="F180" s="43" t="s">
        <v>500</v>
      </c>
      <c r="G180" s="43" t="s">
        <v>500</v>
      </c>
      <c r="H180" s="43" t="s">
        <v>500</v>
      </c>
      <c r="I180" s="43" t="s">
        <v>500</v>
      </c>
    </row>
    <row r="181" spans="2:49" s="40" customFormat="1" ht="15" x14ac:dyDescent="0.25">
      <c r="B181" s="51" t="s">
        <v>364</v>
      </c>
      <c r="C181" s="52"/>
      <c r="D181" s="45"/>
      <c r="E181" s="316" t="s">
        <v>1563</v>
      </c>
      <c r="F181" s="316"/>
      <c r="G181" s="316"/>
      <c r="H181" s="316"/>
      <c r="I181" s="316"/>
      <c r="J181" s="316"/>
      <c r="AF181" s="41"/>
      <c r="AG181" s="41"/>
      <c r="AH181" s="41"/>
      <c r="AI181" s="41"/>
      <c r="AJ181" s="41"/>
      <c r="AK181" s="41"/>
      <c r="AL181" s="41"/>
      <c r="AM181" s="41"/>
      <c r="AN181" s="41"/>
      <c r="AO181" s="41"/>
      <c r="AP181" s="41"/>
      <c r="AQ181" s="41"/>
      <c r="AR181" s="41"/>
      <c r="AS181" s="41"/>
      <c r="AT181" s="41"/>
      <c r="AU181" s="41"/>
      <c r="AV181" s="41"/>
      <c r="AW181" s="41"/>
    </row>
    <row r="182" spans="2:49" ht="12.75" x14ac:dyDescent="0.25">
      <c r="B182" s="53" t="s">
        <v>365</v>
      </c>
      <c r="C182" s="54"/>
      <c r="E182" s="47" t="s">
        <v>1558</v>
      </c>
      <c r="F182" s="48" t="s">
        <v>1559</v>
      </c>
      <c r="G182" s="48" t="s">
        <v>1560</v>
      </c>
      <c r="H182" s="48" t="s">
        <v>1561</v>
      </c>
      <c r="I182" s="48" t="s">
        <v>1562</v>
      </c>
      <c r="J182" s="48" t="s">
        <v>1572</v>
      </c>
    </row>
    <row r="183" spans="2:49" x14ac:dyDescent="0.25">
      <c r="B183" s="63" t="s">
        <v>366</v>
      </c>
      <c r="C183" s="27" t="s">
        <v>367</v>
      </c>
      <c r="E183" s="49" t="str">
        <f>+IF(VLOOKUP($B183,tablero!$S$5:$AB$201,E$4,FALSE)=0,"",VLOOKUP($B183,tablero!$S$5:$AB$201,E$4,FALSE))</f>
        <v>x</v>
      </c>
      <c r="F183" s="49" t="str">
        <f>+IF(VLOOKUP($B183,tablero!$S$5:$AB$201,F$4,FALSE)=0,"",VLOOKUP($B183,tablero!$S$5:$AB$201,F$4,FALSE))</f>
        <v/>
      </c>
      <c r="G183" s="49" t="str">
        <f>+IF(VLOOKUP($B183,tablero!$S$5:$AB$201,G$4,FALSE)=0,"",VLOOKUP($B183,tablero!$S$5:$AB$201,G$4,FALSE))</f>
        <v/>
      </c>
      <c r="H183" s="49" t="str">
        <f>+IF(VLOOKUP($B183,tablero!$S$5:$AB$201,H$4,FALSE)=0,"",VLOOKUP($B183,tablero!$S$5:$AB$201,H$4,FALSE))</f>
        <v>x</v>
      </c>
      <c r="I183" s="49" t="str">
        <f>+IF(VLOOKUP($B183,tablero!$S$5:$AB$201,I$4,FALSE)=0,"",VLOOKUP($B183,tablero!$S$5:$AB$201,I$4,FALSE))</f>
        <v>x</v>
      </c>
      <c r="J183" s="49" t="str">
        <f>+IF(VLOOKUP($B183,tablero!$S$5:$AC$201,J$4,FALSE)=0,"",VLOOKUP($B183,tablero!$S$5:$AC$201,J$4,FALSE))</f>
        <v/>
      </c>
    </row>
    <row r="184" spans="2:49" x14ac:dyDescent="0.25">
      <c r="B184" s="63" t="s">
        <v>368</v>
      </c>
      <c r="C184" s="27" t="s">
        <v>369</v>
      </c>
      <c r="E184" s="49" t="str">
        <f>+IF(VLOOKUP($B184,tablero!$S$5:$AB$201,E$4,FALSE)=0,"",VLOOKUP($B184,tablero!$S$5:$AB$201,E$4,FALSE))</f>
        <v>x</v>
      </c>
      <c r="F184" s="49" t="str">
        <f>+IF(VLOOKUP($B184,tablero!$S$5:$AB$201,F$4,FALSE)=0,"",VLOOKUP($B184,tablero!$S$5:$AB$201,F$4,FALSE))</f>
        <v/>
      </c>
      <c r="G184" s="49" t="str">
        <f>+IF(VLOOKUP($B184,tablero!$S$5:$AB$201,G$4,FALSE)=0,"",VLOOKUP($B184,tablero!$S$5:$AB$201,G$4,FALSE))</f>
        <v/>
      </c>
      <c r="H184" s="49" t="str">
        <f>+IF(VLOOKUP($B184,tablero!$S$5:$AB$201,H$4,FALSE)=0,"",VLOOKUP($B184,tablero!$S$5:$AB$201,H$4,FALSE))</f>
        <v>x</v>
      </c>
      <c r="I184" s="49" t="str">
        <f>+IF(VLOOKUP($B184,tablero!$S$5:$AB$201,I$4,FALSE)=0,"",VLOOKUP($B184,tablero!$S$5:$AB$201,I$4,FALSE))</f>
        <v/>
      </c>
      <c r="J184" s="49" t="str">
        <f>+IF(VLOOKUP($B184,tablero!$S$5:$AC$201,J$4,FALSE)=0,"",VLOOKUP($B184,tablero!$S$5:$AC$201,J$4,FALSE))</f>
        <v/>
      </c>
    </row>
    <row r="185" spans="2:49" x14ac:dyDescent="0.25">
      <c r="B185" s="46"/>
    </row>
    <row r="186" spans="2:49" ht="12.75" x14ac:dyDescent="0.25">
      <c r="B186" s="25" t="s">
        <v>370</v>
      </c>
    </row>
    <row r="187" spans="2:49" s="40" customFormat="1" ht="15" x14ac:dyDescent="0.25">
      <c r="B187" s="51" t="s">
        <v>371</v>
      </c>
      <c r="C187" s="52"/>
      <c r="D187" s="45"/>
      <c r="E187" s="316" t="s">
        <v>1563</v>
      </c>
      <c r="F187" s="316"/>
      <c r="G187" s="316"/>
      <c r="H187" s="316"/>
      <c r="I187" s="316"/>
      <c r="J187" s="316"/>
      <c r="AF187" s="41"/>
      <c r="AG187" s="41"/>
      <c r="AH187" s="41"/>
      <c r="AI187" s="41"/>
      <c r="AJ187" s="41"/>
      <c r="AK187" s="41"/>
      <c r="AL187" s="41"/>
      <c r="AM187" s="41"/>
      <c r="AN187" s="41"/>
      <c r="AO187" s="41"/>
      <c r="AP187" s="41"/>
      <c r="AQ187" s="41"/>
      <c r="AR187" s="41"/>
      <c r="AS187" s="41"/>
      <c r="AT187" s="41"/>
      <c r="AU187" s="41"/>
      <c r="AV187" s="41"/>
      <c r="AW187" s="41"/>
    </row>
    <row r="188" spans="2:49" ht="12.75" x14ac:dyDescent="0.25">
      <c r="B188" s="53" t="s">
        <v>372</v>
      </c>
      <c r="C188" s="54"/>
      <c r="E188" s="47" t="s">
        <v>1558</v>
      </c>
      <c r="F188" s="48" t="s">
        <v>1559</v>
      </c>
      <c r="G188" s="48" t="s">
        <v>1560</v>
      </c>
      <c r="H188" s="48" t="s">
        <v>1561</v>
      </c>
      <c r="I188" s="48" t="s">
        <v>1562</v>
      </c>
      <c r="J188" s="48" t="s">
        <v>1572</v>
      </c>
    </row>
    <row r="189" spans="2:49" x14ac:dyDescent="0.25">
      <c r="B189" s="63" t="s">
        <v>373</v>
      </c>
      <c r="C189" s="27" t="s">
        <v>1576</v>
      </c>
      <c r="E189" s="49" t="str">
        <f>+IF(VLOOKUP($B189,tablero!$S$5:$AB$201,E$4,FALSE)=0,"",VLOOKUP($B189,tablero!$S$5:$AB$201,E$4,FALSE))</f>
        <v>x</v>
      </c>
      <c r="F189" s="49" t="str">
        <f>+IF(VLOOKUP($B189,tablero!$S$5:$AB$201,F$4,FALSE)=0,"",VLOOKUP($B189,tablero!$S$5:$AB$201,F$4,FALSE))</f>
        <v/>
      </c>
      <c r="G189" s="49" t="str">
        <f>+IF(VLOOKUP($B189,tablero!$S$5:$AB$201,G$4,FALSE)=0,"",VLOOKUP($B189,tablero!$S$5:$AB$201,G$4,FALSE))</f>
        <v/>
      </c>
      <c r="H189" s="49" t="str">
        <f>+IF(VLOOKUP($B189,tablero!$S$5:$AB$201,H$4,FALSE)=0,"",VLOOKUP($B189,tablero!$S$5:$AB$201,H$4,FALSE))</f>
        <v>x</v>
      </c>
      <c r="I189" s="49" t="str">
        <f>+IF(VLOOKUP($B189,tablero!$S$5:$AB$201,I$4,FALSE)=0,"",VLOOKUP($B189,tablero!$S$5:$AB$201,I$4,FALSE))</f>
        <v>x</v>
      </c>
      <c r="J189" s="49" t="str">
        <f>+IF(VLOOKUP($B189,tablero!$S$5:$AC$201,J$4,FALSE)=0,"",VLOOKUP($B189,tablero!$S$5:$AC$201,J$4,FALSE))</f>
        <v/>
      </c>
    </row>
    <row r="190" spans="2:49" x14ac:dyDescent="0.25">
      <c r="B190" s="63" t="s">
        <v>374</v>
      </c>
      <c r="C190" s="27" t="s">
        <v>1237</v>
      </c>
      <c r="E190" s="49" t="str">
        <f>+IF(VLOOKUP($B190,tablero!$S$5:$AB$201,E$4,FALSE)=0,"",VLOOKUP($B190,tablero!$S$5:$AB$201,E$4,FALSE))</f>
        <v>x</v>
      </c>
      <c r="F190" s="49" t="str">
        <f>+IF(VLOOKUP($B190,tablero!$S$5:$AB$201,F$4,FALSE)=0,"",VLOOKUP($B190,tablero!$S$5:$AB$201,F$4,FALSE))</f>
        <v/>
      </c>
      <c r="G190" s="49" t="str">
        <f>+IF(VLOOKUP($B190,tablero!$S$5:$AB$201,G$4,FALSE)=0,"",VLOOKUP($B190,tablero!$S$5:$AB$201,G$4,FALSE))</f>
        <v/>
      </c>
      <c r="H190" s="49" t="str">
        <f>+IF(VLOOKUP($B190,tablero!$S$5:$AB$201,H$4,FALSE)=0,"",VLOOKUP($B190,tablero!$S$5:$AB$201,H$4,FALSE))</f>
        <v>x</v>
      </c>
      <c r="I190" s="49" t="str">
        <f>+IF(VLOOKUP($B190,tablero!$S$5:$AB$201,I$4,FALSE)=0,"",VLOOKUP($B190,tablero!$S$5:$AB$201,I$4,FALSE))</f>
        <v>x</v>
      </c>
      <c r="J190" s="49" t="str">
        <f>+IF(VLOOKUP($B190,tablero!$S$5:$AC$201,J$4,FALSE)=0,"",VLOOKUP($B190,tablero!$S$5:$AC$201,J$4,FALSE))</f>
        <v/>
      </c>
    </row>
    <row r="191" spans="2:49" x14ac:dyDescent="0.25">
      <c r="B191" s="63" t="s">
        <v>375</v>
      </c>
      <c r="C191" s="27" t="s">
        <v>1242</v>
      </c>
      <c r="E191" s="49" t="str">
        <f>+IF(VLOOKUP($B191,tablero!$S$5:$AB$201,E$4,FALSE)=0,"",VLOOKUP($B191,tablero!$S$5:$AB$201,E$4,FALSE))</f>
        <v>x</v>
      </c>
      <c r="F191" s="49" t="str">
        <f>+IF(VLOOKUP($B191,tablero!$S$5:$AB$201,F$4,FALSE)=0,"",VLOOKUP($B191,tablero!$S$5:$AB$201,F$4,FALSE))</f>
        <v/>
      </c>
      <c r="G191" s="49" t="str">
        <f>+IF(VLOOKUP($B191,tablero!$S$5:$AB$201,G$4,FALSE)=0,"",VLOOKUP($B191,tablero!$S$5:$AB$201,G$4,FALSE))</f>
        <v/>
      </c>
      <c r="H191" s="49" t="str">
        <f>+IF(VLOOKUP($B191,tablero!$S$5:$AB$201,H$4,FALSE)=0,"",VLOOKUP($B191,tablero!$S$5:$AB$201,H$4,FALSE))</f>
        <v>x</v>
      </c>
      <c r="I191" s="49" t="str">
        <f>+IF(VLOOKUP($B191,tablero!$S$5:$AB$201,I$4,FALSE)=0,"",VLOOKUP($B191,tablero!$S$5:$AB$201,I$4,FALSE))</f>
        <v>x</v>
      </c>
      <c r="J191" s="49" t="str">
        <f>+IF(VLOOKUP($B191,tablero!$S$5:$AC$201,J$4,FALSE)=0,"",VLOOKUP($B191,tablero!$S$5:$AC$201,J$4,FALSE))</f>
        <v/>
      </c>
    </row>
    <row r="192" spans="2:49" x14ac:dyDescent="0.25">
      <c r="B192" s="63" t="s">
        <v>377</v>
      </c>
      <c r="C192" s="27" t="s">
        <v>378</v>
      </c>
      <c r="E192" s="49" t="str">
        <f>+IF(VLOOKUP($B192,tablero!$S$5:$AB$201,E$4,FALSE)=0,"",VLOOKUP($B192,tablero!$S$5:$AB$201,E$4,FALSE))</f>
        <v>x</v>
      </c>
      <c r="F192" s="49" t="str">
        <f>+IF(VLOOKUP($B192,tablero!$S$5:$AB$201,F$4,FALSE)=0,"",VLOOKUP($B192,tablero!$S$5:$AB$201,F$4,FALSE))</f>
        <v/>
      </c>
      <c r="G192" s="49" t="str">
        <f>+IF(VLOOKUP($B192,tablero!$S$5:$AB$201,G$4,FALSE)=0,"",VLOOKUP($B192,tablero!$S$5:$AB$201,G$4,FALSE))</f>
        <v/>
      </c>
      <c r="H192" s="49" t="str">
        <f>+IF(VLOOKUP($B192,tablero!$S$5:$AB$201,H$4,FALSE)=0,"",VLOOKUP($B192,tablero!$S$5:$AB$201,H$4,FALSE))</f>
        <v>x</v>
      </c>
      <c r="I192" s="49" t="str">
        <f>+IF(VLOOKUP($B192,tablero!$S$5:$AB$201,I$4,FALSE)=0,"",VLOOKUP($B192,tablero!$S$5:$AB$201,I$4,FALSE))</f>
        <v>x</v>
      </c>
      <c r="J192" s="49" t="str">
        <f>+IF(VLOOKUP($B192,tablero!$S$5:$AC$201,J$4,FALSE)=0,"",VLOOKUP($B192,tablero!$S$5:$AC$201,J$4,FALSE))</f>
        <v/>
      </c>
    </row>
    <row r="193" spans="2:49" x14ac:dyDescent="0.25">
      <c r="B193" s="63" t="s">
        <v>1362</v>
      </c>
      <c r="C193" s="27" t="s">
        <v>1355</v>
      </c>
      <c r="E193" s="49" t="str">
        <f>+IF(VLOOKUP($B193,tablero!$S$5:$AB$201,E$4,FALSE)=0,"",VLOOKUP($B193,tablero!$S$5:$AB$201,E$4,FALSE))</f>
        <v>x</v>
      </c>
      <c r="F193" s="49" t="str">
        <f>+IF(VLOOKUP($B193,tablero!$S$5:$AB$201,F$4,FALSE)=0,"",VLOOKUP($B193,tablero!$S$5:$AB$201,F$4,FALSE))</f>
        <v/>
      </c>
      <c r="G193" s="49" t="str">
        <f>+IF(VLOOKUP($B193,tablero!$S$5:$AB$201,G$4,FALSE)=0,"",VLOOKUP($B193,tablero!$S$5:$AB$201,G$4,FALSE))</f>
        <v/>
      </c>
      <c r="H193" s="49" t="str">
        <f>+IF(VLOOKUP($B193,tablero!$S$5:$AB$201,H$4,FALSE)=0,"",VLOOKUP($B193,tablero!$S$5:$AB$201,H$4,FALSE))</f>
        <v/>
      </c>
      <c r="I193" s="49" t="str">
        <f>+IF(VLOOKUP($B193,tablero!$S$5:$AB$201,I$4,FALSE)=0,"",VLOOKUP($B193,tablero!$S$5:$AB$201,I$4,FALSE))</f>
        <v/>
      </c>
      <c r="J193" s="49" t="str">
        <f>+IF(VLOOKUP($B193,tablero!$S$5:$AC$201,J$4,FALSE)=0,"",VLOOKUP($B193,tablero!$S$5:$AC$201,J$4,FALSE))</f>
        <v/>
      </c>
    </row>
    <row r="194" spans="2:49" x14ac:dyDescent="0.25">
      <c r="B194" s="46"/>
      <c r="F194" s="43" t="s">
        <v>500</v>
      </c>
      <c r="G194" s="43" t="s">
        <v>500</v>
      </c>
      <c r="H194" s="43" t="s">
        <v>500</v>
      </c>
      <c r="I194" s="43" t="s">
        <v>500</v>
      </c>
    </row>
    <row r="195" spans="2:49" ht="12.75" x14ac:dyDescent="0.25">
      <c r="B195" s="25" t="s">
        <v>379</v>
      </c>
      <c r="F195" s="43" t="s">
        <v>500</v>
      </c>
      <c r="G195" s="43" t="s">
        <v>500</v>
      </c>
      <c r="H195" s="43" t="s">
        <v>500</v>
      </c>
      <c r="I195" s="43" t="s">
        <v>500</v>
      </c>
    </row>
    <row r="196" spans="2:49" s="40" customFormat="1" ht="15" x14ac:dyDescent="0.25">
      <c r="B196" s="51" t="s">
        <v>380</v>
      </c>
      <c r="C196" s="52"/>
      <c r="D196" s="45"/>
      <c r="E196" s="316" t="s">
        <v>1563</v>
      </c>
      <c r="F196" s="316"/>
      <c r="G196" s="316"/>
      <c r="H196" s="316"/>
      <c r="I196" s="316"/>
      <c r="J196" s="316"/>
      <c r="AF196" s="41"/>
      <c r="AG196" s="41"/>
      <c r="AH196" s="41"/>
      <c r="AI196" s="41"/>
      <c r="AJ196" s="41"/>
      <c r="AK196" s="41"/>
      <c r="AL196" s="41"/>
      <c r="AM196" s="41"/>
      <c r="AN196" s="41"/>
      <c r="AO196" s="41"/>
      <c r="AP196" s="41"/>
      <c r="AQ196" s="41"/>
      <c r="AR196" s="41"/>
      <c r="AS196" s="41"/>
      <c r="AT196" s="41"/>
      <c r="AU196" s="41"/>
      <c r="AV196" s="41"/>
      <c r="AW196" s="41"/>
    </row>
    <row r="197" spans="2:49" ht="12.75" x14ac:dyDescent="0.25">
      <c r="B197" s="53" t="s">
        <v>381</v>
      </c>
      <c r="C197" s="54"/>
      <c r="E197" s="47" t="s">
        <v>1558</v>
      </c>
      <c r="F197" s="48" t="s">
        <v>1559</v>
      </c>
      <c r="G197" s="48" t="s">
        <v>1560</v>
      </c>
      <c r="H197" s="48" t="s">
        <v>1561</v>
      </c>
      <c r="I197" s="48" t="s">
        <v>1562</v>
      </c>
      <c r="J197" s="48" t="s">
        <v>1572</v>
      </c>
    </row>
    <row r="198" spans="2:49" x14ac:dyDescent="0.25">
      <c r="B198" s="63" t="s">
        <v>382</v>
      </c>
      <c r="C198" s="27" t="s">
        <v>1270</v>
      </c>
      <c r="E198" s="49" t="str">
        <f>+IF(VLOOKUP($B198,tablero!$S$5:$AB$201,E$4,FALSE)=0,"",VLOOKUP($B198,tablero!$S$5:$AB$201,E$4,FALSE))</f>
        <v>x</v>
      </c>
      <c r="F198" s="49" t="str">
        <f>+IF(VLOOKUP($B198,tablero!$S$5:$AB$201,F$4,FALSE)=0,"",VLOOKUP($B198,tablero!$S$5:$AB$201,F$4,FALSE))</f>
        <v/>
      </c>
      <c r="G198" s="49" t="str">
        <f>+IF(VLOOKUP($B198,tablero!$S$5:$AB$201,G$4,FALSE)=0,"",VLOOKUP($B198,tablero!$S$5:$AB$201,G$4,FALSE))</f>
        <v/>
      </c>
      <c r="H198" s="49" t="str">
        <f>+IF(VLOOKUP($B198,tablero!$S$5:$AB$201,H$4,FALSE)=0,"",VLOOKUP($B198,tablero!$S$5:$AB$201,H$4,FALSE))</f>
        <v>x</v>
      </c>
      <c r="I198" s="49" t="str">
        <f>+IF(VLOOKUP($B198,tablero!$S$5:$AB$201,I$4,FALSE)=0,"",VLOOKUP($B198,tablero!$S$5:$AB$201,I$4,FALSE))</f>
        <v/>
      </c>
      <c r="J198" s="49" t="str">
        <f>+IF(VLOOKUP($B198,tablero!$S$5:$AC$201,J$4,FALSE)=0,"",VLOOKUP($B198,tablero!$S$5:$AC$201,J$4,FALSE))</f>
        <v/>
      </c>
    </row>
    <row r="199" spans="2:49" ht="24" x14ac:dyDescent="0.25">
      <c r="B199" s="63" t="s">
        <v>383</v>
      </c>
      <c r="C199" s="27" t="s">
        <v>384</v>
      </c>
      <c r="E199" s="49" t="str">
        <f>+IF(VLOOKUP($B199,tablero!$S$5:$AB$201,E$4,FALSE)=0,"",VLOOKUP($B199,tablero!$S$5:$AB$201,E$4,FALSE))</f>
        <v>x</v>
      </c>
      <c r="F199" s="49" t="str">
        <f>+IF(VLOOKUP($B199,tablero!$S$5:$AB$201,F$4,FALSE)=0,"",VLOOKUP($B199,tablero!$S$5:$AB$201,F$4,FALSE))</f>
        <v/>
      </c>
      <c r="G199" s="49" t="str">
        <f>+IF(VLOOKUP($B199,tablero!$S$5:$AB$201,G$4,FALSE)=0,"",VLOOKUP($B199,tablero!$S$5:$AB$201,G$4,FALSE))</f>
        <v/>
      </c>
      <c r="H199" s="49" t="str">
        <f>+IF(VLOOKUP($B199,tablero!$S$5:$AB$201,H$4,FALSE)=0,"",VLOOKUP($B199,tablero!$S$5:$AB$201,H$4,FALSE))</f>
        <v>x</v>
      </c>
      <c r="I199" s="49" t="str">
        <f>+IF(VLOOKUP($B199,tablero!$S$5:$AB$201,I$4,FALSE)=0,"",VLOOKUP($B199,tablero!$S$5:$AB$201,I$4,FALSE))</f>
        <v>x</v>
      </c>
      <c r="J199" s="49" t="str">
        <f>+IF(VLOOKUP($B199,tablero!$S$5:$AC$201,J$4,FALSE)=0,"",VLOOKUP($B199,tablero!$S$5:$AC$201,J$4,FALSE))</f>
        <v/>
      </c>
    </row>
    <row r="200" spans="2:49" x14ac:dyDescent="0.25">
      <c r="B200" s="63" t="s">
        <v>385</v>
      </c>
      <c r="C200" s="27" t="s">
        <v>386</v>
      </c>
      <c r="E200" s="49" t="str">
        <f>+IF(VLOOKUP($B200,tablero!$S$5:$AB$201,E$4,FALSE)=0,"",VLOOKUP($B200,tablero!$S$5:$AB$201,E$4,FALSE))</f>
        <v>x</v>
      </c>
      <c r="F200" s="49" t="str">
        <f>+IF(VLOOKUP($B200,tablero!$S$5:$AB$201,F$4,FALSE)=0,"",VLOOKUP($B200,tablero!$S$5:$AB$201,F$4,FALSE))</f>
        <v>x</v>
      </c>
      <c r="G200" s="49" t="str">
        <f>+IF(VLOOKUP($B200,tablero!$S$5:$AB$201,G$4,FALSE)=0,"",VLOOKUP($B200,tablero!$S$5:$AB$201,G$4,FALSE))</f>
        <v>x</v>
      </c>
      <c r="H200" s="49" t="str">
        <f>+IF(VLOOKUP($B200,tablero!$S$5:$AB$201,H$4,FALSE)=0,"",VLOOKUP($B200,tablero!$S$5:$AB$201,H$4,FALSE))</f>
        <v>x</v>
      </c>
      <c r="I200" s="49" t="str">
        <f>+IF(VLOOKUP($B200,tablero!$S$5:$AB$201,I$4,FALSE)=0,"",VLOOKUP($B200,tablero!$S$5:$AB$201,I$4,FALSE))</f>
        <v/>
      </c>
      <c r="J200" s="49" t="str">
        <f>+IF(VLOOKUP($B200,tablero!$S$5:$AC$201,J$4,FALSE)=0,"",VLOOKUP($B200,tablero!$S$5:$AC$201,J$4,FALSE))</f>
        <v/>
      </c>
    </row>
    <row r="201" spans="2:49" x14ac:dyDescent="0.25">
      <c r="B201" s="63" t="s">
        <v>387</v>
      </c>
      <c r="C201" s="27" t="s">
        <v>388</v>
      </c>
      <c r="E201" s="49" t="str">
        <f>+IF(VLOOKUP($B201,tablero!$S$5:$AB$201,E$4,FALSE)=0,"",VLOOKUP($B201,tablero!$S$5:$AB$201,E$4,FALSE))</f>
        <v>x</v>
      </c>
      <c r="F201" s="49" t="str">
        <f>+IF(VLOOKUP($B201,tablero!$S$5:$AB$201,F$4,FALSE)=0,"",VLOOKUP($B201,tablero!$S$5:$AB$201,F$4,FALSE))</f>
        <v>x</v>
      </c>
      <c r="G201" s="49" t="str">
        <f>+IF(VLOOKUP($B201,tablero!$S$5:$AB$201,G$4,FALSE)=0,"",VLOOKUP($B201,tablero!$S$5:$AB$201,G$4,FALSE))</f>
        <v>x</v>
      </c>
      <c r="H201" s="49" t="str">
        <f>+IF(VLOOKUP($B201,tablero!$S$5:$AB$201,H$4,FALSE)=0,"",VLOOKUP($B201,tablero!$S$5:$AB$201,H$4,FALSE))</f>
        <v/>
      </c>
      <c r="I201" s="49" t="str">
        <f>+IF(VLOOKUP($B201,tablero!$S$5:$AB$201,I$4,FALSE)=0,"",VLOOKUP($B201,tablero!$S$5:$AB$201,I$4,FALSE))</f>
        <v/>
      </c>
      <c r="J201" s="49" t="str">
        <f>+IF(VLOOKUP($B201,tablero!$S$5:$AC$201,J$4,FALSE)=0,"",VLOOKUP($B201,tablero!$S$5:$AC$201,J$4,FALSE))</f>
        <v/>
      </c>
    </row>
    <row r="202" spans="2:49" hidden="1" x14ac:dyDescent="0.25">
      <c r="B202" s="63" t="s">
        <v>389</v>
      </c>
      <c r="C202" s="27" t="s">
        <v>390</v>
      </c>
      <c r="E202" s="49" t="str">
        <f>+IF(VLOOKUP($B202,tablero!$S$5:$AB$201,E$4,FALSE)=0,"",VLOOKUP($B202,tablero!$S$5:$AB$201,E$4,FALSE))</f>
        <v>x</v>
      </c>
      <c r="F202" s="49" t="str">
        <f>+IF(VLOOKUP($B202,tablero!$S$5:$AB$201,F$4,FALSE)=0,"",VLOOKUP($B202,tablero!$S$5:$AB$201,F$4,FALSE))</f>
        <v>x</v>
      </c>
      <c r="G202" s="49" t="str">
        <f>+IF(VLOOKUP($B202,tablero!$S$5:$AB$201,G$4,FALSE)=0,"",VLOOKUP($B202,tablero!$S$5:$AB$201,G$4,FALSE))</f>
        <v>x</v>
      </c>
      <c r="H202" s="49" t="str">
        <f>+IF(VLOOKUP($B202,tablero!$S$5:$AB$201,H$4,FALSE)=0,"",VLOOKUP($B202,tablero!$S$5:$AB$201,H$4,FALSE))</f>
        <v/>
      </c>
      <c r="I202" s="49" t="str">
        <f>+IF(VLOOKUP($B202,tablero!$S$5:$AB$201,I$4,FALSE)=0,"",VLOOKUP($B202,tablero!$S$5:$AB$201,I$4,FALSE))</f>
        <v/>
      </c>
      <c r="J202" s="49" t="str">
        <f>+IF(VLOOKUP($B202,tablero!$S$5:$AC$201,J$4,FALSE)=0,"",VLOOKUP($B202,tablero!$S$5:$AC$201,J$4,FALSE))</f>
        <v/>
      </c>
    </row>
    <row r="203" spans="2:49" x14ac:dyDescent="0.25">
      <c r="B203" s="63" t="s">
        <v>1363</v>
      </c>
      <c r="C203" s="27" t="s">
        <v>1355</v>
      </c>
      <c r="E203" s="49" t="str">
        <f>+IF(VLOOKUP($B203,tablero!$S$5:$AB$201,E$4,FALSE)=0,"",VLOOKUP($B203,tablero!$S$5:$AB$201,E$4,FALSE))</f>
        <v>x</v>
      </c>
      <c r="F203" s="49" t="str">
        <f>+IF(VLOOKUP($B203,tablero!$S$5:$AB$201,F$4,FALSE)=0,"",VLOOKUP($B203,tablero!$S$5:$AB$201,F$4,FALSE))</f>
        <v/>
      </c>
      <c r="G203" s="49" t="str">
        <f>+IF(VLOOKUP($B203,tablero!$S$5:$AB$201,G$4,FALSE)=0,"",VLOOKUP($B203,tablero!$S$5:$AB$201,G$4,FALSE))</f>
        <v/>
      </c>
      <c r="H203" s="49" t="str">
        <f>+IF(VLOOKUP($B203,tablero!$S$5:$AB$201,H$4,FALSE)=0,"",VLOOKUP($B203,tablero!$S$5:$AB$201,H$4,FALSE))</f>
        <v/>
      </c>
      <c r="I203" s="49" t="str">
        <f>+IF(VLOOKUP($B203,tablero!$S$5:$AB$201,I$4,FALSE)=0,"",VLOOKUP($B203,tablero!$S$5:$AB$201,I$4,FALSE))</f>
        <v/>
      </c>
      <c r="J203" s="49" t="str">
        <f>+IF(VLOOKUP($B203,tablero!$S$5:$AC$201,J$4,FALSE)=0,"",VLOOKUP($B203,tablero!$S$5:$AC$201,J$4,FALSE))</f>
        <v/>
      </c>
    </row>
    <row r="204" spans="2:49" x14ac:dyDescent="0.25">
      <c r="B204" s="46"/>
      <c r="F204" s="43" t="s">
        <v>500</v>
      </c>
      <c r="G204" s="43" t="s">
        <v>500</v>
      </c>
      <c r="H204" s="43" t="s">
        <v>500</v>
      </c>
      <c r="I204" s="43" t="s">
        <v>500</v>
      </c>
    </row>
    <row r="205" spans="2:49" ht="12.75" x14ac:dyDescent="0.25">
      <c r="B205" s="25" t="s">
        <v>391</v>
      </c>
      <c r="F205" s="43" t="s">
        <v>500</v>
      </c>
      <c r="G205" s="43" t="s">
        <v>500</v>
      </c>
      <c r="H205" s="43" t="s">
        <v>500</v>
      </c>
      <c r="I205" s="43" t="s">
        <v>500</v>
      </c>
    </row>
    <row r="206" spans="2:49" s="40" customFormat="1" ht="15" x14ac:dyDescent="0.25">
      <c r="B206" s="51" t="s">
        <v>392</v>
      </c>
      <c r="C206" s="52"/>
      <c r="D206" s="45"/>
      <c r="E206" s="316" t="s">
        <v>1563</v>
      </c>
      <c r="F206" s="316"/>
      <c r="G206" s="316"/>
      <c r="H206" s="316"/>
      <c r="I206" s="316"/>
      <c r="J206" s="316"/>
      <c r="AF206" s="41"/>
      <c r="AG206" s="41"/>
      <c r="AH206" s="41"/>
      <c r="AI206" s="41"/>
      <c r="AJ206" s="41"/>
      <c r="AK206" s="41"/>
      <c r="AL206" s="41"/>
      <c r="AM206" s="41"/>
      <c r="AN206" s="41"/>
      <c r="AO206" s="41"/>
      <c r="AP206" s="41"/>
      <c r="AQ206" s="41"/>
      <c r="AR206" s="41"/>
      <c r="AS206" s="41"/>
      <c r="AT206" s="41"/>
      <c r="AU206" s="41"/>
      <c r="AV206" s="41"/>
      <c r="AW206" s="41"/>
    </row>
    <row r="207" spans="2:49" ht="12.75" x14ac:dyDescent="0.25">
      <c r="B207" s="53" t="s">
        <v>393</v>
      </c>
      <c r="C207" s="54"/>
      <c r="E207" s="47" t="s">
        <v>1558</v>
      </c>
      <c r="F207" s="48" t="s">
        <v>1559</v>
      </c>
      <c r="G207" s="48" t="s">
        <v>1560</v>
      </c>
      <c r="H207" s="48" t="s">
        <v>1561</v>
      </c>
      <c r="I207" s="48" t="s">
        <v>1562</v>
      </c>
      <c r="J207" s="48" t="s">
        <v>1572</v>
      </c>
    </row>
    <row r="208" spans="2:49" x14ac:dyDescent="0.25">
      <c r="B208" s="63" t="s">
        <v>394</v>
      </c>
      <c r="C208" s="27" t="s">
        <v>2078</v>
      </c>
      <c r="E208" s="49" t="str">
        <f>+IF(VLOOKUP($B208,tablero!$S$5:$AB$201,E$4,FALSE)=0,"",VLOOKUP($B208,tablero!$S$5:$AB$201,E$4,FALSE))</f>
        <v>x</v>
      </c>
      <c r="F208" s="49" t="str">
        <f>+IF(VLOOKUP($B208,tablero!$S$5:$AB$201,F$4,FALSE)=0,"",VLOOKUP($B208,tablero!$S$5:$AB$201,F$4,FALSE))</f>
        <v/>
      </c>
      <c r="G208" s="49" t="str">
        <f>+IF(VLOOKUP($B208,tablero!$S$5:$AB$201,G$4,FALSE)=0,"",VLOOKUP($B208,tablero!$S$5:$AB$201,G$4,FALSE))</f>
        <v/>
      </c>
      <c r="H208" s="49" t="str">
        <f>+IF(VLOOKUP($B208,tablero!$S$5:$AB$201,H$4,FALSE)=0,"",VLOOKUP($B208,tablero!$S$5:$AB$201,H$4,FALSE))</f>
        <v>x</v>
      </c>
      <c r="I208" s="49" t="str">
        <f>+IF(VLOOKUP($B208,tablero!$S$5:$AB$201,I$4,FALSE)=0,"",VLOOKUP($B208,tablero!$S$5:$AB$201,I$4,FALSE))</f>
        <v>x</v>
      </c>
      <c r="J208" s="49" t="str">
        <f>+IF(VLOOKUP($B208,tablero!$S$5:$AC$201,J$4,FALSE)=0,"",VLOOKUP($B208,tablero!$S$5:$AC$201,J$4,FALSE))</f>
        <v/>
      </c>
    </row>
    <row r="209" spans="2:49" x14ac:dyDescent="0.25">
      <c r="B209" s="63" t="s">
        <v>395</v>
      </c>
      <c r="C209" s="27" t="s">
        <v>396</v>
      </c>
      <c r="E209" s="49" t="str">
        <f>+IF(VLOOKUP($B209,tablero!$S$5:$AB$201,E$4,FALSE)=0,"",VLOOKUP($B209,tablero!$S$5:$AB$201,E$4,FALSE))</f>
        <v>x</v>
      </c>
      <c r="F209" s="49" t="str">
        <f>+IF(VLOOKUP($B209,tablero!$S$5:$AB$201,F$4,FALSE)=0,"",VLOOKUP($B209,tablero!$S$5:$AB$201,F$4,FALSE))</f>
        <v/>
      </c>
      <c r="G209" s="49" t="str">
        <f>+IF(VLOOKUP($B209,tablero!$S$5:$AB$201,G$4,FALSE)=0,"",VLOOKUP($B209,tablero!$S$5:$AB$201,G$4,FALSE))</f>
        <v/>
      </c>
      <c r="H209" s="49" t="str">
        <f>+IF(VLOOKUP($B209,tablero!$S$5:$AB$201,H$4,FALSE)=0,"",VLOOKUP($B209,tablero!$S$5:$AB$201,H$4,FALSE))</f>
        <v>x</v>
      </c>
      <c r="I209" s="49" t="str">
        <f>+IF(VLOOKUP($B209,tablero!$S$5:$AB$201,I$4,FALSE)=0,"",VLOOKUP($B209,tablero!$S$5:$AB$201,I$4,FALSE))</f>
        <v/>
      </c>
      <c r="J209" s="49" t="str">
        <f>+IF(VLOOKUP($B209,tablero!$S$5:$AC$201,J$4,FALSE)=0,"",VLOOKUP($B209,tablero!$S$5:$AC$201,J$4,FALSE))</f>
        <v/>
      </c>
    </row>
    <row r="210" spans="2:49" x14ac:dyDescent="0.25">
      <c r="B210" s="63" t="s">
        <v>397</v>
      </c>
      <c r="C210" s="27" t="s">
        <v>398</v>
      </c>
      <c r="E210" s="49" t="str">
        <f>+IF(VLOOKUP($B210,tablero!$S$5:$AB$201,E$4,FALSE)=0,"",VLOOKUP($B210,tablero!$S$5:$AB$201,E$4,FALSE))</f>
        <v>x</v>
      </c>
      <c r="F210" s="49" t="str">
        <f>+IF(VLOOKUP($B210,tablero!$S$5:$AB$201,F$4,FALSE)=0,"",VLOOKUP($B210,tablero!$S$5:$AB$201,F$4,FALSE))</f>
        <v>x</v>
      </c>
      <c r="G210" s="49" t="str">
        <f>+IF(VLOOKUP($B210,tablero!$S$5:$AB$201,G$4,FALSE)=0,"",VLOOKUP($B210,tablero!$S$5:$AB$201,G$4,FALSE))</f>
        <v/>
      </c>
      <c r="H210" s="49" t="str">
        <f>+IF(VLOOKUP($B210,tablero!$S$5:$AB$201,H$4,FALSE)=0,"",VLOOKUP($B210,tablero!$S$5:$AB$201,H$4,FALSE))</f>
        <v/>
      </c>
      <c r="I210" s="49" t="str">
        <f>+IF(VLOOKUP($B210,tablero!$S$5:$AB$201,I$4,FALSE)=0,"",VLOOKUP($B210,tablero!$S$5:$AB$201,I$4,FALSE))</f>
        <v/>
      </c>
      <c r="J210" s="49" t="str">
        <f>+IF(VLOOKUP($B210,tablero!$S$5:$AC$201,J$4,FALSE)=0,"",VLOOKUP($B210,tablero!$S$5:$AC$201,J$4,FALSE))</f>
        <v/>
      </c>
    </row>
    <row r="211" spans="2:49" x14ac:dyDescent="0.25">
      <c r="B211" s="63" t="s">
        <v>399</v>
      </c>
      <c r="C211" s="27" t="s">
        <v>400</v>
      </c>
      <c r="E211" s="49" t="str">
        <f>+IF(VLOOKUP($B211,tablero!$S$5:$AB$201,E$4,FALSE)=0,"",VLOOKUP($B211,tablero!$S$5:$AB$201,E$4,FALSE))</f>
        <v>x</v>
      </c>
      <c r="F211" s="49" t="str">
        <f>+IF(VLOOKUP($B211,tablero!$S$5:$AB$201,F$4,FALSE)=0,"",VLOOKUP($B211,tablero!$S$5:$AB$201,F$4,FALSE))</f>
        <v/>
      </c>
      <c r="G211" s="49" t="str">
        <f>+IF(VLOOKUP($B211,tablero!$S$5:$AB$201,G$4,FALSE)=0,"",VLOOKUP($B211,tablero!$S$5:$AB$201,G$4,FALSE))</f>
        <v/>
      </c>
      <c r="H211" s="49" t="str">
        <f>+IF(VLOOKUP($B211,tablero!$S$5:$AB$201,H$4,FALSE)=0,"",VLOOKUP($B211,tablero!$S$5:$AB$201,H$4,FALSE))</f>
        <v/>
      </c>
      <c r="I211" s="49" t="str">
        <f>+IF(VLOOKUP($B211,tablero!$S$5:$AB$201,I$4,FALSE)=0,"",VLOOKUP($B211,tablero!$S$5:$AB$201,I$4,FALSE))</f>
        <v/>
      </c>
      <c r="J211" s="49" t="str">
        <f>+IF(VLOOKUP($B211,tablero!$S$5:$AC$201,J$4,FALSE)=0,"",VLOOKUP($B211,tablero!$S$5:$AC$201,J$4,FALSE))</f>
        <v/>
      </c>
    </row>
    <row r="212" spans="2:49" x14ac:dyDescent="0.25">
      <c r="B212" s="63" t="s">
        <v>401</v>
      </c>
      <c r="C212" s="27" t="s">
        <v>402</v>
      </c>
      <c r="E212" s="49" t="str">
        <f>+IF(VLOOKUP($B212,tablero!$S$5:$AB$201,E$4,FALSE)=0,"",VLOOKUP($B212,tablero!$S$5:$AB$201,E$4,FALSE))</f>
        <v>x</v>
      </c>
      <c r="F212" s="49" t="str">
        <f>+IF(VLOOKUP($B212,tablero!$S$5:$AB$201,F$4,FALSE)=0,"",VLOOKUP($B212,tablero!$S$5:$AB$201,F$4,FALSE))</f>
        <v/>
      </c>
      <c r="G212" s="49" t="str">
        <f>+IF(VLOOKUP($B212,tablero!$S$5:$AB$201,G$4,FALSE)=0,"",VLOOKUP($B212,tablero!$S$5:$AB$201,G$4,FALSE))</f>
        <v/>
      </c>
      <c r="H212" s="49" t="str">
        <f>+IF(VLOOKUP($B212,tablero!$S$5:$AB$201,H$4,FALSE)=0,"",VLOOKUP($B212,tablero!$S$5:$AB$201,H$4,FALSE))</f>
        <v/>
      </c>
      <c r="I212" s="49" t="str">
        <f>+IF(VLOOKUP($B212,tablero!$S$5:$AB$201,I$4,FALSE)=0,"",VLOOKUP($B212,tablero!$S$5:$AB$201,I$4,FALSE))</f>
        <v/>
      </c>
      <c r="J212" s="49" t="str">
        <f>+IF(VLOOKUP($B212,tablero!$S$5:$AC$201,J$4,FALSE)=0,"",VLOOKUP($B212,tablero!$S$5:$AC$201,J$4,FALSE))</f>
        <v/>
      </c>
    </row>
    <row r="213" spans="2:49" x14ac:dyDescent="0.25">
      <c r="B213" s="63" t="s">
        <v>403</v>
      </c>
      <c r="C213" s="27" t="s">
        <v>404</v>
      </c>
      <c r="E213" s="49" t="str">
        <f>+IF(VLOOKUP($B213,tablero!$S$5:$AB$201,E$4,FALSE)=0,"",VLOOKUP($B213,tablero!$S$5:$AB$201,E$4,FALSE))</f>
        <v>x</v>
      </c>
      <c r="F213" s="49" t="str">
        <f>+IF(VLOOKUP($B213,tablero!$S$5:$AB$201,F$4,FALSE)=0,"",VLOOKUP($B213,tablero!$S$5:$AB$201,F$4,FALSE))</f>
        <v>x</v>
      </c>
      <c r="G213" s="49" t="str">
        <f>+IF(VLOOKUP($B213,tablero!$S$5:$AB$201,G$4,FALSE)=0,"",VLOOKUP($B213,tablero!$S$5:$AB$201,G$4,FALSE))</f>
        <v/>
      </c>
      <c r="H213" s="49" t="str">
        <f>+IF(VLOOKUP($B213,tablero!$S$5:$AB$201,H$4,FALSE)=0,"",VLOOKUP($B213,tablero!$S$5:$AB$201,H$4,FALSE))</f>
        <v/>
      </c>
      <c r="I213" s="49" t="str">
        <f>+IF(VLOOKUP($B213,tablero!$S$5:$AB$201,I$4,FALSE)=0,"",VLOOKUP($B213,tablero!$S$5:$AB$201,I$4,FALSE))</f>
        <v/>
      </c>
      <c r="J213" s="49" t="str">
        <f>+IF(VLOOKUP($B213,tablero!$S$5:$AC$201,J$4,FALSE)=0,"",VLOOKUP($B213,tablero!$S$5:$AC$201,J$4,FALSE))</f>
        <v/>
      </c>
    </row>
    <row r="214" spans="2:49" x14ac:dyDescent="0.25">
      <c r="B214" s="63" t="s">
        <v>1364</v>
      </c>
      <c r="C214" s="27" t="s">
        <v>1355</v>
      </c>
      <c r="E214" s="49" t="str">
        <f>+IF(VLOOKUP($B214,tablero!$S$5:$AB$201,E$4,FALSE)=0,"",VLOOKUP($B214,tablero!$S$5:$AB$201,E$4,FALSE))</f>
        <v>x</v>
      </c>
      <c r="F214" s="49" t="str">
        <f>+IF(VLOOKUP($B214,tablero!$S$5:$AB$201,F$4,FALSE)=0,"",VLOOKUP($B214,tablero!$S$5:$AB$201,F$4,FALSE))</f>
        <v/>
      </c>
      <c r="G214" s="49" t="str">
        <f>+IF(VLOOKUP($B214,tablero!$S$5:$AB$201,G$4,FALSE)=0,"",VLOOKUP($B214,tablero!$S$5:$AB$201,G$4,FALSE))</f>
        <v/>
      </c>
      <c r="H214" s="49" t="str">
        <f>+IF(VLOOKUP($B214,tablero!$S$5:$AB$201,H$4,FALSE)=0,"",VLOOKUP($B214,tablero!$S$5:$AB$201,H$4,FALSE))</f>
        <v/>
      </c>
      <c r="I214" s="49" t="str">
        <f>+IF(VLOOKUP($B214,tablero!$S$5:$AB$201,I$4,FALSE)=0,"",VLOOKUP($B214,tablero!$S$5:$AB$201,I$4,FALSE))</f>
        <v/>
      </c>
      <c r="J214" s="49" t="str">
        <f>+IF(VLOOKUP($B214,tablero!$S$5:$AC$201,J$4,FALSE)=0,"",VLOOKUP($B214,tablero!$S$5:$AC$201,J$4,FALSE))</f>
        <v/>
      </c>
    </row>
    <row r="215" spans="2:49" x14ac:dyDescent="0.25">
      <c r="B215" s="46"/>
      <c r="F215" s="43" t="s">
        <v>500</v>
      </c>
      <c r="G215" s="43" t="s">
        <v>500</v>
      </c>
      <c r="H215" s="43" t="s">
        <v>500</v>
      </c>
      <c r="I215" s="43" t="s">
        <v>500</v>
      </c>
    </row>
    <row r="216" spans="2:49" ht="12.75" x14ac:dyDescent="0.25">
      <c r="B216" s="25" t="s">
        <v>405</v>
      </c>
      <c r="F216" s="43" t="s">
        <v>500</v>
      </c>
      <c r="G216" s="43" t="s">
        <v>500</v>
      </c>
      <c r="H216" s="43" t="s">
        <v>500</v>
      </c>
      <c r="I216" s="43" t="s">
        <v>500</v>
      </c>
    </row>
    <row r="217" spans="2:49" s="40" customFormat="1" ht="15" x14ac:dyDescent="0.25">
      <c r="B217" s="51" t="s">
        <v>406</v>
      </c>
      <c r="C217" s="52"/>
      <c r="D217" s="45"/>
      <c r="E217" s="316" t="s">
        <v>1563</v>
      </c>
      <c r="F217" s="316"/>
      <c r="G217" s="316"/>
      <c r="H217" s="316"/>
      <c r="I217" s="316"/>
      <c r="J217" s="316"/>
      <c r="AF217" s="41"/>
      <c r="AG217" s="41"/>
      <c r="AH217" s="41"/>
      <c r="AI217" s="41"/>
      <c r="AJ217" s="41"/>
      <c r="AK217" s="41"/>
      <c r="AL217" s="41"/>
      <c r="AM217" s="41"/>
      <c r="AN217" s="41"/>
      <c r="AO217" s="41"/>
      <c r="AP217" s="41"/>
      <c r="AQ217" s="41"/>
      <c r="AR217" s="41"/>
      <c r="AS217" s="41"/>
      <c r="AT217" s="41"/>
      <c r="AU217" s="41"/>
      <c r="AV217" s="41"/>
      <c r="AW217" s="41"/>
    </row>
    <row r="218" spans="2:49" ht="12.75" x14ac:dyDescent="0.25">
      <c r="B218" s="53" t="s">
        <v>407</v>
      </c>
      <c r="C218" s="54"/>
      <c r="E218" s="47" t="s">
        <v>1558</v>
      </c>
      <c r="F218" s="48" t="s">
        <v>1559</v>
      </c>
      <c r="G218" s="48" t="s">
        <v>1560</v>
      </c>
      <c r="H218" s="48" t="s">
        <v>1561</v>
      </c>
      <c r="I218" s="48" t="s">
        <v>1562</v>
      </c>
      <c r="J218" s="48" t="s">
        <v>1572</v>
      </c>
    </row>
    <row r="219" spans="2:49" x14ac:dyDescent="0.25">
      <c r="B219" s="63" t="s">
        <v>408</v>
      </c>
      <c r="C219" s="27" t="s">
        <v>1307</v>
      </c>
      <c r="E219" s="49" t="str">
        <f>+IF(VLOOKUP($B219,tablero!$S$5:$AB$201,E$4,FALSE)=0,"",VLOOKUP($B219,tablero!$S$5:$AB$201,E$4,FALSE))</f>
        <v>x</v>
      </c>
      <c r="F219" s="49" t="str">
        <f>+IF(VLOOKUP($B219,tablero!$S$5:$AB$201,F$4,FALSE)=0,"",VLOOKUP($B219,tablero!$S$5:$AB$201,F$4,FALSE))</f>
        <v/>
      </c>
      <c r="G219" s="49" t="str">
        <f>+IF(VLOOKUP($B219,tablero!$S$5:$AB$201,G$4,FALSE)=0,"",VLOOKUP($B219,tablero!$S$5:$AB$201,G$4,FALSE))</f>
        <v/>
      </c>
      <c r="H219" s="49" t="str">
        <f>+IF(VLOOKUP($B219,tablero!$S$5:$AB$201,H$4,FALSE)=0,"",VLOOKUP($B219,tablero!$S$5:$AB$201,H$4,FALSE))</f>
        <v>x</v>
      </c>
      <c r="I219" s="49" t="str">
        <f>+IF(VLOOKUP($B219,tablero!$S$5:$AB$201,I$4,FALSE)=0,"",VLOOKUP($B219,tablero!$S$5:$AB$201,I$4,FALSE))</f>
        <v>x</v>
      </c>
      <c r="J219" s="49" t="str">
        <f>+IF(VLOOKUP($B219,tablero!$S$5:$AC$201,J$4,FALSE)=0,"",VLOOKUP($B219,tablero!$S$5:$AC$201,J$4,FALSE))</f>
        <v/>
      </c>
    </row>
    <row r="220" spans="2:49" x14ac:dyDescent="0.25">
      <c r="B220" s="63" t="s">
        <v>409</v>
      </c>
      <c r="C220" s="27" t="s">
        <v>1319</v>
      </c>
      <c r="E220" s="49" t="str">
        <f>+IF(VLOOKUP($B220,tablero!$S$5:$AB$201,E$4,FALSE)=0,"",VLOOKUP($B220,tablero!$S$5:$AB$201,E$4,FALSE))</f>
        <v>x</v>
      </c>
      <c r="F220" s="49" t="str">
        <f>+IF(VLOOKUP($B220,tablero!$S$5:$AB$201,F$4,FALSE)=0,"",VLOOKUP($B220,tablero!$S$5:$AB$201,F$4,FALSE))</f>
        <v/>
      </c>
      <c r="G220" s="49" t="str">
        <f>+IF(VLOOKUP($B220,tablero!$S$5:$AB$201,G$4,FALSE)=0,"",VLOOKUP($B220,tablero!$S$5:$AB$201,G$4,FALSE))</f>
        <v/>
      </c>
      <c r="H220" s="49" t="str">
        <f>+IF(VLOOKUP($B220,tablero!$S$5:$AB$201,H$4,FALSE)=0,"",VLOOKUP($B220,tablero!$S$5:$AB$201,H$4,FALSE))</f>
        <v>x</v>
      </c>
      <c r="I220" s="49" t="str">
        <f>+IF(VLOOKUP($B220,tablero!$S$5:$AB$201,I$4,FALSE)=0,"",VLOOKUP($B220,tablero!$S$5:$AB$201,I$4,FALSE))</f>
        <v>x</v>
      </c>
      <c r="J220" s="49" t="str">
        <f>+IF(VLOOKUP($B220,tablero!$S$5:$AC$201,J$4,FALSE)=0,"",VLOOKUP($B220,tablero!$S$5:$AC$201,J$4,FALSE))</f>
        <v/>
      </c>
    </row>
    <row r="221" spans="2:49" x14ac:dyDescent="0.25">
      <c r="B221" s="63" t="s">
        <v>410</v>
      </c>
      <c r="C221" s="27" t="s">
        <v>1314</v>
      </c>
      <c r="E221" s="49" t="str">
        <f>+IF(VLOOKUP($B221,tablero!$S$5:$AB$201,E$4,FALSE)=0,"",VLOOKUP($B221,tablero!$S$5:$AB$201,E$4,FALSE))</f>
        <v>x</v>
      </c>
      <c r="F221" s="49" t="str">
        <f>+IF(VLOOKUP($B221,tablero!$S$5:$AB$201,F$4,FALSE)=0,"",VLOOKUP($B221,tablero!$S$5:$AB$201,F$4,FALSE))</f>
        <v/>
      </c>
      <c r="G221" s="49" t="str">
        <f>+IF(VLOOKUP($B221,tablero!$S$5:$AB$201,G$4,FALSE)=0,"",VLOOKUP($B221,tablero!$S$5:$AB$201,G$4,FALSE))</f>
        <v/>
      </c>
      <c r="H221" s="49" t="str">
        <f>+IF(VLOOKUP($B221,tablero!$S$5:$AB$201,H$4,FALSE)=0,"",VLOOKUP($B221,tablero!$S$5:$AB$201,H$4,FALSE))</f>
        <v>x</v>
      </c>
      <c r="I221" s="49" t="str">
        <f>+IF(VLOOKUP($B221,tablero!$S$5:$AB$201,I$4,FALSE)=0,"",VLOOKUP($B221,tablero!$S$5:$AB$201,I$4,FALSE))</f>
        <v/>
      </c>
      <c r="J221" s="49" t="str">
        <f>+IF(VLOOKUP($B221,tablero!$S$5:$AC$201,J$4,FALSE)=0,"",VLOOKUP($B221,tablero!$S$5:$AC$201,J$4,FALSE))</f>
        <v/>
      </c>
    </row>
    <row r="222" spans="2:49" x14ac:dyDescent="0.25">
      <c r="B222" s="63" t="s">
        <v>1366</v>
      </c>
      <c r="C222" s="27" t="s">
        <v>1355</v>
      </c>
      <c r="E222" s="49" t="str">
        <f>+IF(VLOOKUP($B222,tablero!$S$5:$AB$201,E$4,FALSE)=0,"",VLOOKUP($B222,tablero!$S$5:$AB$201,E$4,FALSE))</f>
        <v>x</v>
      </c>
      <c r="F222" s="49" t="str">
        <f>+IF(VLOOKUP($B222,tablero!$S$5:$AB$201,F$4,FALSE)=0,"",VLOOKUP($B222,tablero!$S$5:$AB$201,F$4,FALSE))</f>
        <v/>
      </c>
      <c r="G222" s="49" t="str">
        <f>+IF(VLOOKUP($B222,tablero!$S$5:$AB$201,G$4,FALSE)=0,"",VLOOKUP($B222,tablero!$S$5:$AB$201,G$4,FALSE))</f>
        <v/>
      </c>
      <c r="H222" s="49" t="str">
        <f>+IF(VLOOKUP($B222,tablero!$S$5:$AB$201,H$4,FALSE)=0,"",VLOOKUP($B222,tablero!$S$5:$AB$201,H$4,FALSE))</f>
        <v/>
      </c>
      <c r="I222" s="49" t="str">
        <f>+IF(VLOOKUP($B222,tablero!$S$5:$AB$201,I$4,FALSE)=0,"",VLOOKUP($B222,tablero!$S$5:$AB$201,I$4,FALSE))</f>
        <v/>
      </c>
      <c r="J222" s="49" t="str">
        <f>+IF(VLOOKUP($B222,tablero!$S$5:$AC$201,J$4,FALSE)=0,"",VLOOKUP($B222,tablero!$S$5:$AC$201,J$4,FALSE))</f>
        <v/>
      </c>
    </row>
    <row r="223" spans="2:49" x14ac:dyDescent="0.25">
      <c r="B223" s="46"/>
      <c r="F223" s="43" t="s">
        <v>500</v>
      </c>
      <c r="G223" s="43" t="s">
        <v>500</v>
      </c>
      <c r="H223" s="43" t="s">
        <v>500</v>
      </c>
      <c r="I223" s="43" t="s">
        <v>500</v>
      </c>
    </row>
    <row r="224" spans="2:49" ht="12.75" x14ac:dyDescent="0.25">
      <c r="B224" s="25" t="s">
        <v>411</v>
      </c>
      <c r="F224" s="43" t="s">
        <v>500</v>
      </c>
      <c r="G224" s="43" t="s">
        <v>500</v>
      </c>
      <c r="H224" s="43" t="s">
        <v>500</v>
      </c>
      <c r="I224" s="43" t="s">
        <v>500</v>
      </c>
    </row>
    <row r="225" spans="2:49" s="40" customFormat="1" ht="15" x14ac:dyDescent="0.25">
      <c r="B225" s="51" t="s">
        <v>412</v>
      </c>
      <c r="C225" s="52"/>
      <c r="D225" s="45"/>
      <c r="E225" s="316" t="s">
        <v>1563</v>
      </c>
      <c r="F225" s="316"/>
      <c r="G225" s="316"/>
      <c r="H225" s="316"/>
      <c r="I225" s="316"/>
      <c r="J225" s="316"/>
      <c r="AF225" s="41"/>
      <c r="AG225" s="41"/>
      <c r="AH225" s="41"/>
      <c r="AI225" s="41"/>
      <c r="AJ225" s="41"/>
      <c r="AK225" s="41"/>
      <c r="AL225" s="41"/>
      <c r="AM225" s="41"/>
      <c r="AN225" s="41"/>
      <c r="AO225" s="41"/>
      <c r="AP225" s="41"/>
      <c r="AQ225" s="41"/>
      <c r="AR225" s="41"/>
      <c r="AS225" s="41"/>
      <c r="AT225" s="41"/>
      <c r="AU225" s="41"/>
      <c r="AV225" s="41"/>
      <c r="AW225" s="41"/>
    </row>
    <row r="226" spans="2:49" ht="12.75" x14ac:dyDescent="0.25">
      <c r="B226" s="53" t="s">
        <v>413</v>
      </c>
      <c r="C226" s="54"/>
      <c r="E226" s="47" t="s">
        <v>1558</v>
      </c>
      <c r="F226" s="48" t="s">
        <v>1559</v>
      </c>
      <c r="G226" s="48" t="s">
        <v>1560</v>
      </c>
      <c r="H226" s="48" t="s">
        <v>1561</v>
      </c>
      <c r="I226" s="48" t="s">
        <v>1562</v>
      </c>
      <c r="J226" s="48" t="s">
        <v>1572</v>
      </c>
    </row>
    <row r="227" spans="2:49" x14ac:dyDescent="0.25">
      <c r="B227" s="63" t="s">
        <v>414</v>
      </c>
      <c r="C227" s="27" t="s">
        <v>415</v>
      </c>
      <c r="E227" s="49" t="str">
        <f>+IF(VLOOKUP($B227,tablero!$S$5:$AB$201,E$4,FALSE)=0,"",VLOOKUP($B227,tablero!$S$5:$AB$201,E$4,FALSE))</f>
        <v>x</v>
      </c>
      <c r="F227" s="49" t="str">
        <f>+IF(VLOOKUP($B227,tablero!$S$5:$AB$201,F$4,FALSE)=0,"",VLOOKUP($B227,tablero!$S$5:$AB$201,F$4,FALSE))</f>
        <v/>
      </c>
      <c r="G227" s="49" t="str">
        <f>+IF(VLOOKUP($B227,tablero!$S$5:$AB$201,G$4,FALSE)=0,"",VLOOKUP($B227,tablero!$S$5:$AB$201,G$4,FALSE))</f>
        <v/>
      </c>
      <c r="H227" s="49" t="str">
        <f>+IF(VLOOKUP($B227,tablero!$S$5:$AB$201,H$4,FALSE)=0,"",VLOOKUP($B227,tablero!$S$5:$AB$201,H$4,FALSE))</f>
        <v>x</v>
      </c>
      <c r="I227" s="49" t="str">
        <f>+IF(VLOOKUP($B227,tablero!$S$5:$AB$201,I$4,FALSE)=0,"",VLOOKUP($B227,tablero!$S$5:$AB$201,I$4,FALSE))</f>
        <v/>
      </c>
      <c r="J227" s="49" t="str">
        <f>+IF(VLOOKUP($B227,tablero!$S$5:$AC$201,J$4,FALSE)=0,"",VLOOKUP($B227,tablero!$S$5:$AC$201,J$4,FALSE))</f>
        <v/>
      </c>
    </row>
    <row r="228" spans="2:49" x14ac:dyDescent="0.25">
      <c r="B228" s="63" t="s">
        <v>416</v>
      </c>
      <c r="C228" s="27" t="s">
        <v>417</v>
      </c>
      <c r="E228" s="49" t="str">
        <f>+IF(VLOOKUP($B228,tablero!$S$5:$AB$201,E$4,FALSE)=0,"",VLOOKUP($B228,tablero!$S$5:$AB$201,E$4,FALSE))</f>
        <v>x</v>
      </c>
      <c r="F228" s="49" t="str">
        <f>+IF(VLOOKUP($B228,tablero!$S$5:$AB$201,F$4,FALSE)=0,"",VLOOKUP($B228,tablero!$S$5:$AB$201,F$4,FALSE))</f>
        <v/>
      </c>
      <c r="G228" s="49" t="str">
        <f>+IF(VLOOKUP($B228,tablero!$S$5:$AB$201,G$4,FALSE)=0,"",VLOOKUP($B228,tablero!$S$5:$AB$201,G$4,FALSE))</f>
        <v/>
      </c>
      <c r="H228" s="49" t="str">
        <f>+IF(VLOOKUP($B228,tablero!$S$5:$AB$201,H$4,FALSE)=0,"",VLOOKUP($B228,tablero!$S$5:$AB$201,H$4,FALSE))</f>
        <v>x</v>
      </c>
      <c r="I228" s="49" t="str">
        <f>+IF(VLOOKUP($B228,tablero!$S$5:$AB$201,I$4,FALSE)=0,"",VLOOKUP($B228,tablero!$S$5:$AB$201,I$4,FALSE))</f>
        <v/>
      </c>
      <c r="J228" s="49" t="str">
        <f>+IF(VLOOKUP($B228,tablero!$S$5:$AC$201,J$4,FALSE)=0,"",VLOOKUP($B228,tablero!$S$5:$AC$201,J$4,FALSE))</f>
        <v/>
      </c>
    </row>
    <row r="229" spans="2:49" x14ac:dyDescent="0.25">
      <c r="B229" s="63" t="s">
        <v>418</v>
      </c>
      <c r="C229" s="27" t="s">
        <v>419</v>
      </c>
      <c r="E229" s="49" t="str">
        <f>+IF(VLOOKUP($B229,tablero!$S$5:$AB$201,E$4,FALSE)=0,"",VLOOKUP($B229,tablero!$S$5:$AB$201,E$4,FALSE))</f>
        <v>x</v>
      </c>
      <c r="F229" s="49" t="str">
        <f>+IF(VLOOKUP($B229,tablero!$S$5:$AB$201,F$4,FALSE)=0,"",VLOOKUP($B229,tablero!$S$5:$AB$201,F$4,FALSE))</f>
        <v/>
      </c>
      <c r="G229" s="49" t="str">
        <f>+IF(VLOOKUP($B229,tablero!$S$5:$AB$201,G$4,FALSE)=0,"",VLOOKUP($B229,tablero!$S$5:$AB$201,G$4,FALSE))</f>
        <v/>
      </c>
      <c r="H229" s="49" t="str">
        <f>+IF(VLOOKUP($B229,tablero!$S$5:$AB$201,H$4,FALSE)=0,"",VLOOKUP($B229,tablero!$S$5:$AB$201,H$4,FALSE))</f>
        <v>x</v>
      </c>
      <c r="I229" s="49" t="str">
        <f>+IF(VLOOKUP($B229,tablero!$S$5:$AB$201,I$4,FALSE)=0,"",VLOOKUP($B229,tablero!$S$5:$AB$201,I$4,FALSE))</f>
        <v>x</v>
      </c>
      <c r="J229" s="49" t="str">
        <f>+IF(VLOOKUP($B229,tablero!$S$5:$AC$201,J$4,FALSE)=0,"",VLOOKUP($B229,tablero!$S$5:$AC$201,J$4,FALSE))</f>
        <v/>
      </c>
    </row>
    <row r="230" spans="2:49" x14ac:dyDescent="0.25">
      <c r="B230" s="63" t="s">
        <v>420</v>
      </c>
      <c r="C230" s="27" t="s">
        <v>1857</v>
      </c>
      <c r="E230" s="49" t="str">
        <f>+IF(VLOOKUP($B230,tablero!$S$5:$AB$201,E$4,FALSE)=0,"",VLOOKUP($B230,tablero!$S$5:$AB$201,E$4,FALSE))</f>
        <v>x</v>
      </c>
      <c r="F230" s="49" t="str">
        <f>+IF(VLOOKUP($B230,tablero!$S$5:$AB$201,F$4,FALSE)=0,"",VLOOKUP($B230,tablero!$S$5:$AB$201,F$4,FALSE))</f>
        <v/>
      </c>
      <c r="G230" s="49" t="str">
        <f>+IF(VLOOKUP($B230,tablero!$S$5:$AB$201,G$4,FALSE)=0,"",VLOOKUP($B230,tablero!$S$5:$AB$201,G$4,FALSE))</f>
        <v/>
      </c>
      <c r="H230" s="49" t="str">
        <f>+IF(VLOOKUP($B230,tablero!$S$5:$AB$201,H$4,FALSE)=0,"",VLOOKUP($B230,tablero!$S$5:$AB$201,H$4,FALSE))</f>
        <v>x</v>
      </c>
      <c r="I230" s="49" t="str">
        <f>+IF(VLOOKUP($B230,tablero!$S$5:$AB$201,I$4,FALSE)=0,"",VLOOKUP($B230,tablero!$S$5:$AB$201,I$4,FALSE))</f>
        <v/>
      </c>
      <c r="J230" s="49" t="str">
        <f>+IF(VLOOKUP($B230,tablero!$S$5:$AC$201,J$4,FALSE)=0,"",VLOOKUP($B230,tablero!$S$5:$AC$201,J$4,FALSE))</f>
        <v/>
      </c>
    </row>
    <row r="231" spans="2:49" x14ac:dyDescent="0.25">
      <c r="B231" s="63" t="s">
        <v>421</v>
      </c>
      <c r="C231" s="27" t="s">
        <v>422</v>
      </c>
      <c r="E231" s="49" t="str">
        <f>+IF(VLOOKUP($B231,tablero!$S$5:$AB$201,E$4,FALSE)=0,"",VLOOKUP($B231,tablero!$S$5:$AB$201,E$4,FALSE))</f>
        <v>x</v>
      </c>
      <c r="F231" s="49" t="str">
        <f>+IF(VLOOKUP($B231,tablero!$S$5:$AB$201,F$4,FALSE)=0,"",VLOOKUP($B231,tablero!$S$5:$AB$201,F$4,FALSE))</f>
        <v/>
      </c>
      <c r="G231" s="49" t="str">
        <f>+IF(VLOOKUP($B231,tablero!$S$5:$AB$201,G$4,FALSE)=0,"",VLOOKUP($B231,tablero!$S$5:$AB$201,G$4,FALSE))</f>
        <v/>
      </c>
      <c r="H231" s="49" t="str">
        <f>+IF(VLOOKUP($B231,tablero!$S$5:$AB$201,H$4,FALSE)=0,"",VLOOKUP($B231,tablero!$S$5:$AB$201,H$4,FALSE))</f>
        <v>x</v>
      </c>
      <c r="I231" s="49" t="str">
        <f>+IF(VLOOKUP($B231,tablero!$S$5:$AB$201,I$4,FALSE)=0,"",VLOOKUP($B231,tablero!$S$5:$AB$201,I$4,FALSE))</f>
        <v/>
      </c>
      <c r="J231" s="49" t="str">
        <f>+IF(VLOOKUP($B231,tablero!$S$5:$AC$201,J$4,FALSE)=0,"",VLOOKUP($B231,tablero!$S$5:$AC$201,J$4,FALSE))</f>
        <v/>
      </c>
    </row>
    <row r="232" spans="2:49" x14ac:dyDescent="0.25">
      <c r="B232" s="63" t="s">
        <v>423</v>
      </c>
      <c r="C232" s="27" t="s">
        <v>424</v>
      </c>
      <c r="E232" s="49" t="str">
        <f>+IF(VLOOKUP($B232,tablero!$S$5:$AB$201,E$4,FALSE)=0,"",VLOOKUP($B232,tablero!$S$5:$AB$201,E$4,FALSE))</f>
        <v>x</v>
      </c>
      <c r="F232" s="49" t="str">
        <f>+IF(VLOOKUP($B232,tablero!$S$5:$AB$201,F$4,FALSE)=0,"",VLOOKUP($B232,tablero!$S$5:$AB$201,F$4,FALSE))</f>
        <v/>
      </c>
      <c r="G232" s="49" t="str">
        <f>+IF(VLOOKUP($B232,tablero!$S$5:$AB$201,G$4,FALSE)=0,"",VLOOKUP($B232,tablero!$S$5:$AB$201,G$4,FALSE))</f>
        <v/>
      </c>
      <c r="H232" s="49" t="str">
        <f>+IF(VLOOKUP($B232,tablero!$S$5:$AB$201,H$4,FALSE)=0,"",VLOOKUP($B232,tablero!$S$5:$AB$201,H$4,FALSE))</f>
        <v>x</v>
      </c>
      <c r="I232" s="49" t="str">
        <f>+IF(VLOOKUP($B232,tablero!$S$5:$AB$201,I$4,FALSE)=0,"",VLOOKUP($B232,tablero!$S$5:$AB$201,I$4,FALSE))</f>
        <v>x</v>
      </c>
      <c r="J232" s="49" t="str">
        <f>+IF(VLOOKUP($B232,tablero!$S$5:$AC$201,J$4,FALSE)=0,"",VLOOKUP($B232,tablero!$S$5:$AC$201,J$4,FALSE))</f>
        <v/>
      </c>
    </row>
    <row r="233" spans="2:49" x14ac:dyDescent="0.25">
      <c r="B233" s="63" t="s">
        <v>1367</v>
      </c>
      <c r="C233" s="27" t="s">
        <v>1355</v>
      </c>
      <c r="E233" s="49" t="str">
        <f>+IF(VLOOKUP($B233,tablero!$S$5:$AB$201,E$4,FALSE)=0,"",VLOOKUP($B233,tablero!$S$5:$AB$201,E$4,FALSE))</f>
        <v>x</v>
      </c>
      <c r="F233" s="49" t="str">
        <f>+IF(VLOOKUP($B233,tablero!$S$5:$AB$201,F$4,FALSE)=0,"",VLOOKUP($B233,tablero!$S$5:$AB$201,F$4,FALSE))</f>
        <v/>
      </c>
      <c r="G233" s="49" t="str">
        <f>+IF(VLOOKUP($B233,tablero!$S$5:$AB$201,G$4,FALSE)=0,"",VLOOKUP($B233,tablero!$S$5:$AB$201,G$4,FALSE))</f>
        <v/>
      </c>
      <c r="H233" s="49" t="str">
        <f>+IF(VLOOKUP($B233,tablero!$S$5:$AB$201,H$4,FALSE)=0,"",VLOOKUP($B233,tablero!$S$5:$AB$201,H$4,FALSE))</f>
        <v/>
      </c>
      <c r="I233" s="49" t="str">
        <f>+IF(VLOOKUP($B233,tablero!$S$5:$AB$201,I$4,FALSE)=0,"",VLOOKUP($B233,tablero!$S$5:$AB$201,I$4,FALSE))</f>
        <v/>
      </c>
      <c r="J233" s="49" t="str">
        <f>+IF(VLOOKUP($B233,tablero!$S$5:$AC$201,J$4,FALSE)=0,"",VLOOKUP($B233,tablero!$S$5:$AC$201,J$4,FALSE))</f>
        <v/>
      </c>
    </row>
    <row r="234" spans="2:49" ht="12.75" x14ac:dyDescent="0.25">
      <c r="B234" s="53" t="s">
        <v>1551</v>
      </c>
      <c r="C234" s="54"/>
      <c r="E234" s="47" t="s">
        <v>1558</v>
      </c>
      <c r="F234" s="48" t="s">
        <v>1559</v>
      </c>
      <c r="G234" s="48" t="s">
        <v>1560</v>
      </c>
      <c r="H234" s="48" t="s">
        <v>1561</v>
      </c>
      <c r="I234" s="48" t="s">
        <v>1562</v>
      </c>
      <c r="J234" s="48" t="s">
        <v>1572</v>
      </c>
    </row>
    <row r="235" spans="2:49" x14ac:dyDescent="0.25">
      <c r="B235" s="63" t="s">
        <v>1552</v>
      </c>
      <c r="C235" s="27" t="s">
        <v>1553</v>
      </c>
      <c r="E235" s="49" t="str">
        <f>+IF(VLOOKUP($B235,tablero!$S$5:$AB$201,E$4,FALSE)=0,"",VLOOKUP($B235,tablero!$S$5:$AB$201,E$4,FALSE))</f>
        <v>x</v>
      </c>
      <c r="F235" s="49" t="str">
        <f>+IF(VLOOKUP($B235,tablero!$S$5:$AB$201,F$4,FALSE)=0,"",VLOOKUP($B235,tablero!$S$5:$AB$201,F$4,FALSE))</f>
        <v/>
      </c>
      <c r="G235" s="49" t="str">
        <f>+IF(VLOOKUP($B235,tablero!$S$5:$AB$201,G$4,FALSE)=0,"",VLOOKUP($B235,tablero!$S$5:$AB$201,G$4,FALSE))</f>
        <v/>
      </c>
      <c r="H235" s="49" t="str">
        <f>+IF(VLOOKUP($B235,tablero!$S$5:$AB$201,H$4,FALSE)=0,"",VLOOKUP($B235,tablero!$S$5:$AB$201,H$4,FALSE))</f>
        <v/>
      </c>
      <c r="I235" s="49" t="str">
        <f>+IF(VLOOKUP($B235,tablero!$S$5:$AB$201,I$4,FALSE)=0,"",VLOOKUP($B235,tablero!$S$5:$AB$201,I$4,FALSE))</f>
        <v/>
      </c>
      <c r="J235" s="49" t="str">
        <f>+IF(VLOOKUP($B235,tablero!$S$5:$AC$201,J$4,FALSE)=0,"",VLOOKUP($B235,tablero!$S$5:$AC$201,J$4,FALSE))</f>
        <v/>
      </c>
    </row>
    <row r="236" spans="2:49" x14ac:dyDescent="0.25">
      <c r="B236" s="46"/>
      <c r="F236" s="43" t="s">
        <v>500</v>
      </c>
      <c r="G236" s="43" t="s">
        <v>500</v>
      </c>
      <c r="H236" s="43" t="s">
        <v>500</v>
      </c>
      <c r="I236" s="43" t="s">
        <v>500</v>
      </c>
    </row>
    <row r="237" spans="2:49" ht="12.75" x14ac:dyDescent="0.25">
      <c r="B237" s="25" t="s">
        <v>425</v>
      </c>
      <c r="F237" s="43" t="s">
        <v>500</v>
      </c>
      <c r="G237" s="43" t="s">
        <v>500</v>
      </c>
      <c r="H237" s="43" t="s">
        <v>500</v>
      </c>
      <c r="I237" s="43" t="s">
        <v>500</v>
      </c>
    </row>
    <row r="238" spans="2:49" s="40" customFormat="1" ht="15" x14ac:dyDescent="0.25">
      <c r="B238" s="51" t="s">
        <v>426</v>
      </c>
      <c r="C238" s="52"/>
      <c r="D238" s="45"/>
      <c r="E238" s="316" t="s">
        <v>1563</v>
      </c>
      <c r="F238" s="316"/>
      <c r="G238" s="316"/>
      <c r="H238" s="316"/>
      <c r="I238" s="316"/>
      <c r="J238" s="316"/>
      <c r="AF238" s="41"/>
      <c r="AG238" s="41"/>
      <c r="AH238" s="41"/>
      <c r="AI238" s="41"/>
      <c r="AJ238" s="41"/>
      <c r="AK238" s="41"/>
      <c r="AL238" s="41"/>
      <c r="AM238" s="41"/>
      <c r="AN238" s="41"/>
      <c r="AO238" s="41"/>
      <c r="AP238" s="41"/>
      <c r="AQ238" s="41"/>
      <c r="AR238" s="41"/>
      <c r="AS238" s="41"/>
      <c r="AT238" s="41"/>
      <c r="AU238" s="41"/>
      <c r="AV238" s="41"/>
      <c r="AW238" s="41"/>
    </row>
    <row r="239" spans="2:49" ht="12.75" x14ac:dyDescent="0.25">
      <c r="B239" s="53" t="s">
        <v>427</v>
      </c>
      <c r="C239" s="54"/>
      <c r="E239" s="47" t="s">
        <v>1558</v>
      </c>
      <c r="F239" s="48" t="s">
        <v>1559</v>
      </c>
      <c r="G239" s="48" t="s">
        <v>1560</v>
      </c>
      <c r="H239" s="48" t="s">
        <v>1561</v>
      </c>
      <c r="I239" s="48" t="s">
        <v>1562</v>
      </c>
      <c r="J239" s="48" t="s">
        <v>1572</v>
      </c>
    </row>
    <row r="240" spans="2:49" ht="24" x14ac:dyDescent="0.25">
      <c r="B240" s="63" t="s">
        <v>428</v>
      </c>
      <c r="C240" s="27" t="s">
        <v>1423</v>
      </c>
      <c r="E240" s="49" t="str">
        <f>+IF(VLOOKUP($B240,tablero!$S$5:$AB$201,E$4,FALSE)=0,"",VLOOKUP($B240,tablero!$S$5:$AB$201,E$4,FALSE))</f>
        <v>x</v>
      </c>
      <c r="F240" s="49" t="str">
        <f>+IF(VLOOKUP($B240,tablero!$S$5:$AB$201,F$4,FALSE)=0,"",VLOOKUP($B240,tablero!$S$5:$AB$201,F$4,FALSE))</f>
        <v/>
      </c>
      <c r="G240" s="49" t="str">
        <f>+IF(VLOOKUP($B240,tablero!$S$5:$AB$201,G$4,FALSE)=0,"",VLOOKUP($B240,tablero!$S$5:$AB$201,G$4,FALSE))</f>
        <v/>
      </c>
      <c r="H240" s="49" t="str">
        <f>+IF(VLOOKUP($B240,tablero!$S$5:$AB$201,H$4,FALSE)=0,"",VLOOKUP($B240,tablero!$S$5:$AB$201,H$4,FALSE))</f>
        <v>x</v>
      </c>
      <c r="I240" s="49" t="str">
        <f>+IF(VLOOKUP($B240,tablero!$S$5:$AB$201,I$4,FALSE)=0,"",VLOOKUP($B240,tablero!$S$5:$AB$201,I$4,FALSE))</f>
        <v>x</v>
      </c>
      <c r="J240" s="49" t="str">
        <f>+IF(VLOOKUP($B240,tablero!$S$5:$AC$201,J$4,FALSE)=0,"",VLOOKUP($B240,tablero!$S$5:$AC$201,J$4,FALSE))</f>
        <v/>
      </c>
    </row>
    <row r="241" spans="2:49" x14ac:dyDescent="0.25">
      <c r="B241" s="63" t="s">
        <v>429</v>
      </c>
      <c r="C241" s="27" t="s">
        <v>1586</v>
      </c>
      <c r="E241" s="49" t="str">
        <f>+IF(VLOOKUP($B241,tablero!$S$5:$AB$201,E$4,FALSE)=0,"",VLOOKUP($B241,tablero!$S$5:$AB$201,E$4,FALSE))</f>
        <v>x</v>
      </c>
      <c r="F241" s="49" t="str">
        <f>+IF(VLOOKUP($B241,tablero!$S$5:$AB$201,F$4,FALSE)=0,"",VLOOKUP($B241,tablero!$S$5:$AB$201,F$4,FALSE))</f>
        <v/>
      </c>
      <c r="G241" s="49" t="str">
        <f>+IF(VLOOKUP($B241,tablero!$S$5:$AB$201,G$4,FALSE)=0,"",VLOOKUP($B241,tablero!$S$5:$AB$201,G$4,FALSE))</f>
        <v/>
      </c>
      <c r="H241" s="49" t="str">
        <f>+IF(VLOOKUP($B241,tablero!$S$5:$AB$201,H$4,FALSE)=0,"",VLOOKUP($B241,tablero!$S$5:$AB$201,H$4,FALSE))</f>
        <v>x</v>
      </c>
      <c r="I241" s="49" t="str">
        <f>+IF(VLOOKUP($B241,tablero!$S$5:$AB$201,I$4,FALSE)=0,"",VLOOKUP($B241,tablero!$S$5:$AB$201,I$4,FALSE))</f>
        <v/>
      </c>
      <c r="J241" s="49" t="str">
        <f>+IF(VLOOKUP($B241,tablero!$S$5:$AC$201,J$4,FALSE)=0,"",VLOOKUP($B241,tablero!$S$5:$AC$201,J$4,FALSE))</f>
        <v/>
      </c>
    </row>
    <row r="242" spans="2:49" x14ac:dyDescent="0.25">
      <c r="B242" s="63" t="s">
        <v>430</v>
      </c>
      <c r="C242" s="27" t="s">
        <v>431</v>
      </c>
      <c r="E242" s="49" t="str">
        <f>+IF(VLOOKUP($B242,tablero!$S$5:$AB$201,E$4,FALSE)=0,"",VLOOKUP($B242,tablero!$S$5:$AB$201,E$4,FALSE))</f>
        <v>x</v>
      </c>
      <c r="F242" s="49" t="str">
        <f>+IF(VLOOKUP($B242,tablero!$S$5:$AB$201,F$4,FALSE)=0,"",VLOOKUP($B242,tablero!$S$5:$AB$201,F$4,FALSE))</f>
        <v/>
      </c>
      <c r="G242" s="49" t="str">
        <f>+IF(VLOOKUP($B242,tablero!$S$5:$AB$201,G$4,FALSE)=0,"",VLOOKUP($B242,tablero!$S$5:$AB$201,G$4,FALSE))</f>
        <v/>
      </c>
      <c r="H242" s="49" t="str">
        <f>+IF(VLOOKUP($B242,tablero!$S$5:$AB$201,H$4,FALSE)=0,"",VLOOKUP($B242,tablero!$S$5:$AB$201,H$4,FALSE))</f>
        <v>x</v>
      </c>
      <c r="I242" s="49" t="str">
        <f>+IF(VLOOKUP($B242,tablero!$S$5:$AB$201,I$4,FALSE)=0,"",VLOOKUP($B242,tablero!$S$5:$AB$201,I$4,FALSE))</f>
        <v>x</v>
      </c>
      <c r="J242" s="49" t="str">
        <f>+IF(VLOOKUP($B242,tablero!$S$5:$AC$201,J$4,FALSE)=0,"",VLOOKUP($B242,tablero!$S$5:$AC$201,J$4,FALSE))</f>
        <v/>
      </c>
    </row>
    <row r="243" spans="2:49" x14ac:dyDescent="0.25">
      <c r="B243" s="63" t="s">
        <v>432</v>
      </c>
      <c r="C243" s="27" t="s">
        <v>433</v>
      </c>
      <c r="E243" s="49" t="str">
        <f>+IF(VLOOKUP($B243,tablero!$S$5:$AB$201,E$4,FALSE)=0,"",VLOOKUP($B243,tablero!$S$5:$AB$201,E$4,FALSE))</f>
        <v>x</v>
      </c>
      <c r="F243" s="49" t="str">
        <f>+IF(VLOOKUP($B243,tablero!$S$5:$AB$201,F$4,FALSE)=0,"",VLOOKUP($B243,tablero!$S$5:$AB$201,F$4,FALSE))</f>
        <v/>
      </c>
      <c r="G243" s="49" t="str">
        <f>+IF(VLOOKUP($B243,tablero!$S$5:$AB$201,G$4,FALSE)=0,"",VLOOKUP($B243,tablero!$S$5:$AB$201,G$4,FALSE))</f>
        <v/>
      </c>
      <c r="H243" s="49" t="str">
        <f>+IF(VLOOKUP($B243,tablero!$S$5:$AB$201,H$4,FALSE)=0,"",VLOOKUP($B243,tablero!$S$5:$AB$201,H$4,FALSE))</f>
        <v>x</v>
      </c>
      <c r="I243" s="49" t="str">
        <f>+IF(VLOOKUP($B243,tablero!$S$5:$AB$201,I$4,FALSE)=0,"",VLOOKUP($B243,tablero!$S$5:$AB$201,I$4,FALSE))</f>
        <v>x</v>
      </c>
      <c r="J243" s="49" t="str">
        <f>+IF(VLOOKUP($B243,tablero!$S$5:$AC$201,J$4,FALSE)=0,"",VLOOKUP($B243,tablero!$S$5:$AC$201,J$4,FALSE))</f>
        <v/>
      </c>
    </row>
    <row r="244" spans="2:49" x14ac:dyDescent="0.25">
      <c r="B244" s="63" t="s">
        <v>434</v>
      </c>
      <c r="C244" s="27" t="s">
        <v>1427</v>
      </c>
      <c r="E244" s="49" t="str">
        <f>+IF(VLOOKUP($B244,tablero!$S$5:$AB$201,E$4,FALSE)=0,"",VLOOKUP($B244,tablero!$S$5:$AB$201,E$4,FALSE))</f>
        <v>x</v>
      </c>
      <c r="F244" s="49" t="str">
        <f>+IF(VLOOKUP($B244,tablero!$S$5:$AB$201,F$4,FALSE)=0,"",VLOOKUP($B244,tablero!$S$5:$AB$201,F$4,FALSE))</f>
        <v>x</v>
      </c>
      <c r="G244" s="49" t="str">
        <f>+IF(VLOOKUP($B244,tablero!$S$5:$AB$201,G$4,FALSE)=0,"",VLOOKUP($B244,tablero!$S$5:$AB$201,G$4,FALSE))</f>
        <v/>
      </c>
      <c r="H244" s="49" t="str">
        <f>+IF(VLOOKUP($B244,tablero!$S$5:$AB$201,H$4,FALSE)=0,"",VLOOKUP($B244,tablero!$S$5:$AB$201,H$4,FALSE))</f>
        <v/>
      </c>
      <c r="I244" s="49" t="str">
        <f>+IF(VLOOKUP($B244,tablero!$S$5:$AB$201,I$4,FALSE)=0,"",VLOOKUP($B244,tablero!$S$5:$AB$201,I$4,FALSE))</f>
        <v/>
      </c>
      <c r="J244" s="49" t="str">
        <f>+IF(VLOOKUP($B244,tablero!$S$5:$AC$201,J$4,FALSE)=0,"",VLOOKUP($B244,tablero!$S$5:$AC$201,J$4,FALSE))</f>
        <v/>
      </c>
    </row>
    <row r="245" spans="2:49" x14ac:dyDescent="0.25">
      <c r="B245" s="63" t="s">
        <v>435</v>
      </c>
      <c r="C245" s="27" t="s">
        <v>1429</v>
      </c>
      <c r="E245" s="49" t="str">
        <f>+IF(VLOOKUP($B245,tablero!$S$5:$AB$201,E$4,FALSE)=0,"",VLOOKUP($B245,tablero!$S$5:$AB$201,E$4,FALSE))</f>
        <v>x</v>
      </c>
      <c r="F245" s="49" t="str">
        <f>+IF(VLOOKUP($B245,tablero!$S$5:$AB$201,F$4,FALSE)=0,"",VLOOKUP($B245,tablero!$S$5:$AB$201,F$4,FALSE))</f>
        <v>x</v>
      </c>
      <c r="G245" s="49" t="str">
        <f>+IF(VLOOKUP($B245,tablero!$S$5:$AB$201,G$4,FALSE)=0,"",VLOOKUP($B245,tablero!$S$5:$AB$201,G$4,FALSE))</f>
        <v>x</v>
      </c>
      <c r="H245" s="49" t="str">
        <f>+IF(VLOOKUP($B245,tablero!$S$5:$AB$201,H$4,FALSE)=0,"",VLOOKUP($B245,tablero!$S$5:$AB$201,H$4,FALSE))</f>
        <v/>
      </c>
      <c r="I245" s="49" t="str">
        <f>+IF(VLOOKUP($B245,tablero!$S$5:$AB$201,I$4,FALSE)=0,"",VLOOKUP($B245,tablero!$S$5:$AB$201,I$4,FALSE))</f>
        <v/>
      </c>
      <c r="J245" s="49" t="str">
        <f>+IF(VLOOKUP($B245,tablero!$S$5:$AC$201,J$4,FALSE)=0,"",VLOOKUP($B245,tablero!$S$5:$AC$201,J$4,FALSE))</f>
        <v/>
      </c>
    </row>
    <row r="246" spans="2:49" x14ac:dyDescent="0.25">
      <c r="B246" s="63" t="s">
        <v>436</v>
      </c>
      <c r="C246" s="27" t="s">
        <v>437</v>
      </c>
      <c r="E246" s="49" t="str">
        <f>+IF(VLOOKUP($B246,tablero!$S$5:$AB$201,E$4,FALSE)=0,"",VLOOKUP($B246,tablero!$S$5:$AB$201,E$4,FALSE))</f>
        <v>x</v>
      </c>
      <c r="F246" s="49" t="str">
        <f>+IF(VLOOKUP($B246,tablero!$S$5:$AB$201,F$4,FALSE)=0,"",VLOOKUP($B246,tablero!$S$5:$AB$201,F$4,FALSE))</f>
        <v>x</v>
      </c>
      <c r="G246" s="49" t="str">
        <f>+IF(VLOOKUP($B246,tablero!$S$5:$AB$201,G$4,FALSE)=0,"",VLOOKUP($B246,tablero!$S$5:$AB$201,G$4,FALSE))</f>
        <v>x</v>
      </c>
      <c r="H246" s="49" t="str">
        <f>+IF(VLOOKUP($B246,tablero!$S$5:$AB$201,H$4,FALSE)=0,"",VLOOKUP($B246,tablero!$S$5:$AB$201,H$4,FALSE))</f>
        <v/>
      </c>
      <c r="I246" s="49" t="str">
        <f>+IF(VLOOKUP($B246,tablero!$S$5:$AB$201,I$4,FALSE)=0,"",VLOOKUP($B246,tablero!$S$5:$AB$201,I$4,FALSE))</f>
        <v/>
      </c>
      <c r="J246" s="49" t="str">
        <f>+IF(VLOOKUP($B246,tablero!$S$5:$AC$201,J$4,FALSE)=0,"",VLOOKUP($B246,tablero!$S$5:$AC$201,J$4,FALSE))</f>
        <v/>
      </c>
    </row>
    <row r="247" spans="2:49" x14ac:dyDescent="0.25">
      <c r="B247" s="63" t="s">
        <v>438</v>
      </c>
      <c r="C247" s="27" t="s">
        <v>1430</v>
      </c>
      <c r="E247" s="49" t="str">
        <f>+IF(VLOOKUP($B247,tablero!$S$5:$AB$201,E$4,FALSE)=0,"",VLOOKUP($B247,tablero!$S$5:$AB$201,E$4,FALSE))</f>
        <v>x</v>
      </c>
      <c r="F247" s="49" t="str">
        <f>+IF(VLOOKUP($B247,tablero!$S$5:$AB$201,F$4,FALSE)=0,"",VLOOKUP($B247,tablero!$S$5:$AB$201,F$4,FALSE))</f>
        <v/>
      </c>
      <c r="G247" s="49" t="str">
        <f>+IF(VLOOKUP($B247,tablero!$S$5:$AB$201,G$4,FALSE)=0,"",VLOOKUP($B247,tablero!$S$5:$AB$201,G$4,FALSE))</f>
        <v/>
      </c>
      <c r="H247" s="49" t="str">
        <f>+IF(VLOOKUP($B247,tablero!$S$5:$AB$201,H$4,FALSE)=0,"",VLOOKUP($B247,tablero!$S$5:$AB$201,H$4,FALSE))</f>
        <v/>
      </c>
      <c r="I247" s="49" t="str">
        <f>+IF(VLOOKUP($B247,tablero!$S$5:$AB$201,I$4,FALSE)=0,"",VLOOKUP($B247,tablero!$S$5:$AB$201,I$4,FALSE))</f>
        <v/>
      </c>
      <c r="J247" s="49" t="str">
        <f>+IF(VLOOKUP($B247,tablero!$S$5:$AC$201,J$4,FALSE)=0,"",VLOOKUP($B247,tablero!$S$5:$AC$201,J$4,FALSE))</f>
        <v/>
      </c>
    </row>
    <row r="248" spans="2:49" x14ac:dyDescent="0.25">
      <c r="B248" s="63" t="s">
        <v>439</v>
      </c>
      <c r="C248" s="27" t="s">
        <v>440</v>
      </c>
      <c r="E248" s="49" t="str">
        <f>+IF(VLOOKUP($B248,tablero!$S$5:$AB$201,E$4,FALSE)=0,"",VLOOKUP($B248,tablero!$S$5:$AB$201,E$4,FALSE))</f>
        <v>x</v>
      </c>
      <c r="F248" s="49" t="str">
        <f>+IF(VLOOKUP($B248,tablero!$S$5:$AB$201,F$4,FALSE)=0,"",VLOOKUP($B248,tablero!$S$5:$AB$201,F$4,FALSE))</f>
        <v>x</v>
      </c>
      <c r="G248" s="49" t="s">
        <v>1564</v>
      </c>
      <c r="H248" s="49" t="str">
        <f>+IF(VLOOKUP($B248,tablero!$S$5:$AB$201,H$4,FALSE)=0,"",VLOOKUP($B248,tablero!$S$5:$AB$201,H$4,FALSE))</f>
        <v/>
      </c>
      <c r="I248" s="49" t="str">
        <f>+IF(VLOOKUP($B248,tablero!$S$5:$AB$201,I$4,FALSE)=0,"",VLOOKUP($B248,tablero!$S$5:$AB$201,I$4,FALSE))</f>
        <v/>
      </c>
      <c r="J248" s="49" t="str">
        <f>+IF(VLOOKUP($B248,tablero!$S$5:$AC$201,J$4,FALSE)=0,"",VLOOKUP($B248,tablero!$S$5:$AC$201,J$4,FALSE))</f>
        <v/>
      </c>
    </row>
    <row r="249" spans="2:49" x14ac:dyDescent="0.25">
      <c r="B249" s="63" t="s">
        <v>1878</v>
      </c>
      <c r="C249" s="135" t="s">
        <v>2008</v>
      </c>
      <c r="E249" s="49" t="s">
        <v>1564</v>
      </c>
      <c r="F249" s="49"/>
      <c r="G249" s="49"/>
      <c r="H249" s="49"/>
      <c r="I249" s="49"/>
      <c r="J249" s="49"/>
    </row>
    <row r="250" spans="2:49" x14ac:dyDescent="0.25">
      <c r="B250" s="46"/>
      <c r="F250" s="43" t="s">
        <v>500</v>
      </c>
      <c r="G250" s="43" t="s">
        <v>500</v>
      </c>
      <c r="H250" s="43" t="s">
        <v>500</v>
      </c>
      <c r="I250" s="43" t="s">
        <v>500</v>
      </c>
    </row>
    <row r="251" spans="2:49" ht="12.75" x14ac:dyDescent="0.25">
      <c r="B251" s="25" t="s">
        <v>441</v>
      </c>
      <c r="F251" s="43" t="s">
        <v>500</v>
      </c>
      <c r="G251" s="43" t="s">
        <v>500</v>
      </c>
      <c r="H251" s="43" t="s">
        <v>500</v>
      </c>
      <c r="I251" s="43" t="s">
        <v>500</v>
      </c>
    </row>
    <row r="252" spans="2:49" s="40" customFormat="1" ht="15" x14ac:dyDescent="0.25">
      <c r="B252" s="51" t="s">
        <v>442</v>
      </c>
      <c r="C252" s="52"/>
      <c r="D252" s="45"/>
      <c r="E252" s="316" t="s">
        <v>1563</v>
      </c>
      <c r="F252" s="316"/>
      <c r="G252" s="316"/>
      <c r="H252" s="316"/>
      <c r="I252" s="316"/>
      <c r="J252" s="316"/>
      <c r="AF252" s="41"/>
      <c r="AG252" s="41"/>
      <c r="AH252" s="41"/>
      <c r="AI252" s="41"/>
      <c r="AJ252" s="41"/>
      <c r="AK252" s="41"/>
      <c r="AL252" s="41"/>
      <c r="AM252" s="41"/>
      <c r="AN252" s="41"/>
      <c r="AO252" s="41"/>
      <c r="AP252" s="41"/>
      <c r="AQ252" s="41"/>
      <c r="AR252" s="41"/>
      <c r="AS252" s="41"/>
      <c r="AT252" s="41"/>
      <c r="AU252" s="41"/>
      <c r="AV252" s="41"/>
      <c r="AW252" s="41"/>
    </row>
    <row r="253" spans="2:49" ht="12.75" x14ac:dyDescent="0.25">
      <c r="B253" s="53" t="s">
        <v>443</v>
      </c>
      <c r="C253" s="54"/>
      <c r="E253" s="47" t="s">
        <v>1558</v>
      </c>
      <c r="F253" s="48" t="s">
        <v>1559</v>
      </c>
      <c r="G253" s="48" t="s">
        <v>1560</v>
      </c>
      <c r="H253" s="48" t="s">
        <v>1561</v>
      </c>
      <c r="I253" s="48" t="s">
        <v>1562</v>
      </c>
      <c r="J253" s="48" t="s">
        <v>1572</v>
      </c>
    </row>
    <row r="254" spans="2:49" ht="24" x14ac:dyDescent="0.25">
      <c r="B254" s="63" t="s">
        <v>444</v>
      </c>
      <c r="C254" s="27" t="s">
        <v>445</v>
      </c>
      <c r="E254" s="49" t="str">
        <f>+IF(VLOOKUP($B254,tablero!$S$5:$AB$201,E$4,FALSE)=0,"",VLOOKUP($B254,tablero!$S$5:$AB$201,E$4,FALSE))</f>
        <v>x</v>
      </c>
      <c r="F254" s="49" t="str">
        <f>+IF(VLOOKUP($B254,tablero!$S$5:$AB$201,F$4,FALSE)=0,"",VLOOKUP($B254,tablero!$S$5:$AB$201,F$4,FALSE))</f>
        <v>x</v>
      </c>
      <c r="G254" s="49" t="str">
        <f>+IF(VLOOKUP($B254,tablero!$S$5:$AB$201,G$4,FALSE)=0,"",VLOOKUP($B254,tablero!$S$5:$AB$201,G$4,FALSE))</f>
        <v/>
      </c>
      <c r="H254" s="49" t="str">
        <f>+IF(VLOOKUP($B254,tablero!$S$5:$AB$201,H$4,FALSE)=0,"",VLOOKUP($B254,tablero!$S$5:$AB$201,H$4,FALSE))</f>
        <v>x</v>
      </c>
      <c r="I254" s="49" t="str">
        <f>+IF(VLOOKUP($B254,tablero!$S$5:$AB$201,I$4,FALSE)=0,"",VLOOKUP($B254,tablero!$S$5:$AB$201,I$4,FALSE))</f>
        <v>x</v>
      </c>
      <c r="J254" s="49" t="str">
        <f>+IF(VLOOKUP($B254,tablero!$S$5:$AC$201,J$4,FALSE)=0,"",VLOOKUP($B254,tablero!$S$5:$AC$201,J$4,FALSE))</f>
        <v/>
      </c>
    </row>
    <row r="255" spans="2:49" x14ac:dyDescent="0.25">
      <c r="B255" s="63" t="s">
        <v>446</v>
      </c>
      <c r="C255" s="27" t="s">
        <v>2168</v>
      </c>
      <c r="E255" s="49" t="str">
        <f>+IF(VLOOKUP($B255,tablero!$S$5:$AB$201,E$4,FALSE)=0,"",VLOOKUP($B255,tablero!$S$5:$AB$201,E$4,FALSE))</f>
        <v>x</v>
      </c>
      <c r="F255" s="49" t="str">
        <f>+IF(VLOOKUP($B255,tablero!$S$5:$AB$201,F$4,FALSE)=0,"",VLOOKUP($B255,tablero!$S$5:$AB$201,F$4,FALSE))</f>
        <v>x</v>
      </c>
      <c r="G255" s="49" t="str">
        <f>+IF(VLOOKUP($B255,tablero!$S$5:$AB$201,G$4,FALSE)=0,"",VLOOKUP($B255,tablero!$S$5:$AB$201,G$4,FALSE))</f>
        <v/>
      </c>
      <c r="H255" s="49" t="str">
        <f>+IF(VLOOKUP($B255,tablero!$S$5:$AB$201,H$4,FALSE)=0,"",VLOOKUP($B255,tablero!$S$5:$AB$201,H$4,FALSE))</f>
        <v>x</v>
      </c>
      <c r="I255" s="49" t="str">
        <f>+IF(VLOOKUP($B255,tablero!$S$5:$AB$201,I$4,FALSE)=0,"",VLOOKUP($B255,tablero!$S$5:$AB$201,I$4,FALSE))</f>
        <v>x</v>
      </c>
      <c r="J255" s="49" t="s">
        <v>1564</v>
      </c>
    </row>
    <row r="256" spans="2:49" x14ac:dyDescent="0.25">
      <c r="B256" s="63" t="s">
        <v>447</v>
      </c>
      <c r="C256" s="27" t="s">
        <v>448</v>
      </c>
      <c r="E256" s="49" t="str">
        <f>+IF(VLOOKUP($B256,tablero!$S$5:$AB$201,E$4,FALSE)=0,"",VLOOKUP($B256,tablero!$S$5:$AB$201,E$4,FALSE))</f>
        <v>x</v>
      </c>
      <c r="F256" s="49" t="str">
        <f>+IF(VLOOKUP($B256,tablero!$S$5:$AB$201,F$4,FALSE)=0,"",VLOOKUP($B256,tablero!$S$5:$AB$201,F$4,FALSE))</f>
        <v>x</v>
      </c>
      <c r="G256" s="49" t="str">
        <f>+IF(VLOOKUP($B256,tablero!$S$5:$AB$201,G$4,FALSE)=0,"",VLOOKUP($B256,tablero!$S$5:$AB$201,G$4,FALSE))</f>
        <v/>
      </c>
      <c r="H256" s="49" t="str">
        <f>+IF(VLOOKUP($B256,tablero!$S$5:$AB$201,H$4,FALSE)=0,"",VLOOKUP($B256,tablero!$S$5:$AB$201,H$4,FALSE))</f>
        <v>x</v>
      </c>
      <c r="I256" s="49" t="str">
        <f>+IF(VLOOKUP($B256,tablero!$S$5:$AB$201,I$4,FALSE)=0,"",VLOOKUP($B256,tablero!$S$5:$AB$201,I$4,FALSE))</f>
        <v>x</v>
      </c>
      <c r="J256" s="49" t="str">
        <f>+IF(VLOOKUP($B256,tablero!$S$5:$AC$201,J$4,FALSE)=0,"",VLOOKUP($B256,tablero!$S$5:$AC$201,J$4,FALSE))</f>
        <v/>
      </c>
    </row>
    <row r="257" spans="2:49" x14ac:dyDescent="0.25">
      <c r="B257" s="63" t="s">
        <v>449</v>
      </c>
      <c r="C257" s="27" t="s">
        <v>450</v>
      </c>
      <c r="E257" s="49" t="str">
        <f>+IF(VLOOKUP($B257,tablero!$S$5:$AB$201,E$4,FALSE)=0,"",VLOOKUP($B257,tablero!$S$5:$AB$201,E$4,FALSE))</f>
        <v>x</v>
      </c>
      <c r="F257" s="49" t="str">
        <f>+IF(VLOOKUP($B257,tablero!$S$5:$AB$201,F$4,FALSE)=0,"",VLOOKUP($B257,tablero!$S$5:$AB$201,F$4,FALSE))</f>
        <v/>
      </c>
      <c r="G257" s="49" t="str">
        <f>+IF(VLOOKUP($B257,tablero!$S$5:$AB$201,G$4,FALSE)=0,"",VLOOKUP($B257,tablero!$S$5:$AB$201,G$4,FALSE))</f>
        <v/>
      </c>
      <c r="H257" s="49" t="str">
        <f>+IF(VLOOKUP($B257,tablero!$S$5:$AB$201,H$4,FALSE)=0,"",VLOOKUP($B257,tablero!$S$5:$AB$201,H$4,FALSE))</f>
        <v>x</v>
      </c>
      <c r="I257" s="49" t="str">
        <f>+IF(VLOOKUP($B257,tablero!$S$5:$AB$201,I$4,FALSE)=0,"",VLOOKUP($B257,tablero!$S$5:$AB$201,I$4,FALSE))</f>
        <v>x</v>
      </c>
      <c r="J257" s="49" t="str">
        <f>+IF(VLOOKUP($B257,tablero!$S$5:$AC$201,J$4,FALSE)=0,"",VLOOKUP($B257,tablero!$S$5:$AC$201,J$4,FALSE))</f>
        <v/>
      </c>
    </row>
    <row r="258" spans="2:49" x14ac:dyDescent="0.25">
      <c r="B258" s="63" t="s">
        <v>451</v>
      </c>
      <c r="C258" s="27" t="s">
        <v>1885</v>
      </c>
      <c r="E258" s="49" t="str">
        <f>+IF(VLOOKUP($B258,tablero!$S$5:$AB$201,E$4,FALSE)=0,"",VLOOKUP($B258,tablero!$S$5:$AB$201,E$4,FALSE))</f>
        <v>x</v>
      </c>
      <c r="F258" s="49" t="str">
        <f>+IF(VLOOKUP($B258,tablero!$S$5:$AB$201,F$4,FALSE)=0,"",VLOOKUP($B258,tablero!$S$5:$AB$201,F$4,FALSE))</f>
        <v/>
      </c>
      <c r="G258" s="49" t="str">
        <f>+IF(VLOOKUP($B258,tablero!$S$5:$AB$201,G$4,FALSE)=0,"",VLOOKUP($B258,tablero!$S$5:$AB$201,G$4,FALSE))</f>
        <v/>
      </c>
      <c r="H258" s="49" t="str">
        <f>+IF(VLOOKUP($B258,tablero!$S$5:$AB$201,H$4,FALSE)=0,"",VLOOKUP($B258,tablero!$S$5:$AB$201,H$4,FALSE))</f>
        <v>x</v>
      </c>
      <c r="I258" s="49" t="str">
        <f>+IF(VLOOKUP($B258,tablero!$S$5:$AB$201,I$4,FALSE)=0,"",VLOOKUP($B258,tablero!$S$5:$AB$201,I$4,FALSE))</f>
        <v>x</v>
      </c>
      <c r="J258" s="49" t="str">
        <f>+IF(VLOOKUP($B258,tablero!$S$5:$AC$201,J$4,FALSE)=0,"",VLOOKUP($B258,tablero!$S$5:$AC$201,J$4,FALSE))</f>
        <v/>
      </c>
    </row>
    <row r="259" spans="2:49" ht="24" x14ac:dyDescent="0.25">
      <c r="B259" s="63" t="s">
        <v>452</v>
      </c>
      <c r="C259" s="27" t="s">
        <v>453</v>
      </c>
      <c r="E259" s="49" t="str">
        <f>+IF(VLOOKUP($B259,tablero!$S$5:$AB$201,E$4,FALSE)=0,"",VLOOKUP($B259,tablero!$S$5:$AB$201,E$4,FALSE))</f>
        <v>x</v>
      </c>
      <c r="F259" s="49" t="str">
        <f>+IF(VLOOKUP($B259,tablero!$S$5:$AB$201,F$4,FALSE)=0,"",VLOOKUP($B259,tablero!$S$5:$AB$201,F$4,FALSE))</f>
        <v/>
      </c>
      <c r="G259" s="49" t="str">
        <f>+IF(VLOOKUP($B259,tablero!$S$5:$AB$201,G$4,FALSE)=0,"",VLOOKUP($B259,tablero!$S$5:$AB$201,G$4,FALSE))</f>
        <v/>
      </c>
      <c r="H259" s="49" t="str">
        <f>+IF(VLOOKUP($B259,tablero!$S$5:$AB$201,H$4,FALSE)=0,"",VLOOKUP($B259,tablero!$S$5:$AB$201,H$4,FALSE))</f>
        <v>x</v>
      </c>
      <c r="I259" s="49" t="str">
        <f>+IF(VLOOKUP($B259,tablero!$S$5:$AB$201,I$4,FALSE)=0,"",VLOOKUP($B259,tablero!$S$5:$AB$201,I$4,FALSE))</f>
        <v>x</v>
      </c>
      <c r="J259" s="49" t="str">
        <f>+IF(VLOOKUP($B259,tablero!$S$5:$AC$201,J$4,FALSE)=0,"",VLOOKUP($B259,tablero!$S$5:$AC$201,J$4,FALSE))</f>
        <v/>
      </c>
    </row>
    <row r="260" spans="2:49" x14ac:dyDescent="0.25">
      <c r="B260" s="63" t="s">
        <v>1365</v>
      </c>
      <c r="C260" s="27" t="s">
        <v>1355</v>
      </c>
      <c r="E260" s="49" t="str">
        <f>+IF(VLOOKUP($B260,tablero!$S$5:$AB$201,E$4,FALSE)=0,"",VLOOKUP($B260,tablero!$S$5:$AB$201,E$4,FALSE))</f>
        <v>x</v>
      </c>
      <c r="F260" s="49" t="str">
        <f>+IF(VLOOKUP($B260,tablero!$S$5:$AB$201,F$4,FALSE)=0,"",VLOOKUP($B260,tablero!$S$5:$AB$201,F$4,FALSE))</f>
        <v/>
      </c>
      <c r="G260" s="49" t="str">
        <f>+IF(VLOOKUP($B260,tablero!$S$5:$AB$201,G$4,FALSE)=0,"",VLOOKUP($B260,tablero!$S$5:$AB$201,G$4,FALSE))</f>
        <v/>
      </c>
      <c r="H260" s="49" t="str">
        <f>+IF(VLOOKUP($B260,tablero!$S$5:$AB$201,H$4,FALSE)=0,"",VLOOKUP($B260,tablero!$S$5:$AB$201,H$4,FALSE))</f>
        <v/>
      </c>
      <c r="I260" s="49" t="str">
        <f>+IF(VLOOKUP($B260,tablero!$S$5:$AB$201,I$4,FALSE)=0,"",VLOOKUP($B260,tablero!$S$5:$AB$201,I$4,FALSE))</f>
        <v/>
      </c>
      <c r="J260" s="49" t="str">
        <f>+IF(VLOOKUP($B260,tablero!$S$5:$AC$201,J$4,FALSE)=0,"",VLOOKUP($B260,tablero!$S$5:$AC$201,J$4,FALSE))</f>
        <v/>
      </c>
    </row>
    <row r="261" spans="2:49" x14ac:dyDescent="0.25">
      <c r="B261" s="46"/>
      <c r="F261" s="43" t="s">
        <v>500</v>
      </c>
      <c r="G261" s="43" t="s">
        <v>500</v>
      </c>
      <c r="H261" s="43" t="s">
        <v>500</v>
      </c>
      <c r="I261" s="43" t="s">
        <v>500</v>
      </c>
    </row>
    <row r="262" spans="2:49" ht="12.75" x14ac:dyDescent="0.25">
      <c r="B262" s="25" t="s">
        <v>454</v>
      </c>
      <c r="F262" s="43" t="s">
        <v>500</v>
      </c>
      <c r="G262" s="43" t="s">
        <v>500</v>
      </c>
      <c r="H262" s="43" t="s">
        <v>500</v>
      </c>
      <c r="I262" s="43" t="s">
        <v>500</v>
      </c>
    </row>
    <row r="263" spans="2:49" s="40" customFormat="1" ht="15" x14ac:dyDescent="0.25">
      <c r="B263" s="51" t="s">
        <v>455</v>
      </c>
      <c r="C263" s="52"/>
      <c r="D263" s="45"/>
      <c r="E263" s="316" t="s">
        <v>1563</v>
      </c>
      <c r="F263" s="316"/>
      <c r="G263" s="316"/>
      <c r="H263" s="316"/>
      <c r="I263" s="316"/>
      <c r="J263" s="316"/>
      <c r="AF263" s="41"/>
      <c r="AG263" s="41"/>
      <c r="AH263" s="41"/>
      <c r="AI263" s="41"/>
      <c r="AJ263" s="41"/>
      <c r="AK263" s="41"/>
      <c r="AL263" s="41"/>
      <c r="AM263" s="41"/>
      <c r="AN263" s="41"/>
      <c r="AO263" s="41"/>
      <c r="AP263" s="41"/>
      <c r="AQ263" s="41"/>
      <c r="AR263" s="41"/>
      <c r="AS263" s="41"/>
      <c r="AT263" s="41"/>
      <c r="AU263" s="41"/>
      <c r="AV263" s="41"/>
      <c r="AW263" s="41"/>
    </row>
    <row r="264" spans="2:49" ht="12.75" x14ac:dyDescent="0.25">
      <c r="B264" s="53" t="s">
        <v>456</v>
      </c>
      <c r="C264" s="54"/>
      <c r="E264" s="47" t="s">
        <v>1558</v>
      </c>
      <c r="F264" s="48" t="s">
        <v>1559</v>
      </c>
      <c r="G264" s="48" t="s">
        <v>1560</v>
      </c>
      <c r="H264" s="48" t="s">
        <v>1561</v>
      </c>
      <c r="I264" s="48" t="s">
        <v>1562</v>
      </c>
      <c r="J264" s="48" t="s">
        <v>1572</v>
      </c>
    </row>
    <row r="265" spans="2:49" x14ac:dyDescent="0.25">
      <c r="B265" s="63" t="s">
        <v>457</v>
      </c>
      <c r="C265" s="27" t="s">
        <v>458</v>
      </c>
      <c r="E265" s="49" t="str">
        <f>+IF(VLOOKUP($B265,tablero!$S$5:$AB$201,E$4,FALSE)=0,"",VLOOKUP($B265,tablero!$S$5:$AB$201,E$4,FALSE))</f>
        <v>x</v>
      </c>
      <c r="F265" s="49" t="str">
        <f>+IF(VLOOKUP($B265,tablero!$S$5:$AB$201,F$4,FALSE)=0,"",VLOOKUP($B265,tablero!$S$5:$AB$201,F$4,FALSE))</f>
        <v/>
      </c>
      <c r="G265" s="49" t="str">
        <f>+IF(VLOOKUP($B265,tablero!$S$5:$AB$201,G$4,FALSE)=0,"",VLOOKUP($B265,tablero!$S$5:$AB$201,G$4,FALSE))</f>
        <v/>
      </c>
      <c r="H265" s="49" t="str">
        <f>+IF(VLOOKUP($B265,tablero!$S$5:$AB$201,H$4,FALSE)=0,"",VLOOKUP($B265,tablero!$S$5:$AB$201,H$4,FALSE))</f>
        <v>x</v>
      </c>
      <c r="I265" s="49" t="str">
        <f>+IF(VLOOKUP($B265,tablero!$S$5:$AB$201,I$4,FALSE)=0,"",VLOOKUP($B265,tablero!$S$5:$AB$201,I$4,FALSE))</f>
        <v>x</v>
      </c>
      <c r="J265" s="49" t="str">
        <f>+IF(VLOOKUP($B265,tablero!$S$5:$AC$201,J$4,FALSE)=0,"",VLOOKUP($B265,tablero!$S$5:$AC$201,J$4,FALSE))</f>
        <v/>
      </c>
    </row>
    <row r="266" spans="2:49" x14ac:dyDescent="0.25">
      <c r="B266" s="63" t="s">
        <v>459</v>
      </c>
      <c r="C266" s="27" t="s">
        <v>460</v>
      </c>
      <c r="E266" s="49" t="str">
        <f>+IF(VLOOKUP($B266,tablero!$S$5:$AB$201,E$4,FALSE)=0,"",VLOOKUP($B266,tablero!$S$5:$AB$201,E$4,FALSE))</f>
        <v>x</v>
      </c>
      <c r="F266" s="49" t="str">
        <f>+IF(VLOOKUP($B266,tablero!$S$5:$AB$201,F$4,FALSE)=0,"",VLOOKUP($B266,tablero!$S$5:$AB$201,F$4,FALSE))</f>
        <v/>
      </c>
      <c r="G266" s="49" t="str">
        <f>+IF(VLOOKUP($B266,tablero!$S$5:$AB$201,G$4,FALSE)=0,"",VLOOKUP($B266,tablero!$S$5:$AB$201,G$4,FALSE))</f>
        <v/>
      </c>
      <c r="H266" s="49" t="str">
        <f>+IF(VLOOKUP($B266,tablero!$S$5:$AB$201,H$4,FALSE)=0,"",VLOOKUP($B266,tablero!$S$5:$AB$201,H$4,FALSE))</f>
        <v>x</v>
      </c>
      <c r="I266" s="49" t="str">
        <f>+IF(VLOOKUP($B266,tablero!$S$5:$AB$201,I$4,FALSE)=0,"",VLOOKUP($B266,tablero!$S$5:$AB$201,I$4,FALSE))</f>
        <v>x</v>
      </c>
      <c r="J266" s="49" t="str">
        <f>+IF(VLOOKUP($B266,tablero!$S$5:$AC$201,J$4,FALSE)=0,"",VLOOKUP($B266,tablero!$S$5:$AC$201,J$4,FALSE))</f>
        <v/>
      </c>
    </row>
    <row r="267" spans="2:49" x14ac:dyDescent="0.25">
      <c r="B267" s="63" t="s">
        <v>461</v>
      </c>
      <c r="C267" s="27" t="s">
        <v>462</v>
      </c>
      <c r="E267" s="49" t="str">
        <f>+IF(VLOOKUP($B267,tablero!$S$5:$AB$201,E$4,FALSE)=0,"",VLOOKUP($B267,tablero!$S$5:$AB$201,E$4,FALSE))</f>
        <v>x</v>
      </c>
      <c r="F267" s="49" t="str">
        <f>+IF(VLOOKUP($B267,tablero!$S$5:$AB$201,F$4,FALSE)=0,"",VLOOKUP($B267,tablero!$S$5:$AB$201,F$4,FALSE))</f>
        <v>x</v>
      </c>
      <c r="G267" s="49" t="str">
        <f>+IF(VLOOKUP($B267,tablero!$S$5:$AB$201,G$4,FALSE)=0,"",VLOOKUP($B267,tablero!$S$5:$AB$201,G$4,FALSE))</f>
        <v>x</v>
      </c>
      <c r="H267" s="49" t="str">
        <f>+IF(VLOOKUP($B267,tablero!$S$5:$AB$201,H$4,FALSE)=0,"",VLOOKUP($B267,tablero!$S$5:$AB$201,H$4,FALSE))</f>
        <v>x</v>
      </c>
      <c r="I267" s="49" t="str">
        <f>+IF(VLOOKUP($B267,tablero!$S$5:$AB$201,I$4,FALSE)=0,"",VLOOKUP($B267,tablero!$S$5:$AB$201,I$4,FALSE))</f>
        <v/>
      </c>
      <c r="J267" s="49" t="str">
        <f>+IF(VLOOKUP($B267,tablero!$S$5:$AC$201,J$4,FALSE)=0,"",VLOOKUP($B267,tablero!$S$5:$AC$201,J$4,FALSE))</f>
        <v/>
      </c>
    </row>
    <row r="268" spans="2:49" x14ac:dyDescent="0.25">
      <c r="B268" s="63" t="s">
        <v>463</v>
      </c>
      <c r="C268" s="27" t="s">
        <v>464</v>
      </c>
      <c r="E268" s="49" t="str">
        <f>+IF(VLOOKUP($B268,tablero!$S$5:$AB$201,E$4,FALSE)=0,"",VLOOKUP($B268,tablero!$S$5:$AB$201,E$4,FALSE))</f>
        <v>x</v>
      </c>
      <c r="F268" s="49" t="str">
        <f>+IF(VLOOKUP($B268,tablero!$S$5:$AB$201,F$4,FALSE)=0,"",VLOOKUP($B268,tablero!$S$5:$AB$201,F$4,FALSE))</f>
        <v/>
      </c>
      <c r="G268" s="49" t="str">
        <f>+IF(VLOOKUP($B268,tablero!$S$5:$AB$201,G$4,FALSE)=0,"",VLOOKUP($B268,tablero!$S$5:$AB$201,G$4,FALSE))</f>
        <v/>
      </c>
      <c r="H268" s="49" t="str">
        <f>+IF(VLOOKUP($B268,tablero!$S$5:$AB$201,H$4,FALSE)=0,"",VLOOKUP($B268,tablero!$S$5:$AB$201,H$4,FALSE))</f>
        <v/>
      </c>
      <c r="I268" s="49" t="str">
        <f>+IF(VLOOKUP($B268,tablero!$S$5:$AB$201,I$4,FALSE)=0,"",VLOOKUP($B268,tablero!$S$5:$AB$201,I$4,FALSE))</f>
        <v/>
      </c>
      <c r="J268" s="49" t="str">
        <f>+IF(VLOOKUP($B268,tablero!$S$5:$AC$201,J$4,FALSE)=0,"",VLOOKUP($B268,tablero!$S$5:$AC$201,J$4,FALSE))</f>
        <v/>
      </c>
    </row>
    <row r="269" spans="2:49" x14ac:dyDescent="0.25">
      <c r="B269" s="64" t="s">
        <v>465</v>
      </c>
      <c r="C269" s="62" t="s">
        <v>466</v>
      </c>
      <c r="E269" s="49" t="str">
        <f>+IF(VLOOKUP($B269,tablero!$S$5:$AB$201,E$4,FALSE)=0,"",VLOOKUP($B269,tablero!$S$5:$AB$201,E$4,FALSE))</f>
        <v>x</v>
      </c>
      <c r="F269" s="49" t="str">
        <f>+IF(VLOOKUP($B269,tablero!$S$5:$AB$201,F$4,FALSE)=0,"",VLOOKUP($B269,tablero!$S$5:$AB$201,F$4,FALSE))</f>
        <v/>
      </c>
      <c r="G269" s="49" t="str">
        <f>+IF(VLOOKUP($B269,tablero!$S$5:$AB$201,G$4,FALSE)=0,"",VLOOKUP($B269,tablero!$S$5:$AB$201,G$4,FALSE))</f>
        <v/>
      </c>
      <c r="H269" s="49" t="str">
        <f>+IF(VLOOKUP($B269,tablero!$S$5:$AB$201,H$4,FALSE)=0,"",VLOOKUP($B269,tablero!$S$5:$AB$201,H$4,FALSE))</f>
        <v/>
      </c>
      <c r="I269" s="49" t="str">
        <f>+IF(VLOOKUP($B269,tablero!$S$5:$AB$201,I$4,FALSE)=0,"",VLOOKUP($B269,tablero!$S$5:$AB$201,I$4,FALSE))</f>
        <v/>
      </c>
      <c r="J269" s="49" t="str">
        <f>+IF(VLOOKUP($B269,tablero!$S$5:$AC$201,J$4,FALSE)=0,"",VLOOKUP($B269,tablero!$S$5:$AC$201,J$4,FALSE))</f>
        <v/>
      </c>
    </row>
    <row r="270" spans="2:49" ht="12.75" x14ac:dyDescent="0.25">
      <c r="B270" s="53" t="s">
        <v>467</v>
      </c>
      <c r="C270" s="54"/>
      <c r="E270" s="47" t="s">
        <v>1558</v>
      </c>
      <c r="F270" s="48" t="s">
        <v>1559</v>
      </c>
      <c r="G270" s="48" t="s">
        <v>1560</v>
      </c>
      <c r="H270" s="48" t="s">
        <v>1561</v>
      </c>
      <c r="I270" s="48" t="s">
        <v>1562</v>
      </c>
      <c r="J270" s="48" t="s">
        <v>1572</v>
      </c>
    </row>
    <row r="271" spans="2:49" x14ac:dyDescent="0.25">
      <c r="B271" s="63" t="s">
        <v>468</v>
      </c>
      <c r="C271" s="27" t="s">
        <v>469</v>
      </c>
      <c r="E271" s="49" t="str">
        <f>+IF(VLOOKUP($B271,tablero!$S$5:$AB$201,E$4,FALSE)=0,"",VLOOKUP($B271,tablero!$S$5:$AB$201,E$4,FALSE))</f>
        <v>x</v>
      </c>
      <c r="F271" s="49" t="str">
        <f>+IF(VLOOKUP($B271,tablero!$S$5:$AB$201,F$4,FALSE)=0,"",VLOOKUP($B271,tablero!$S$5:$AB$201,F$4,FALSE))</f>
        <v/>
      </c>
      <c r="G271" s="49" t="str">
        <f>+IF(VLOOKUP($B271,tablero!$S$5:$AB$201,G$4,FALSE)=0,"",VLOOKUP($B271,tablero!$S$5:$AB$201,G$4,FALSE))</f>
        <v/>
      </c>
      <c r="H271" s="49" t="str">
        <f>+IF(VLOOKUP($B271,tablero!$S$5:$AB$201,H$4,FALSE)=0,"",VLOOKUP($B271,tablero!$S$5:$AB$201,H$4,FALSE))</f>
        <v>x</v>
      </c>
      <c r="I271" s="49" t="str">
        <f>+IF(VLOOKUP($B271,tablero!$S$5:$AB$201,I$4,FALSE)=0,"",VLOOKUP($B271,tablero!$S$5:$AB$201,I$4,FALSE))</f>
        <v>x</v>
      </c>
      <c r="J271" s="49" t="str">
        <f>+IF(VLOOKUP($B271,tablero!$S$5:$AC$201,J$4,FALSE)=0,"",VLOOKUP($B271,tablero!$S$5:$AC$201,J$4,FALSE))</f>
        <v/>
      </c>
    </row>
    <row r="272" spans="2:49" x14ac:dyDescent="0.25">
      <c r="B272" s="63" t="s">
        <v>470</v>
      </c>
      <c r="C272" s="27" t="s">
        <v>471</v>
      </c>
      <c r="E272" s="49" t="str">
        <f>+IF(VLOOKUP($B272,tablero!$S$5:$AB$201,E$4,FALSE)=0,"",VLOOKUP($B272,tablero!$S$5:$AB$201,E$4,FALSE))</f>
        <v>x</v>
      </c>
      <c r="F272" s="49" t="str">
        <f>+IF(VLOOKUP($B272,tablero!$S$5:$AB$201,F$4,FALSE)=0,"",VLOOKUP($B272,tablero!$S$5:$AB$201,F$4,FALSE))</f>
        <v/>
      </c>
      <c r="G272" s="49" t="str">
        <f>+IF(VLOOKUP($B272,tablero!$S$5:$AB$201,G$4,FALSE)=0,"",VLOOKUP($B272,tablero!$S$5:$AB$201,G$4,FALSE))</f>
        <v/>
      </c>
      <c r="H272" s="49" t="str">
        <f>+IF(VLOOKUP($B272,tablero!$S$5:$AB$201,H$4,FALSE)=0,"",VLOOKUP($B272,tablero!$S$5:$AB$201,H$4,FALSE))</f>
        <v>x</v>
      </c>
      <c r="I272" s="49" t="str">
        <f>+IF(VLOOKUP($B272,tablero!$S$5:$AB$201,I$4,FALSE)=0,"",VLOOKUP($B272,tablero!$S$5:$AB$201,I$4,FALSE))</f>
        <v>x</v>
      </c>
      <c r="J272" s="49" t="str">
        <f>+IF(VLOOKUP($B272,tablero!$S$5:$AC$201,J$4,FALSE)=0,"",VLOOKUP($B272,tablero!$S$5:$AC$201,J$4,FALSE))</f>
        <v/>
      </c>
    </row>
    <row r="273" spans="2:49" x14ac:dyDescent="0.25">
      <c r="B273" s="63" t="s">
        <v>472</v>
      </c>
      <c r="C273" s="27" t="s">
        <v>1662</v>
      </c>
      <c r="E273" s="49" t="str">
        <f>+IF(VLOOKUP($B273,tablero!$S$5:$AB$201,E$4,FALSE)=0,"",VLOOKUP($B273,tablero!$S$5:$AB$201,E$4,FALSE))</f>
        <v>x</v>
      </c>
      <c r="F273" s="49" t="str">
        <f>+IF(VLOOKUP($B273,tablero!$S$5:$AB$201,F$4,FALSE)=0,"",VLOOKUP($B273,tablero!$S$5:$AB$201,F$4,FALSE))</f>
        <v/>
      </c>
      <c r="G273" s="49" t="str">
        <f>+IF(VLOOKUP($B273,tablero!$S$5:$AB$201,G$4,FALSE)=0,"",VLOOKUP($B273,tablero!$S$5:$AB$201,G$4,FALSE))</f>
        <v/>
      </c>
      <c r="H273" s="49" t="str">
        <f>+IF(VLOOKUP($B273,tablero!$S$5:$AB$201,H$4,FALSE)=0,"",VLOOKUP($B273,tablero!$S$5:$AB$201,H$4,FALSE))</f>
        <v>x</v>
      </c>
      <c r="I273" s="49" t="str">
        <f>+IF(VLOOKUP($B273,tablero!$S$5:$AB$201,I$4,FALSE)=0,"",VLOOKUP($B273,tablero!$S$5:$AB$201,I$4,FALSE))</f>
        <v>x</v>
      </c>
      <c r="J273" s="49" t="str">
        <f>+IF(VLOOKUP($B273,tablero!$S$5:$AC$201,J$4,FALSE)=0,"",VLOOKUP($B273,tablero!$S$5:$AC$201,J$4,FALSE))</f>
        <v/>
      </c>
    </row>
    <row r="274" spans="2:49" x14ac:dyDescent="0.25">
      <c r="B274" s="63" t="s">
        <v>473</v>
      </c>
      <c r="C274" s="27" t="s">
        <v>1471</v>
      </c>
      <c r="E274" s="49" t="str">
        <f>+IF(VLOOKUP($B274,tablero!$S$5:$AB$201,E$4,FALSE)=0,"",VLOOKUP($B274,tablero!$S$5:$AB$201,E$4,FALSE))</f>
        <v>x</v>
      </c>
      <c r="F274" s="49" t="str">
        <f>+IF(VLOOKUP($B274,tablero!$S$5:$AB$201,F$4,FALSE)=0,"",VLOOKUP($B274,tablero!$S$5:$AB$201,F$4,FALSE))</f>
        <v/>
      </c>
      <c r="G274" s="49" t="str">
        <f>+IF(VLOOKUP($B274,tablero!$S$5:$AB$201,G$4,FALSE)=0,"",VLOOKUP($B274,tablero!$S$5:$AB$201,G$4,FALSE))</f>
        <v/>
      </c>
      <c r="H274" s="49" t="str">
        <f>+IF(VLOOKUP($B274,tablero!$S$5:$AB$201,H$4,FALSE)=0,"",VLOOKUP($B274,tablero!$S$5:$AB$201,H$4,FALSE))</f>
        <v>x</v>
      </c>
      <c r="I274" s="49" t="str">
        <f>+IF(VLOOKUP($B274,tablero!$S$5:$AB$201,I$4,FALSE)=0,"",VLOOKUP($B274,tablero!$S$5:$AB$201,I$4,FALSE))</f>
        <v/>
      </c>
      <c r="J274" s="49" t="str">
        <f>+IF(VLOOKUP($B274,tablero!$S$5:$AC$201,J$4,FALSE)=0,"",VLOOKUP($B274,tablero!$S$5:$AC$201,J$4,FALSE))</f>
        <v/>
      </c>
    </row>
    <row r="275" spans="2:49" x14ac:dyDescent="0.25">
      <c r="B275" s="46"/>
      <c r="F275" s="43" t="s">
        <v>500</v>
      </c>
      <c r="G275" s="43" t="s">
        <v>500</v>
      </c>
      <c r="H275" s="43" t="s">
        <v>500</v>
      </c>
      <c r="I275" s="43" t="s">
        <v>500</v>
      </c>
    </row>
    <row r="276" spans="2:49" ht="12.75" x14ac:dyDescent="0.25">
      <c r="B276" s="25" t="s">
        <v>474</v>
      </c>
      <c r="F276" s="43" t="s">
        <v>500</v>
      </c>
      <c r="G276" s="43" t="s">
        <v>500</v>
      </c>
      <c r="H276" s="43" t="s">
        <v>500</v>
      </c>
      <c r="I276" s="43" t="s">
        <v>500</v>
      </c>
    </row>
    <row r="277" spans="2:49" s="40" customFormat="1" ht="15" x14ac:dyDescent="0.25">
      <c r="B277" s="51" t="s">
        <v>475</v>
      </c>
      <c r="C277" s="52"/>
      <c r="D277" s="45"/>
      <c r="E277" s="316" t="s">
        <v>1563</v>
      </c>
      <c r="F277" s="316"/>
      <c r="G277" s="316"/>
      <c r="H277" s="316"/>
      <c r="I277" s="316"/>
      <c r="J277" s="316"/>
      <c r="AF277" s="41"/>
      <c r="AG277" s="41"/>
      <c r="AH277" s="41"/>
      <c r="AI277" s="41"/>
      <c r="AJ277" s="41"/>
      <c r="AK277" s="41"/>
      <c r="AL277" s="41"/>
      <c r="AM277" s="41"/>
      <c r="AN277" s="41"/>
      <c r="AO277" s="41"/>
      <c r="AP277" s="41"/>
      <c r="AQ277" s="41"/>
      <c r="AR277" s="41"/>
      <c r="AS277" s="41"/>
      <c r="AT277" s="41"/>
      <c r="AU277" s="41"/>
      <c r="AV277" s="41"/>
      <c r="AW277" s="41"/>
    </row>
    <row r="278" spans="2:49" ht="12.75" x14ac:dyDescent="0.25">
      <c r="B278" s="53" t="s">
        <v>476</v>
      </c>
      <c r="C278" s="54"/>
      <c r="E278" s="47" t="s">
        <v>1558</v>
      </c>
      <c r="F278" s="48" t="s">
        <v>1559</v>
      </c>
      <c r="G278" s="48" t="s">
        <v>1560</v>
      </c>
      <c r="H278" s="48" t="s">
        <v>1561</v>
      </c>
      <c r="I278" s="48" t="s">
        <v>1562</v>
      </c>
      <c r="J278" s="48" t="s">
        <v>1572</v>
      </c>
    </row>
    <row r="279" spans="2:49" x14ac:dyDescent="0.25">
      <c r="B279" s="63" t="s">
        <v>477</v>
      </c>
      <c r="C279" s="27" t="s">
        <v>478</v>
      </c>
      <c r="E279" s="49" t="str">
        <f>+IF(VLOOKUP($B279,tablero!$S$5:$AB$201,E$4,FALSE)=0,"",VLOOKUP($B279,tablero!$S$5:$AB$201,E$4,FALSE))</f>
        <v>x</v>
      </c>
      <c r="F279" s="49" t="str">
        <f>+IF(VLOOKUP($B279,tablero!$S$5:$AB$201,F$4,FALSE)=0,"",VLOOKUP($B279,tablero!$S$5:$AB$201,F$4,FALSE))</f>
        <v/>
      </c>
      <c r="G279" s="49" t="str">
        <f>+IF(VLOOKUP($B279,tablero!$S$5:$AB$201,G$4,FALSE)=0,"",VLOOKUP($B279,tablero!$S$5:$AB$201,G$4,FALSE))</f>
        <v/>
      </c>
      <c r="H279" s="49" t="str">
        <f>+IF(VLOOKUP($B279,tablero!$S$5:$AB$201,H$4,FALSE)=0,"",VLOOKUP($B279,tablero!$S$5:$AB$201,H$4,FALSE))</f>
        <v>x</v>
      </c>
      <c r="I279" s="49" t="str">
        <f>+IF(VLOOKUP($B279,tablero!$S$5:$AB$201,I$4,FALSE)=0,"",VLOOKUP($B279,tablero!$S$5:$AB$201,I$4,FALSE))</f>
        <v>x</v>
      </c>
      <c r="J279" s="49" t="str">
        <f>+IF(VLOOKUP($B279,tablero!$S$5:$AC$201,J$4,FALSE)=0,"",VLOOKUP($B279,tablero!$S$5:$AC$201,J$4,FALSE))</f>
        <v/>
      </c>
    </row>
    <row r="280" spans="2:49" x14ac:dyDescent="0.25">
      <c r="B280" s="63" t="s">
        <v>479</v>
      </c>
      <c r="C280" s="27" t="s">
        <v>1544</v>
      </c>
      <c r="E280" s="49" t="str">
        <f>+IF(VLOOKUP($B280,tablero!$S$5:$AB$201,E$4,FALSE)=0,"",VLOOKUP($B280,tablero!$S$5:$AB$201,E$4,FALSE))</f>
        <v>x</v>
      </c>
      <c r="F280" s="49" t="str">
        <f>+IF(VLOOKUP($B280,tablero!$S$5:$AB$201,F$4,FALSE)=0,"",VLOOKUP($B280,tablero!$S$5:$AB$201,F$4,FALSE))</f>
        <v/>
      </c>
      <c r="G280" s="49" t="str">
        <f>+IF(VLOOKUP($B280,tablero!$S$5:$AB$201,G$4,FALSE)=0,"",VLOOKUP($B280,tablero!$S$5:$AB$201,G$4,FALSE))</f>
        <v/>
      </c>
      <c r="H280" s="49" t="str">
        <f>+IF(VLOOKUP($B280,tablero!$S$5:$AB$201,H$4,FALSE)=0,"",VLOOKUP($B280,tablero!$S$5:$AB$201,H$4,FALSE))</f>
        <v>x</v>
      </c>
      <c r="I280" s="49" t="str">
        <f>+IF(VLOOKUP($B280,tablero!$S$5:$AB$201,I$4,FALSE)=0,"",VLOOKUP($B280,tablero!$S$5:$AB$201,I$4,FALSE))</f>
        <v>x</v>
      </c>
      <c r="J280" s="49" t="str">
        <f>+IF(VLOOKUP($B280,tablero!$S$5:$AC$201,J$4,FALSE)=0,"",VLOOKUP($B280,tablero!$S$5:$AC$201,J$4,FALSE))</f>
        <v/>
      </c>
    </row>
    <row r="281" spans="2:49" ht="24" x14ac:dyDescent="0.25">
      <c r="B281" s="63" t="s">
        <v>480</v>
      </c>
      <c r="C281" s="27" t="s">
        <v>1538</v>
      </c>
      <c r="E281" s="49" t="str">
        <f>+IF(VLOOKUP($B281,tablero!$S$5:$AB$201,E$4,FALSE)=0,"",VLOOKUP($B281,tablero!$S$5:$AB$201,E$4,FALSE))</f>
        <v>x</v>
      </c>
      <c r="F281" s="49" t="str">
        <f>+IF(VLOOKUP($B281,tablero!$S$5:$AB$201,F$4,FALSE)=0,"",VLOOKUP($B281,tablero!$S$5:$AB$201,F$4,FALSE))</f>
        <v/>
      </c>
      <c r="G281" s="49" t="str">
        <f>+IF(VLOOKUP($B281,tablero!$S$5:$AB$201,G$4,FALSE)=0,"",VLOOKUP($B281,tablero!$S$5:$AB$201,G$4,FALSE))</f>
        <v/>
      </c>
      <c r="H281" s="49" t="str">
        <f>+IF(VLOOKUP($B281,tablero!$S$5:$AB$201,H$4,FALSE)=0,"",VLOOKUP($B281,tablero!$S$5:$AB$201,H$4,FALSE))</f>
        <v>x</v>
      </c>
      <c r="I281" s="49" t="str">
        <f>+IF(VLOOKUP($B281,tablero!$S$5:$AB$201,I$4,FALSE)=0,"",VLOOKUP($B281,tablero!$S$5:$AB$201,I$4,FALSE))</f>
        <v/>
      </c>
      <c r="J281" s="49" t="str">
        <f>+IF(VLOOKUP($B281,tablero!$S$5:$AC$201,J$4,FALSE)=0,"",VLOOKUP($B281,tablero!$S$5:$AC$201,J$4,FALSE))</f>
        <v/>
      </c>
    </row>
    <row r="282" spans="2:49" hidden="1" x14ac:dyDescent="0.25">
      <c r="B282" s="63" t="s">
        <v>1639</v>
      </c>
      <c r="C282" s="27" t="s">
        <v>1355</v>
      </c>
      <c r="E282" s="49" t="e">
        <f>+IF(VLOOKUP($B282,tablero!$S$5:$AB$201,E$4,FALSE)=0,"",VLOOKUP($B282,tablero!$S$5:$AB$201,E$4,FALSE))</f>
        <v>#N/A</v>
      </c>
      <c r="F282" s="49" t="e">
        <f>+IF(VLOOKUP($B282,tablero!$S$5:$AB$201,F$4,FALSE)=0,"",VLOOKUP($B282,tablero!$S$5:$AB$201,F$4,FALSE))</f>
        <v>#N/A</v>
      </c>
      <c r="G282" s="49" t="e">
        <f>+IF(VLOOKUP($B282,tablero!$S$5:$AB$201,G$4,FALSE)=0,"",VLOOKUP($B282,tablero!$S$5:$AB$201,G$4,FALSE))</f>
        <v>#N/A</v>
      </c>
      <c r="H282" s="49" t="e">
        <f>+IF(VLOOKUP($B282,tablero!$S$5:$AB$201,H$4,FALSE)=0,"",VLOOKUP($B282,tablero!$S$5:$AB$201,H$4,FALSE))</f>
        <v>#N/A</v>
      </c>
      <c r="I282" s="49" t="e">
        <f>+IF(VLOOKUP($B282,tablero!$S$5:$AB$201,I$4,FALSE)=0,"",VLOOKUP($B282,tablero!$S$5:$AB$201,I$4,FALSE))</f>
        <v>#N/A</v>
      </c>
      <c r="J282" s="49" t="e">
        <f>+IF(VLOOKUP($B282,tablero!$S$5:$AC$201,J$4,FALSE)=0,"",VLOOKUP($B282,tablero!$S$5:$AC$201,J$4,FALSE))</f>
        <v>#N/A</v>
      </c>
    </row>
    <row r="283" spans="2:49" ht="24" x14ac:dyDescent="0.25">
      <c r="B283" s="63" t="s">
        <v>481</v>
      </c>
      <c r="C283" s="27" t="s">
        <v>1533</v>
      </c>
      <c r="E283" s="49" t="str">
        <f>+IF(VLOOKUP($B283,tablero!$S$5:$AB$201,E$4,FALSE)=0,"",VLOOKUP($B283,tablero!$S$5:$AB$201,E$4,FALSE))</f>
        <v>x</v>
      </c>
      <c r="F283" s="49" t="str">
        <f>+IF(VLOOKUP($B283,tablero!$S$5:$AB$201,F$4,FALSE)=0,"",VLOOKUP($B283,tablero!$S$5:$AB$201,F$4,FALSE))</f>
        <v/>
      </c>
      <c r="G283" s="49" t="str">
        <f>+IF(VLOOKUP($B283,tablero!$S$5:$AB$201,G$4,FALSE)=0,"",VLOOKUP($B283,tablero!$S$5:$AB$201,G$4,FALSE))</f>
        <v/>
      </c>
      <c r="H283" s="49" t="str">
        <f>+IF(VLOOKUP($B283,tablero!$S$5:$AB$201,H$4,FALSE)=0,"",VLOOKUP($B283,tablero!$S$5:$AB$201,H$4,FALSE))</f>
        <v>x</v>
      </c>
      <c r="I283" s="49" t="str">
        <f>+IF(VLOOKUP($B283,tablero!$S$5:$AB$201,I$4,FALSE)=0,"",VLOOKUP($B283,tablero!$S$5:$AB$201,I$4,FALSE))</f>
        <v>x</v>
      </c>
      <c r="J283" s="49" t="str">
        <f>+IF(VLOOKUP($B283,tablero!$S$5:$AC$201,J$4,FALSE)=0,"",VLOOKUP($B283,tablero!$S$5:$AC$201,J$4,FALSE))</f>
        <v/>
      </c>
    </row>
    <row r="284" spans="2:49" x14ac:dyDescent="0.25">
      <c r="B284" s="61"/>
    </row>
  </sheetData>
  <mergeCells count="19">
    <mergeCell ref="E277:J277"/>
    <mergeCell ref="E206:J206"/>
    <mergeCell ref="E217:J217"/>
    <mergeCell ref="E225:J225"/>
    <mergeCell ref="E238:J238"/>
    <mergeCell ref="E252:J252"/>
    <mergeCell ref="E263:J263"/>
    <mergeCell ref="E187:J187"/>
    <mergeCell ref="E196:J196"/>
    <mergeCell ref="E111:J111"/>
    <mergeCell ref="B1:J2"/>
    <mergeCell ref="K1:M3"/>
    <mergeCell ref="E5:J5"/>
    <mergeCell ref="E29:J29"/>
    <mergeCell ref="E45:J45"/>
    <mergeCell ref="E54:J54"/>
    <mergeCell ref="E77:J77"/>
    <mergeCell ref="E172:J172"/>
    <mergeCell ref="E181:J181"/>
  </mergeCells>
  <conditionalFormatting sqref="K7:K25 K27:K41 K43:K50 K52:K72 K75:K95 K98:K125 K127:K131 K133:K145 K147:K165 K167:K192 K194:K202 K204:K213 K215:K221 K223:K232 K234:K248 K261:K281 K283 K250:K259">
    <cfRule type="cellIs" dxfId="3512" priority="57" operator="equal">
      <formula>"mensual"</formula>
    </cfRule>
  </conditionalFormatting>
  <conditionalFormatting sqref="L7:L25 L27:L41 L43:L50 L52:L72 L75:L95 L98:L125 L127:L131 L133:L145 L147:L165 L167:L192 L194:L202 L204:L213 L215:L221 L223:L232 L234:L248 L261:L281 L283:L284 L250:L259">
    <cfRule type="cellIs" dxfId="3511" priority="55" operator="equal">
      <formula>"febrero"</formula>
    </cfRule>
    <cfRule type="cellIs" dxfId="3510" priority="56" operator="equal">
      <formula>"enero"</formula>
    </cfRule>
  </conditionalFormatting>
  <conditionalFormatting sqref="K26">
    <cfRule type="cellIs" dxfId="3509" priority="54" operator="equal">
      <formula>"mensual"</formula>
    </cfRule>
  </conditionalFormatting>
  <conditionalFormatting sqref="L26">
    <cfRule type="cellIs" dxfId="3508" priority="52" operator="equal">
      <formula>"febrero"</formula>
    </cfRule>
    <cfRule type="cellIs" dxfId="3507" priority="53" operator="equal">
      <formula>"enero"</formula>
    </cfRule>
  </conditionalFormatting>
  <conditionalFormatting sqref="K42">
    <cfRule type="cellIs" dxfId="3506" priority="51" operator="equal">
      <formula>"mensual"</formula>
    </cfRule>
  </conditionalFormatting>
  <conditionalFormatting sqref="L42">
    <cfRule type="cellIs" dxfId="3505" priority="49" operator="equal">
      <formula>"febrero"</formula>
    </cfRule>
    <cfRule type="cellIs" dxfId="3504" priority="50" operator="equal">
      <formula>"enero"</formula>
    </cfRule>
  </conditionalFormatting>
  <conditionalFormatting sqref="K51">
    <cfRule type="cellIs" dxfId="3503" priority="48" operator="equal">
      <formula>"mensual"</formula>
    </cfRule>
  </conditionalFormatting>
  <conditionalFormatting sqref="L51">
    <cfRule type="cellIs" dxfId="3502" priority="46" operator="equal">
      <formula>"febrero"</formula>
    </cfRule>
    <cfRule type="cellIs" dxfId="3501" priority="47" operator="equal">
      <formula>"enero"</formula>
    </cfRule>
  </conditionalFormatting>
  <conditionalFormatting sqref="K73">
    <cfRule type="cellIs" dxfId="3500" priority="45" operator="equal">
      <formula>"mensual"</formula>
    </cfRule>
  </conditionalFormatting>
  <conditionalFormatting sqref="L73">
    <cfRule type="cellIs" dxfId="3499" priority="43" operator="equal">
      <formula>"febrero"</formula>
    </cfRule>
    <cfRule type="cellIs" dxfId="3498" priority="44" operator="equal">
      <formula>"enero"</formula>
    </cfRule>
  </conditionalFormatting>
  <conditionalFormatting sqref="K96:K97">
    <cfRule type="cellIs" dxfId="3497" priority="42" operator="equal">
      <formula>"mensual"</formula>
    </cfRule>
  </conditionalFormatting>
  <conditionalFormatting sqref="L96:L97">
    <cfRule type="cellIs" dxfId="3496" priority="40" operator="equal">
      <formula>"febrero"</formula>
    </cfRule>
    <cfRule type="cellIs" dxfId="3495" priority="41" operator="equal">
      <formula>"enero"</formula>
    </cfRule>
  </conditionalFormatting>
  <conditionalFormatting sqref="K126">
    <cfRule type="cellIs" dxfId="3494" priority="39" operator="equal">
      <formula>"mensual"</formula>
    </cfRule>
  </conditionalFormatting>
  <conditionalFormatting sqref="L126">
    <cfRule type="cellIs" dxfId="3493" priority="37" operator="equal">
      <formula>"febrero"</formula>
    </cfRule>
    <cfRule type="cellIs" dxfId="3492" priority="38" operator="equal">
      <formula>"enero"</formula>
    </cfRule>
  </conditionalFormatting>
  <conditionalFormatting sqref="K132">
    <cfRule type="cellIs" dxfId="3491" priority="36" operator="equal">
      <formula>"mensual"</formula>
    </cfRule>
  </conditionalFormatting>
  <conditionalFormatting sqref="L132">
    <cfRule type="cellIs" dxfId="3490" priority="34" operator="equal">
      <formula>"febrero"</formula>
    </cfRule>
    <cfRule type="cellIs" dxfId="3489" priority="35" operator="equal">
      <formula>"enero"</formula>
    </cfRule>
  </conditionalFormatting>
  <conditionalFormatting sqref="K146">
    <cfRule type="cellIs" dxfId="3488" priority="33" operator="equal">
      <formula>"mensual"</formula>
    </cfRule>
  </conditionalFormatting>
  <conditionalFormatting sqref="L146">
    <cfRule type="cellIs" dxfId="3487" priority="31" operator="equal">
      <formula>"febrero"</formula>
    </cfRule>
    <cfRule type="cellIs" dxfId="3486" priority="32" operator="equal">
      <formula>"enero"</formula>
    </cfRule>
  </conditionalFormatting>
  <conditionalFormatting sqref="K166">
    <cfRule type="cellIs" dxfId="3485" priority="30" operator="equal">
      <formula>"mensual"</formula>
    </cfRule>
  </conditionalFormatting>
  <conditionalFormatting sqref="L166">
    <cfRule type="cellIs" dxfId="3484" priority="28" operator="equal">
      <formula>"febrero"</formula>
    </cfRule>
    <cfRule type="cellIs" dxfId="3483" priority="29" operator="equal">
      <formula>"enero"</formula>
    </cfRule>
  </conditionalFormatting>
  <conditionalFormatting sqref="K193">
    <cfRule type="cellIs" dxfId="3482" priority="27" operator="equal">
      <formula>"mensual"</formula>
    </cfRule>
  </conditionalFormatting>
  <conditionalFormatting sqref="L193">
    <cfRule type="cellIs" dxfId="3481" priority="25" operator="equal">
      <formula>"febrero"</formula>
    </cfRule>
    <cfRule type="cellIs" dxfId="3480" priority="26" operator="equal">
      <formula>"enero"</formula>
    </cfRule>
  </conditionalFormatting>
  <conditionalFormatting sqref="K203">
    <cfRule type="cellIs" dxfId="3479" priority="24" operator="equal">
      <formula>"mensual"</formula>
    </cfRule>
  </conditionalFormatting>
  <conditionalFormatting sqref="L203">
    <cfRule type="cellIs" dxfId="3478" priority="22" operator="equal">
      <formula>"febrero"</formula>
    </cfRule>
    <cfRule type="cellIs" dxfId="3477" priority="23" operator="equal">
      <formula>"enero"</formula>
    </cfRule>
  </conditionalFormatting>
  <conditionalFormatting sqref="K214">
    <cfRule type="cellIs" dxfId="3476" priority="21" operator="equal">
      <formula>"mensual"</formula>
    </cfRule>
  </conditionalFormatting>
  <conditionalFormatting sqref="L214">
    <cfRule type="cellIs" dxfId="3475" priority="19" operator="equal">
      <formula>"febrero"</formula>
    </cfRule>
    <cfRule type="cellIs" dxfId="3474" priority="20" operator="equal">
      <formula>"enero"</formula>
    </cfRule>
  </conditionalFormatting>
  <conditionalFormatting sqref="K222">
    <cfRule type="cellIs" dxfId="3473" priority="18" operator="equal">
      <formula>"mensual"</formula>
    </cfRule>
  </conditionalFormatting>
  <conditionalFormatting sqref="L222">
    <cfRule type="cellIs" dxfId="3472" priority="16" operator="equal">
      <formula>"febrero"</formula>
    </cfRule>
    <cfRule type="cellIs" dxfId="3471" priority="17" operator="equal">
      <formula>"enero"</formula>
    </cfRule>
  </conditionalFormatting>
  <conditionalFormatting sqref="K233">
    <cfRule type="cellIs" dxfId="3470" priority="15" operator="equal">
      <formula>"mensual"</formula>
    </cfRule>
  </conditionalFormatting>
  <conditionalFormatting sqref="L233">
    <cfRule type="cellIs" dxfId="3469" priority="13" operator="equal">
      <formula>"febrero"</formula>
    </cfRule>
    <cfRule type="cellIs" dxfId="3468" priority="14" operator="equal">
      <formula>"enero"</formula>
    </cfRule>
  </conditionalFormatting>
  <conditionalFormatting sqref="K260">
    <cfRule type="cellIs" dxfId="3467" priority="12" operator="equal">
      <formula>"mensual"</formula>
    </cfRule>
  </conditionalFormatting>
  <conditionalFormatting sqref="L260">
    <cfRule type="cellIs" dxfId="3466" priority="10" operator="equal">
      <formula>"febrero"</formula>
    </cfRule>
    <cfRule type="cellIs" dxfId="3465" priority="11" operator="equal">
      <formula>"enero"</formula>
    </cfRule>
  </conditionalFormatting>
  <conditionalFormatting sqref="K282">
    <cfRule type="cellIs" dxfId="3464" priority="9" operator="equal">
      <formula>"mensual"</formula>
    </cfRule>
  </conditionalFormatting>
  <conditionalFormatting sqref="L282">
    <cfRule type="cellIs" dxfId="3463" priority="7" operator="equal">
      <formula>"febrero"</formula>
    </cfRule>
    <cfRule type="cellIs" dxfId="3462" priority="8" operator="equal">
      <formula>"enero"</formula>
    </cfRule>
  </conditionalFormatting>
  <conditionalFormatting sqref="K249">
    <cfRule type="cellIs" dxfId="3461" priority="6" operator="equal">
      <formula>"mensual"</formula>
    </cfRule>
  </conditionalFormatting>
  <conditionalFormatting sqref="L249">
    <cfRule type="cellIs" dxfId="3460" priority="4" operator="equal">
      <formula>"febrero"</formula>
    </cfRule>
    <cfRule type="cellIs" dxfId="3459" priority="5" operator="equal">
      <formula>"enero"</formula>
    </cfRule>
  </conditionalFormatting>
  <conditionalFormatting sqref="K74">
    <cfRule type="cellIs" dxfId="3458" priority="3" operator="equal">
      <formula>"mensual"</formula>
    </cfRule>
  </conditionalFormatting>
  <conditionalFormatting sqref="L74">
    <cfRule type="cellIs" dxfId="3457" priority="1" operator="equal">
      <formula>"febrero"</formula>
    </cfRule>
    <cfRule type="cellIs" dxfId="3456" priority="2" operator="equal">
      <formula>"enero"</formula>
    </cfRule>
  </conditionalFormatting>
  <hyperlinks>
    <hyperlink ref="B7" location="'PA-01'!A1" display="PA-01"/>
    <hyperlink ref="B8" location="'PA-02'!A1" display="PA-02"/>
    <hyperlink ref="B9" location="'PA-03'!A1" display="PA-03"/>
    <hyperlink ref="B10" location="'PA-04'!A1" display="PA-04"/>
    <hyperlink ref="B11" location="'PA-05'!A1" display="PA-05"/>
    <hyperlink ref="B12" location="'PA-06'!A1" display="PA-06"/>
    <hyperlink ref="B13" location="'PA-07'!A1" display="PA-07"/>
    <hyperlink ref="B14" location="'PA-08'!A1" display="PA-08"/>
    <hyperlink ref="B15" location="'PA-09'!A1" display="PA-09"/>
    <hyperlink ref="B16" location="'PA-10'!A1" display="PA-10"/>
    <hyperlink ref="B17" location="'MPM1-01'!A1" display="MPM1-01"/>
    <hyperlink ref="B18" location="'MPM1-02'!A1" display="MPM1-02"/>
    <hyperlink ref="B19" location="'MPM1-03'!A1" display="MPM1-03"/>
    <hyperlink ref="B20" location="'MPM1-04'!A1" display="MPM1-04"/>
    <hyperlink ref="B21" location="'MPM1-05'!A1" display="MPM1-05"/>
    <hyperlink ref="B22" location="'MPM1-06'!A1" display="MPM1-06"/>
    <hyperlink ref="B23" location="'MPM1-07'!A1" display="MPM1-07"/>
    <hyperlink ref="B24" location="'MPM1-08'!A1" display="MPM1-08"/>
    <hyperlink ref="B25" location="'MPM1-09'!A1" display="MPM1-09"/>
    <hyperlink ref="B31" location="'PA-11'!A1" display="PA-11"/>
    <hyperlink ref="B32" location="'PA-12'!A1" display="PA-12"/>
    <hyperlink ref="B33" location="'PA-13'!A1" display="PA-13"/>
    <hyperlink ref="B34" location="'PA-14'!A1" display="PA-14"/>
    <hyperlink ref="B35" location="'PA-15'!A1" display="PA-15"/>
    <hyperlink ref="B36" location="'PA-16'!A1" display="PA-16"/>
    <hyperlink ref="B37" location="'PA-17'!A1" display="PA-17"/>
    <hyperlink ref="B38" location="'MPM2-01'!A1" display="MPM2-01"/>
    <hyperlink ref="B39" location="'MPM2-02'!A1" display="MPM2-02"/>
    <hyperlink ref="B40" location="'MPM2-03'!A1" display="MPM2-03"/>
    <hyperlink ref="B41" location="'MPM2-04'!A1" display="MPM2-04"/>
    <hyperlink ref="B47" location="'PA-18'!A1" display="PA-18"/>
    <hyperlink ref="B48" location="'PA-19'!A1" display="PA-19"/>
    <hyperlink ref="B49" location="'PA-20'!A1" display="PA-20"/>
    <hyperlink ref="B50" location="'PA-21'!A1" display="PA-21"/>
    <hyperlink ref="B56" location="'PA-22'!A1" display="PA-22"/>
    <hyperlink ref="B57" location="'PA-23'!A1" display="PA-23"/>
    <hyperlink ref="B58" location="'PA-24'!A1" display="PA-24"/>
    <hyperlink ref="B59" location="'PA-25'!A1" display="PA-25"/>
    <hyperlink ref="B60" location="'PA-26'!A1" display="PA-26"/>
    <hyperlink ref="B61" location="'PA-27'!A1" display="PA-27"/>
    <hyperlink ref="B62" location="'PA-28'!A1" display="PA-28"/>
    <hyperlink ref="B63" location="'PA-29'!A1" display="PA-29"/>
    <hyperlink ref="B64" location="'PA-30'!A1" display="PA-30"/>
    <hyperlink ref="B65" location="'MPM4-01'!A1" display="MPM4-01"/>
    <hyperlink ref="B66" location="'MPM4-02'!A1" display="MPM4-02"/>
    <hyperlink ref="B67" location="'MPM4-03'!A1" display="MPM4-03"/>
    <hyperlink ref="B68" location="'MPM4-04'!A1" display="MPM4-04"/>
    <hyperlink ref="B69" location="'MPM4-05'!A1" display="MPM4-05"/>
    <hyperlink ref="B70" location="'MPM4-06'!A1" display="MPM4-06"/>
    <hyperlink ref="B71" location="'MPM4-07'!A1" display="MPM4-07"/>
    <hyperlink ref="B72" location="'MPM4-08'!A1" display="MPM4-08"/>
    <hyperlink ref="B79" location="'PA-31'!A1" display="PA-31"/>
    <hyperlink ref="B80" location="'PA-32'!A1" display="PA-32"/>
    <hyperlink ref="B81" location="'PA-33'!A1" display="PA-33"/>
    <hyperlink ref="B82" location="'PA-34'!A1" display="PA-34"/>
    <hyperlink ref="B83" location="'PA-35'!A1" display="PA-35"/>
    <hyperlink ref="B84" location="'PA-36'!A1" display="PA-36"/>
    <hyperlink ref="B85" location="'PA-37'!A1" display="PA-37"/>
    <hyperlink ref="B86" location="'PA-38'!A1" display="PA-38"/>
    <hyperlink ref="B87" location="'MPM5-P1-01'!A1" display="MPM5-P1-01"/>
    <hyperlink ref="B88" location="'MPM5-P1-02'!A1" display="MPM5-P1-02"/>
    <hyperlink ref="B89" location="'MPM5-P1-03'!A1" display="MPM5-P1-03"/>
    <hyperlink ref="B90" location="'MPM5-P1-04'!A1" display="MPM5-P1-04"/>
    <hyperlink ref="B91" location="'MPM5-P1-05'!A1" display="MPM5-P1-05"/>
    <hyperlink ref="B92" location="'MPM5-P1-06'!A1" display="MPM5-P1-06"/>
    <hyperlink ref="B93" location="'MPM5-P1-07'!A1" display="MPM5-P1-07"/>
    <hyperlink ref="B94" location="'MPM5-P1-08'!A1" display="MPM5-P1-08"/>
    <hyperlink ref="B95" location="'MPM5-P1-09'!A1" display="MPM5-P1-09"/>
    <hyperlink ref="B99" location="'PA-39'!A1" display="PA-39"/>
    <hyperlink ref="B100" location="'PA-40'!A1" display="PA-40"/>
    <hyperlink ref="B101" location="'PA-41'!A1" display="PA-41"/>
    <hyperlink ref="B102" location="'MPM5-P2-01'!A1" display="MPM5-P2-01"/>
    <hyperlink ref="B104" location="'PA-42'!A1" display="PA-42"/>
    <hyperlink ref="B105" location="'PA-43'!A1" display="PA-43"/>
    <hyperlink ref="B106" location="'PA-44'!A1" display="PA-44"/>
    <hyperlink ref="B107" location="'PA-45'!A1" display="PA-45"/>
    <hyperlink ref="B108" location="'MPM5-P3-01'!A1" display="MPM5-P3-01"/>
    <hyperlink ref="B113" location="'PA-46'!A1" display="PA-46"/>
    <hyperlink ref="B114" location="'PA-47'!A1" display="PA-47"/>
    <hyperlink ref="B115" location="'PA-48'!A1" display="PA-48"/>
    <hyperlink ref="B116" location="'PA-49'!A1" display="PA-49"/>
    <hyperlink ref="B117" location="'MPA1-P1-01'!A1" display="MPA1-P1-01"/>
    <hyperlink ref="B118" location="'MPA1-P1-02'!A1" display="MPA1-P1-02"/>
    <hyperlink ref="B119" location="'MPA1-P1-03'!A1" display="MPA1-P1-03"/>
    <hyperlink ref="B120" location="'MPA1-P1-04'!A1" display="MPA1-P1-04"/>
    <hyperlink ref="B121" location="'MPA1-P1-05'!A1" display="MPA1-P1-05"/>
    <hyperlink ref="B122" location="'MPA1-P1-06'!A1" display="MPA1-P1-06"/>
    <hyperlink ref="B123" location="'MPA1-P1-07'!A1" display="MPA1-P1-07"/>
    <hyperlink ref="B124" location="'MPA1-P1-08'!A1" display="MPA1-P1-08"/>
    <hyperlink ref="B125" location="'MPA1-P1-09'!A1" display="MPA1-P1-09"/>
    <hyperlink ref="B128" location="'PA-50'!A1" display="PA-50"/>
    <hyperlink ref="B129" location="'PA-51'!A1" display="PA-51"/>
    <hyperlink ref="B130" location="'MPA1-P2-01'!A1" display="MPA1-P2-01"/>
    <hyperlink ref="B131" location="'MPA1-P2-02'!A1" display="MPA1-P2-02"/>
    <hyperlink ref="B134" location="'PA-52'!A1" display="PA-52"/>
    <hyperlink ref="B135" location="'MPA1-P3-01'!A1" display="MPA1-P3-01"/>
    <hyperlink ref="B136" location="'MPA1-P3-02'!A1" display="MPA1-P3-02"/>
    <hyperlink ref="B137" location="'MPA1-P3-03'!A1" display="MPA1-P3-03"/>
    <hyperlink ref="B138" location="'MPA1-P3-04'!A1" display="MPA1-P3-04"/>
    <hyperlink ref="B140" location="'PA-53'!A1" display="PA-53"/>
    <hyperlink ref="B141" location="'PA-54'!A1" display="PA-54"/>
    <hyperlink ref="B142" location="'PA-55'!A1" display="PA-55"/>
    <hyperlink ref="B143" location="'MPA1-P4-01'!A1" display="MPA1-P4-01"/>
    <hyperlink ref="B144" location="'MPA1-P4-02'!A1" display="MPA1-P4-02"/>
    <hyperlink ref="B145" location="'MPA1-P4-03'!A1" display="MPA1-P4-03"/>
    <hyperlink ref="B148" location="'PA-56'!A1" display="PA-56"/>
    <hyperlink ref="B149" location="'PA-57'!A1" display="PA-57"/>
    <hyperlink ref="B150" location="'PA-58'!A1" display="PA-58"/>
    <hyperlink ref="B151" location="'PA-59'!A1" display="PA-59"/>
    <hyperlink ref="B152" location="'PA-60'!A1" display="PA-60"/>
    <hyperlink ref="B153" location="'PA-61'!A1" display="PA-61"/>
    <hyperlink ref="B154" location="'PA-62'!A1" display="PA-62"/>
    <hyperlink ref="B155" location="'MPA1-P5-01'!A1" display="MPA1-P5-01"/>
    <hyperlink ref="B156" location="'MPA1-P5-02'!A1" display="MPA1-P5-02"/>
    <hyperlink ref="B157" location="'MPA1-P5-03'!A1" display="MPA1-P5-03"/>
    <hyperlink ref="B158" location="'MPA1-P5-04'!A1" display="MPA1-P5-04"/>
    <hyperlink ref="B159" location="'MPA1-P5-05'!A1" display="MPA1-P5-05"/>
    <hyperlink ref="B160" location="'MPA1-P5-06'!A1" display="MPA1-P5-06"/>
    <hyperlink ref="B161" location="'MPA1-P5-07'!A1" display="MPA1-P5-07"/>
    <hyperlink ref="B162" location="'MPA1-P5-08'!A1" display="MPA1-P5-08"/>
    <hyperlink ref="B163" location="'MPA1-P5-09'!A1" display="MPA1-P5-09"/>
    <hyperlink ref="B164" location="'MPA1-P5-10'!A1" display="MPA1-P5-10"/>
    <hyperlink ref="B165" location="'MPA1-P5-11'!A1" display="MPA1-P5-11"/>
    <hyperlink ref="B168" location="'PA-63'!A1" display="PA-63"/>
    <hyperlink ref="B169" location="'PA-64'!A1" display="PA-64"/>
    <hyperlink ref="B174" location="'PA-65'!A1" display="PA-65"/>
    <hyperlink ref="B175" location="'MPA2-01'!A1" display="MPA2-01"/>
    <hyperlink ref="B176" location="'MPA2-02'!A1" display="MPA2-02"/>
    <hyperlink ref="B177" location="'MPA2-03'!A1" display="MPA2-03"/>
    <hyperlink ref="B183" location="'PA-66'!A1" display="PA-66"/>
    <hyperlink ref="B184" location="'PA-67'!A1" display="PA-67"/>
    <hyperlink ref="B189" location="'PA-68'!A1" display="PA-68"/>
    <hyperlink ref="B190" location="'PA-69'!A1" display="PA-69"/>
    <hyperlink ref="B191" location="'PA-70'!A1" display="PA-70"/>
    <hyperlink ref="B192" location="'PA-71'!A1" display="PA-71"/>
    <hyperlink ref="B198" location="'PA-72'!A1" display="PA-72"/>
    <hyperlink ref="B199" location="'PA-73'!A1" display="PA-73"/>
    <hyperlink ref="B200" location="'PA-74'!A1" display="PA-74"/>
    <hyperlink ref="B201" location="'MPA5-P2-01'!A1" display="MPA5-P2-01"/>
    <hyperlink ref="B202" location="'MPA5-P2-02'!A1" display="MPA5-P2-02"/>
    <hyperlink ref="B208" location="'PA-75'!A1" display="PA-75"/>
    <hyperlink ref="B209" location="'PA-76'!A1" display="PA-76"/>
    <hyperlink ref="B210" location="'MPA6-01'!A1" display="MPA6-01"/>
    <hyperlink ref="B211" location="'MPA6-02'!A1" display="MPA6-02"/>
    <hyperlink ref="B212" location="'MPA6-03'!A1" display="MPA6-03"/>
    <hyperlink ref="B213" location="'MPA6-04'!A1" display="MPA6-04"/>
    <hyperlink ref="B219" location="'PA-77'!A1" display="PA-77"/>
    <hyperlink ref="B220" location="'PA-78'!A1" display="PA-78"/>
    <hyperlink ref="B221" location="'PA-79'!A1" display="PA-79"/>
    <hyperlink ref="B227" location="'PA-80'!A1" display="PA-80"/>
    <hyperlink ref="B228" location="'PA-81'!A1" display="PA-81"/>
    <hyperlink ref="B229" location="'PA-82'!A1" display="PA-82"/>
    <hyperlink ref="B230" location="'PA-83'!A1" display="PA-83"/>
    <hyperlink ref="B231" location="'PA-84'!A1" display="PA-84"/>
    <hyperlink ref="B232" location="'PA-85'!A1" display="PA-85"/>
    <hyperlink ref="B235" location="'MPE1-02'!A1" display="MPE1-02"/>
    <hyperlink ref="B240" location="'PA-86'!A1" display="PA-86"/>
    <hyperlink ref="B241" location="'PA-87'!A1" display="PA-87"/>
    <hyperlink ref="B242" location="'PA-88'!A1" display="PA-88"/>
    <hyperlink ref="B243" location="'PA-89'!A1" display="PA-89"/>
    <hyperlink ref="B244" location="'MPE2-01'!A1" display="MPE2-01"/>
    <hyperlink ref="B245" location="'MPE2-02'!A1" display="MPE2-02"/>
    <hyperlink ref="B246" location="'MPE2-03'!A1" display="MPE2-03"/>
    <hyperlink ref="B247" location="'MPE2-04'!A1" display="MPE2-04"/>
    <hyperlink ref="B248" location="'MPE2-05'!A1" display="MPE2-05"/>
    <hyperlink ref="B254" location="'PA-90'!A1" display="PA-90"/>
    <hyperlink ref="B255" location="'PA-91'!A1" display="PA-91"/>
    <hyperlink ref="B256" location="'PA-92'!A1" display="PA-92"/>
    <hyperlink ref="B257" location="'PA-93'!A1" display="PA-93"/>
    <hyperlink ref="B258" location="'PA-94'!A1" display="PA-94"/>
    <hyperlink ref="B259" location="'PA-95'!A1" display="PA-95"/>
    <hyperlink ref="B265" location="'PA-96'!A1" display="PA-96"/>
    <hyperlink ref="B266" location="'PA-97'!A1" display="PA-97"/>
    <hyperlink ref="B267" location="'PA-98'!A1" display="PA-98"/>
    <hyperlink ref="B268" location="'MPEV1-P1-01'!A1" display="MPEV1-P1-01"/>
    <hyperlink ref="B269" location="'MPEV1-P1-02'!A1" display="MPEV1-P1-02"/>
    <hyperlink ref="B271" location="'PA-99'!A1" display="PA-99"/>
    <hyperlink ref="B272" location="'PA-100'!A1" display="PA-100"/>
    <hyperlink ref="B273" location="'PA-101'!A1" display="PA-101"/>
    <hyperlink ref="B274" location="'PA-102'!A1" display="PA-102"/>
    <hyperlink ref="B279" location="'PA-103'!A1" display="PA-103"/>
    <hyperlink ref="B280" location="'PA-104'!A1" display="PA-104"/>
    <hyperlink ref="B281" location="'PA-105'!A1" display="PA-105"/>
    <hyperlink ref="B283" location="'PA-106'!A1" display="PA-106"/>
    <hyperlink ref="B26" location="'MPM1-10'!A1" display="MPM1-10"/>
    <hyperlink ref="B42" location="'MPM2-05'!A1" display="MPM2-05"/>
    <hyperlink ref="B51" location="'MPM3-01'!A1" display="MPM3-01"/>
    <hyperlink ref="B73" location="'MPM4-09'!A1" display="MPM4-09"/>
    <hyperlink ref="B96" location="'MPM5-P1-10'!A1" display="MPM5-P1-10"/>
    <hyperlink ref="B126" location="'MPA1-P1-10'!A1" display="MPA1-P1-10"/>
    <hyperlink ref="B132" location="'MPA1-P2-03'!A1" display="MPA1-P2-03"/>
    <hyperlink ref="B146" location="'MPA1-P4-04'!A1" display="MPA1-P4-04"/>
    <hyperlink ref="B166" location="'MPA1-P5-12'!A1" display="MPA1-P5-12"/>
    <hyperlink ref="B193" location="'MPA4-01'!A1" display="MPA4-01"/>
    <hyperlink ref="B203" location="'MPA5-P2-03'!A1" display="MPA5-P2-03"/>
    <hyperlink ref="B214" location="'MPA6-05'!A1" display="MPA6-05"/>
    <hyperlink ref="B222" location="'MPA7-01'!A1" display="MPA7-01"/>
    <hyperlink ref="B233" location="'MPE1-01'!A1" display="MPE1-01"/>
    <hyperlink ref="B260" location="'MPE3-01'!A1" display="MPE3-01"/>
    <hyperlink ref="B282" location="'MPEV2-P1-01'!A1" display="MPEV2-P1-01"/>
    <hyperlink ref="B249" location="'MPE2-06'!A1" display="MPE2-06"/>
    <hyperlink ref="B74" location="'MPM4-10'!Área_de_impresión" display="MPM4-10"/>
    <hyperlink ref="B97" location="'MPM5-P1-11'!A1" display="MPM5-P1-11"/>
  </hyperlinks>
  <pageMargins left="0.7" right="0.7" top="0.75" bottom="0.75" header="0.3" footer="0.3"/>
  <pageSetup orientation="portrait" horizontalDpi="4294967295" verticalDpi="4294967295"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tabColor rgb="FF0070C0"/>
  </sheetPr>
  <dimension ref="B1:AV113"/>
  <sheetViews>
    <sheetView topLeftCell="A58" zoomScaleNormal="100" workbookViewId="0">
      <selection activeCell="L80" sqref="L8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119</v>
      </c>
      <c r="O10" s="2"/>
    </row>
    <row r="11" spans="2:24" ht="3.95" customHeight="1" x14ac:dyDescent="0.25">
      <c r="B11" s="2"/>
      <c r="D11" s="6"/>
      <c r="O11" s="2"/>
    </row>
    <row r="12" spans="2:24" ht="36" customHeight="1" x14ac:dyDescent="0.25">
      <c r="B12" s="2"/>
      <c r="D12" s="338" t="s">
        <v>5</v>
      </c>
      <c r="E12" s="339"/>
      <c r="F12" s="340" t="s">
        <v>2091</v>
      </c>
      <c r="G12" s="341"/>
      <c r="H12" s="341"/>
      <c r="I12" s="341"/>
      <c r="J12" s="341"/>
      <c r="K12" s="341"/>
      <c r="L12" s="341"/>
      <c r="M12" s="342"/>
      <c r="O12" s="2"/>
      <c r="W12" s="3" t="str">
        <f>+F23</f>
        <v>Mensual</v>
      </c>
      <c r="X12" s="3" t="str">
        <f>+F71</f>
        <v>Abril</v>
      </c>
    </row>
    <row r="13" spans="2:24" ht="3.95" customHeight="1" x14ac:dyDescent="0.25">
      <c r="B13" s="2"/>
      <c r="O13" s="2"/>
    </row>
    <row r="14" spans="2:24" ht="36" customHeight="1" x14ac:dyDescent="0.25">
      <c r="B14" s="2"/>
      <c r="D14" s="338" t="s">
        <v>6</v>
      </c>
      <c r="E14" s="339"/>
      <c r="F14" s="340" t="s">
        <v>2092</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8">
        <v>8104</v>
      </c>
      <c r="G22" s="337" t="s">
        <v>9</v>
      </c>
      <c r="H22" s="337"/>
      <c r="I22" s="8">
        <v>20000</v>
      </c>
      <c r="K22" s="337" t="s">
        <v>10</v>
      </c>
      <c r="L22" s="337"/>
      <c r="M22" s="9" t="s">
        <v>496</v>
      </c>
      <c r="O22" s="2"/>
    </row>
    <row r="23" spans="2:17" ht="19.5" customHeight="1" x14ac:dyDescent="0.25">
      <c r="B23" s="2"/>
      <c r="D23" s="337" t="s">
        <v>11</v>
      </c>
      <c r="E23" s="337"/>
      <c r="F23" s="4" t="s">
        <v>84</v>
      </c>
      <c r="G23" s="337" t="s">
        <v>12</v>
      </c>
      <c r="H23" s="337"/>
      <c r="I23" s="4" t="s">
        <v>553</v>
      </c>
      <c r="K23" s="337" t="s">
        <v>13</v>
      </c>
      <c r="L23" s="337"/>
      <c r="M23" s="9" t="s">
        <v>2</v>
      </c>
      <c r="O23" s="2"/>
    </row>
    <row r="24" spans="2:17" ht="20.100000000000001" customHeight="1" x14ac:dyDescent="0.25">
      <c r="B24" s="2"/>
      <c r="D24" s="337" t="s">
        <v>14</v>
      </c>
      <c r="E24" s="337"/>
      <c r="F24" s="4" t="s">
        <v>498</v>
      </c>
      <c r="G24" s="337" t="s">
        <v>15</v>
      </c>
      <c r="H24" s="337"/>
      <c r="I24" s="4" t="s">
        <v>519</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20</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NA</v>
      </c>
    </row>
    <row r="31" spans="2:17" ht="24" customHeight="1" x14ac:dyDescent="0.25">
      <c r="B31" s="2"/>
      <c r="D31" s="347"/>
      <c r="E31" s="348"/>
      <c r="F31" s="4" t="s">
        <v>109</v>
      </c>
      <c r="G31" s="340" t="s">
        <v>110</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500</v>
      </c>
      <c r="G33" s="340"/>
      <c r="H33" s="341"/>
      <c r="I33" s="341"/>
      <c r="J33" s="341"/>
      <c r="K33" s="341"/>
      <c r="L33" s="341"/>
      <c r="M33" s="342"/>
      <c r="O33" s="2"/>
      <c r="Q33" s="3" t="str">
        <f>+IFERROR(IF(VLOOKUP(G33,base!$A$26:$C$40,3,FALSE)=F31,1,0),"")</f>
        <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1711</v>
      </c>
      <c r="G35" s="340" t="s">
        <v>1587</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501</v>
      </c>
      <c r="G45" s="340" t="s">
        <v>502</v>
      </c>
      <c r="H45" s="341"/>
      <c r="I45" s="341"/>
      <c r="J45" s="341"/>
      <c r="K45" s="341"/>
      <c r="L45" s="341"/>
      <c r="M45" s="342"/>
      <c r="O45" s="2"/>
      <c r="Q45" s="3" t="str">
        <f>+IFERROR(VLOOKUP(G45,base!$A$41:$C$45,3,FALSE),"")</f>
        <v>misional</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503</v>
      </c>
      <c r="G47" s="340" t="s">
        <v>504</v>
      </c>
      <c r="H47" s="341"/>
      <c r="I47" s="341"/>
      <c r="J47" s="341"/>
      <c r="K47" s="341"/>
      <c r="L47" s="341"/>
      <c r="M47" s="342"/>
      <c r="O47" s="2"/>
      <c r="Q47" s="3">
        <f>+IF(VLOOKUP(G47,base!$A$46:$C$66,3,FALSE)=F45,1,0)</f>
        <v>1</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535</v>
      </c>
      <c r="G49" s="340" t="s">
        <v>30</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496</v>
      </c>
      <c r="G51" s="337" t="s">
        <v>32</v>
      </c>
      <c r="H51" s="337"/>
      <c r="I51" s="8">
        <v>60000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75" customHeight="1" x14ac:dyDescent="0.25">
      <c r="B59" s="2"/>
      <c r="D59" s="337" t="s">
        <v>34</v>
      </c>
      <c r="E59" s="337"/>
      <c r="F59" s="344" t="s">
        <v>2093</v>
      </c>
      <c r="G59" s="344"/>
      <c r="H59" s="344"/>
      <c r="I59" s="344"/>
      <c r="J59" s="344"/>
      <c r="K59" s="344"/>
      <c r="L59" s="344"/>
      <c r="M59" s="344"/>
      <c r="O59" s="2"/>
    </row>
    <row r="60" spans="2:15" ht="27" customHeight="1" x14ac:dyDescent="0.25">
      <c r="B60" s="2"/>
      <c r="D60" s="359" t="s">
        <v>35</v>
      </c>
      <c r="E60" s="359"/>
      <c r="F60" s="344" t="s">
        <v>2094</v>
      </c>
      <c r="G60" s="344"/>
      <c r="H60" s="344"/>
      <c r="I60" s="344"/>
      <c r="J60" s="344"/>
      <c r="K60" s="344"/>
      <c r="L60" s="344"/>
      <c r="M60" s="344"/>
      <c r="O60" s="2"/>
    </row>
    <row r="61" spans="2:15" ht="27" customHeight="1" x14ac:dyDescent="0.25">
      <c r="B61" s="2"/>
      <c r="D61" s="359" t="s">
        <v>36</v>
      </c>
      <c r="E61" s="359"/>
      <c r="F61" s="344" t="s">
        <v>630</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43" t="s">
        <v>39</v>
      </c>
      <c r="E71" s="343"/>
      <c r="F71" s="4" t="s">
        <v>48</v>
      </c>
      <c r="G71" s="3">
        <v>4</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60" t="s">
        <v>48</v>
      </c>
      <c r="E78" s="360"/>
      <c r="F78" s="16" t="s">
        <v>500</v>
      </c>
      <c r="G78" s="16">
        <v>0.16</v>
      </c>
      <c r="H78" s="16">
        <v>0.161</v>
      </c>
      <c r="I78" s="16">
        <v>0.18</v>
      </c>
      <c r="J78" s="16">
        <v>0.18099999999999999</v>
      </c>
      <c r="K78" s="16">
        <v>0.19900000000000001</v>
      </c>
      <c r="L78" s="16">
        <v>0.2</v>
      </c>
      <c r="M78" s="16" t="s">
        <v>500</v>
      </c>
      <c r="O78" s="2"/>
      <c r="AE78" s="3" t="s">
        <v>48</v>
      </c>
      <c r="AF78" s="3">
        <v>4</v>
      </c>
      <c r="AG78" s="3">
        <f t="shared" si="0"/>
        <v>1</v>
      </c>
      <c r="AH78" s="3">
        <f>+IF(AG78=0,0,IF(AG78=1,(SUM($AG$75:AG78)-1),1))</f>
        <v>0</v>
      </c>
      <c r="AI78" s="3">
        <f t="shared" si="1"/>
        <v>0</v>
      </c>
      <c r="AJ78" s="3">
        <f t="shared" si="2"/>
        <v>1</v>
      </c>
      <c r="AK78" s="3">
        <f t="shared" si="3"/>
        <v>1</v>
      </c>
    </row>
    <row r="79" spans="2:37" x14ac:dyDescent="0.25">
      <c r="B79" s="2"/>
      <c r="D79" s="360" t="s">
        <v>49</v>
      </c>
      <c r="E79" s="360"/>
      <c r="F79" s="16" t="s">
        <v>500</v>
      </c>
      <c r="G79" s="16">
        <v>0.2</v>
      </c>
      <c r="H79" s="16">
        <v>0.20100000000000001</v>
      </c>
      <c r="I79" s="16">
        <v>0.3</v>
      </c>
      <c r="J79" s="16">
        <v>0.30099999999999999</v>
      </c>
      <c r="K79" s="16">
        <v>0.44900000000000001</v>
      </c>
      <c r="L79" s="16">
        <v>0.45</v>
      </c>
      <c r="M79" s="16"/>
      <c r="O79" s="2"/>
      <c r="AE79" s="3" t="s">
        <v>49</v>
      </c>
      <c r="AF79" s="3">
        <v>5</v>
      </c>
      <c r="AG79" s="3">
        <f t="shared" si="0"/>
        <v>1</v>
      </c>
      <c r="AH79" s="3">
        <f>+IF(AG79=0,0,IF(AG79=1,(SUM($AG$75:AG79)-1),1))</f>
        <v>1</v>
      </c>
      <c r="AI79" s="3">
        <f t="shared" si="1"/>
        <v>1</v>
      </c>
      <c r="AJ79" s="3">
        <f t="shared" si="2"/>
        <v>0</v>
      </c>
      <c r="AK79" s="3">
        <f t="shared" si="3"/>
        <v>1</v>
      </c>
    </row>
    <row r="80" spans="2:37" x14ac:dyDescent="0.25">
      <c r="B80" s="2"/>
      <c r="D80" s="360" t="s">
        <v>50</v>
      </c>
      <c r="E80" s="360"/>
      <c r="F80" s="16" t="s">
        <v>500</v>
      </c>
      <c r="G80" s="16">
        <v>0.2</v>
      </c>
      <c r="H80" s="16">
        <v>0.20100000000000001</v>
      </c>
      <c r="I80" s="16">
        <v>0.3</v>
      </c>
      <c r="J80" s="16">
        <v>0.30099999999999999</v>
      </c>
      <c r="K80" s="16">
        <v>0.44900000000000001</v>
      </c>
      <c r="L80" s="16">
        <v>0.45</v>
      </c>
      <c r="M80" s="16"/>
      <c r="O80" s="2"/>
      <c r="AE80" s="3" t="s">
        <v>50</v>
      </c>
      <c r="AF80" s="3">
        <v>6</v>
      </c>
      <c r="AG80" s="3">
        <f t="shared" si="0"/>
        <v>1</v>
      </c>
      <c r="AH80" s="3">
        <f>+IF(AG80=0,0,IF(AG80=1,(SUM($AG$75:AG80)-1),1))</f>
        <v>2</v>
      </c>
      <c r="AI80" s="3">
        <f t="shared" si="1"/>
        <v>1</v>
      </c>
      <c r="AJ80" s="3">
        <f t="shared" si="2"/>
        <v>0</v>
      </c>
      <c r="AK80" s="3">
        <f t="shared" si="3"/>
        <v>1</v>
      </c>
    </row>
    <row r="81" spans="2:37" x14ac:dyDescent="0.25">
      <c r="B81" s="2"/>
      <c r="D81" s="360" t="s">
        <v>53</v>
      </c>
      <c r="E81" s="360"/>
      <c r="F81" s="16" t="s">
        <v>500</v>
      </c>
      <c r="G81" s="16">
        <v>0.3</v>
      </c>
      <c r="H81" s="16">
        <v>0.30099999999999999</v>
      </c>
      <c r="I81" s="16">
        <v>0.4</v>
      </c>
      <c r="J81" s="16">
        <v>0.40100000000000002</v>
      </c>
      <c r="K81" s="16">
        <v>0.499</v>
      </c>
      <c r="L81" s="16">
        <v>0.5</v>
      </c>
      <c r="M81" s="16"/>
      <c r="O81" s="2"/>
      <c r="AE81" s="3" t="s">
        <v>53</v>
      </c>
      <c r="AF81" s="3">
        <v>7</v>
      </c>
      <c r="AG81" s="3">
        <f t="shared" si="0"/>
        <v>1</v>
      </c>
      <c r="AH81" s="3">
        <f>+IF(AG81=0,0,IF(AG81=1,(SUM($AG$75:AG81)-1),1))</f>
        <v>3</v>
      </c>
      <c r="AI81" s="3">
        <f t="shared" si="1"/>
        <v>1</v>
      </c>
      <c r="AJ81" s="3">
        <f t="shared" si="2"/>
        <v>0</v>
      </c>
      <c r="AK81" s="3">
        <f t="shared" si="3"/>
        <v>1</v>
      </c>
    </row>
    <row r="82" spans="2:37" x14ac:dyDescent="0.25">
      <c r="B82" s="2"/>
      <c r="D82" s="360" t="s">
        <v>54</v>
      </c>
      <c r="E82" s="360"/>
      <c r="F82" s="16" t="s">
        <v>500</v>
      </c>
      <c r="G82" s="16">
        <v>0.4</v>
      </c>
      <c r="H82" s="16">
        <v>0.40100000000000002</v>
      </c>
      <c r="I82" s="16">
        <v>0.5</v>
      </c>
      <c r="J82" s="16">
        <v>0.501</v>
      </c>
      <c r="K82" s="16">
        <v>0.64900000000000002</v>
      </c>
      <c r="L82" s="16">
        <v>0.65</v>
      </c>
      <c r="M82" s="16"/>
      <c r="O82" s="2"/>
      <c r="AE82" s="3" t="s">
        <v>54</v>
      </c>
      <c r="AF82" s="3">
        <v>8</v>
      </c>
      <c r="AG82" s="3">
        <f t="shared" si="0"/>
        <v>1</v>
      </c>
      <c r="AH82" s="3">
        <f>+IF(AG82=0,0,IF(AG82=1,(SUM($AG$75:AG82)-1),1))</f>
        <v>4</v>
      </c>
      <c r="AI82" s="3">
        <f t="shared" si="1"/>
        <v>1</v>
      </c>
      <c r="AJ82" s="3">
        <f t="shared" si="2"/>
        <v>0</v>
      </c>
      <c r="AK82" s="3">
        <f t="shared" si="3"/>
        <v>1</v>
      </c>
    </row>
    <row r="83" spans="2:37" x14ac:dyDescent="0.25">
      <c r="B83" s="2"/>
      <c r="D83" s="360" t="s">
        <v>55</v>
      </c>
      <c r="E83" s="360"/>
      <c r="F83" s="16" t="s">
        <v>500</v>
      </c>
      <c r="G83" s="16">
        <v>0.5</v>
      </c>
      <c r="H83" s="16">
        <v>0.501</v>
      </c>
      <c r="I83" s="16">
        <v>0.65</v>
      </c>
      <c r="J83" s="16">
        <v>0.65100000000000002</v>
      </c>
      <c r="K83" s="16">
        <v>0.749</v>
      </c>
      <c r="L83" s="16">
        <v>0.75</v>
      </c>
      <c r="M83" s="16"/>
      <c r="O83" s="2"/>
      <c r="AE83" s="3" t="s">
        <v>55</v>
      </c>
      <c r="AF83" s="3">
        <v>9</v>
      </c>
      <c r="AG83" s="3">
        <f t="shared" si="0"/>
        <v>1</v>
      </c>
      <c r="AH83" s="3">
        <f>+IF(AG83=0,0,IF(AG83=1,(SUM($AG$75:AG83)-1),1))</f>
        <v>5</v>
      </c>
      <c r="AI83" s="3">
        <f t="shared" si="1"/>
        <v>1</v>
      </c>
      <c r="AJ83" s="3">
        <f t="shared" si="2"/>
        <v>0</v>
      </c>
      <c r="AK83" s="3">
        <f t="shared" si="3"/>
        <v>1</v>
      </c>
    </row>
    <row r="84" spans="2:37" x14ac:dyDescent="0.25">
      <c r="B84" s="2"/>
      <c r="D84" s="360" t="s">
        <v>56</v>
      </c>
      <c r="E84" s="360"/>
      <c r="F84" s="16" t="s">
        <v>500</v>
      </c>
      <c r="G84" s="16">
        <v>0.7</v>
      </c>
      <c r="H84" s="16">
        <v>0.70099999999999996</v>
      </c>
      <c r="I84" s="16">
        <v>0.75</v>
      </c>
      <c r="J84" s="16">
        <v>0.751</v>
      </c>
      <c r="K84" s="16">
        <v>0.84899999999999998</v>
      </c>
      <c r="L84" s="16">
        <v>0.85</v>
      </c>
      <c r="M84" s="16"/>
      <c r="O84" s="2"/>
      <c r="AE84" s="3" t="s">
        <v>56</v>
      </c>
      <c r="AF84" s="3">
        <v>10</v>
      </c>
      <c r="AG84" s="3">
        <f t="shared" si="0"/>
        <v>1</v>
      </c>
      <c r="AH84" s="3">
        <f>+IF(AG84=0,0,IF(AG84=1,(SUM($AG$75:AG84)-1),1))</f>
        <v>6</v>
      </c>
      <c r="AI84" s="3">
        <f t="shared" si="1"/>
        <v>1</v>
      </c>
      <c r="AJ84" s="3">
        <f t="shared" si="2"/>
        <v>0</v>
      </c>
      <c r="AK84" s="3">
        <f t="shared" si="3"/>
        <v>1</v>
      </c>
    </row>
    <row r="85" spans="2:37" x14ac:dyDescent="0.25">
      <c r="B85" s="2"/>
      <c r="D85" s="360" t="s">
        <v>57</v>
      </c>
      <c r="E85" s="360"/>
      <c r="F85" s="16" t="s">
        <v>500</v>
      </c>
      <c r="G85" s="16">
        <v>0.8</v>
      </c>
      <c r="H85" s="16">
        <v>0.80100000000000005</v>
      </c>
      <c r="I85" s="16">
        <v>0.85</v>
      </c>
      <c r="J85" s="16">
        <v>0.85099999999999998</v>
      </c>
      <c r="K85" s="16">
        <v>0.999</v>
      </c>
      <c r="L85" s="16"/>
      <c r="M85" s="16">
        <v>1</v>
      </c>
      <c r="O85" s="2"/>
      <c r="AE85" s="3" t="s">
        <v>57</v>
      </c>
      <c r="AF85" s="3">
        <v>11</v>
      </c>
      <c r="AG85" s="3">
        <f t="shared" si="0"/>
        <v>1</v>
      </c>
      <c r="AH85" s="3">
        <f>+IF(AG85=0,0,IF(AG85=1,(SUM($AG$75:AG85)-1),1))</f>
        <v>7</v>
      </c>
      <c r="AI85" s="3">
        <f t="shared" si="1"/>
        <v>1</v>
      </c>
      <c r="AJ85" s="3">
        <f t="shared" si="2"/>
        <v>0</v>
      </c>
      <c r="AK85" s="3">
        <f t="shared" si="3"/>
        <v>1</v>
      </c>
    </row>
    <row r="86" spans="2:37" x14ac:dyDescent="0.25">
      <c r="B86" s="2"/>
      <c r="D86" s="360" t="s">
        <v>58</v>
      </c>
      <c r="E86" s="360"/>
      <c r="F86" s="16" t="s">
        <v>500</v>
      </c>
      <c r="G86" s="16">
        <v>0.8</v>
      </c>
      <c r="H86" s="16">
        <v>0.80100000000000005</v>
      </c>
      <c r="I86" s="16">
        <v>0.85</v>
      </c>
      <c r="J86" s="16">
        <v>0.85099999999999998</v>
      </c>
      <c r="K86" s="16">
        <v>0.999</v>
      </c>
      <c r="L86" s="16"/>
      <c r="M86" s="16">
        <v>1</v>
      </c>
      <c r="O86" s="2"/>
      <c r="AE86" s="3" t="s">
        <v>58</v>
      </c>
      <c r="AF86" s="65">
        <v>12</v>
      </c>
      <c r="AG86" s="3">
        <f t="shared" si="0"/>
        <v>1</v>
      </c>
      <c r="AH86" s="3">
        <f>+IF(AG86=0,0,IF(AG86=1,(SUM($AG$75:AG86)-1),1))</f>
        <v>8</v>
      </c>
      <c r="AI86" s="3">
        <f t="shared" si="1"/>
        <v>1</v>
      </c>
      <c r="AJ86" s="3">
        <f t="shared" si="2"/>
        <v>0</v>
      </c>
      <c r="AK86" s="3">
        <f t="shared" si="3"/>
        <v>1</v>
      </c>
    </row>
    <row r="87" spans="2:37" ht="3.75" customHeight="1" x14ac:dyDescent="0.25">
      <c r="B87" s="2"/>
      <c r="O87" s="2"/>
    </row>
    <row r="88" spans="2:37" ht="66" customHeight="1" x14ac:dyDescent="0.25">
      <c r="B88" s="2"/>
      <c r="D88" s="338" t="s">
        <v>59</v>
      </c>
      <c r="E88" s="339"/>
      <c r="F88" s="340" t="s">
        <v>2095</v>
      </c>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2" customHeight="1" x14ac:dyDescent="0.25">
      <c r="B97" s="2"/>
      <c r="D97" s="359" t="s">
        <v>35</v>
      </c>
      <c r="E97" s="359"/>
      <c r="F97" s="344" t="s">
        <v>2096</v>
      </c>
      <c r="G97" s="344"/>
      <c r="H97" s="344"/>
      <c r="I97" s="344"/>
      <c r="J97" s="344"/>
      <c r="K97" s="344"/>
      <c r="L97" s="344"/>
      <c r="M97" s="344"/>
      <c r="O97" s="2"/>
    </row>
    <row r="98" spans="2:15" ht="28.5" customHeight="1" x14ac:dyDescent="0.25">
      <c r="B98" s="2"/>
      <c r="D98" s="359" t="s">
        <v>36</v>
      </c>
      <c r="E98" s="359"/>
      <c r="F98" s="344" t="s">
        <v>491</v>
      </c>
      <c r="G98" s="344"/>
      <c r="H98" s="344"/>
      <c r="I98" s="344"/>
      <c r="J98" s="344"/>
      <c r="K98" s="344"/>
      <c r="L98" s="344"/>
      <c r="M98" s="344"/>
      <c r="O98" s="2"/>
    </row>
    <row r="99" spans="2:15" ht="3.95" customHeight="1" x14ac:dyDescent="0.25">
      <c r="B99" s="2"/>
      <c r="O99" s="2"/>
    </row>
    <row r="100" spans="2:15" ht="138.75" customHeight="1" x14ac:dyDescent="0.25">
      <c r="B100" s="2"/>
      <c r="D100" s="338" t="s">
        <v>62</v>
      </c>
      <c r="E100" s="339"/>
      <c r="F100" s="340" t="s">
        <v>76</v>
      </c>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1</v>
      </c>
      <c r="K102" s="20"/>
      <c r="O102" s="2"/>
    </row>
    <row r="103" spans="2:15" ht="19.5" customHeight="1" x14ac:dyDescent="0.25">
      <c r="B103" s="2"/>
      <c r="D103" s="331"/>
      <c r="E103" s="332"/>
      <c r="F103" s="19" t="s">
        <v>66</v>
      </c>
      <c r="G103" s="4" t="s">
        <v>1721</v>
      </c>
      <c r="K103" s="21"/>
      <c r="O103" s="2"/>
    </row>
    <row r="104" spans="2:15" ht="27.75" customHeight="1" x14ac:dyDescent="0.25">
      <c r="B104" s="2"/>
      <c r="D104" s="331"/>
      <c r="E104" s="332"/>
      <c r="F104" s="19" t="s">
        <v>67</v>
      </c>
      <c r="G104" s="333" t="s">
        <v>1722</v>
      </c>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69</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 xml:space="preserve">Director(a) Primera Infancia </v>
      </c>
      <c r="H108" s="334"/>
      <c r="I108" s="334"/>
      <c r="J108" s="334"/>
      <c r="K108" s="334"/>
      <c r="L108" s="334"/>
      <c r="M108" s="335"/>
      <c r="O108" s="2"/>
    </row>
    <row r="109" spans="2:15" ht="17.25" customHeight="1" x14ac:dyDescent="0.25">
      <c r="B109" s="2"/>
      <c r="D109" s="331"/>
      <c r="E109" s="332"/>
      <c r="F109" s="19" t="s">
        <v>2042</v>
      </c>
      <c r="G109" s="333" t="str">
        <f>+IF(M23="Si","Coordinador(a) Planeación y Sistemas","")</f>
        <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F51 G102">
    <cfRule type="expression" dxfId="3395" priority="29">
      <formula>+IF($F$43="no",1,0)</formula>
    </cfRule>
  </conditionalFormatting>
  <conditionalFormatting sqref="F32:M33">
    <cfRule type="expression" dxfId="3394" priority="28">
      <formula>+IF($Q$30="NA",1,0)</formula>
    </cfRule>
  </conditionalFormatting>
  <conditionalFormatting sqref="F33:M33">
    <cfRule type="expression" dxfId="3393" priority="27">
      <formula>+IF($Q$33=0,1,0)</formula>
    </cfRule>
  </conditionalFormatting>
  <conditionalFormatting sqref="F47:M47">
    <cfRule type="expression" dxfId="3392" priority="26">
      <formula>+IF($Q$47=0,1,0)</formula>
    </cfRule>
  </conditionalFormatting>
  <conditionalFormatting sqref="F73:G73">
    <cfRule type="cellIs" dxfId="3391" priority="12" operator="equal">
      <formula>"optimo"</formula>
    </cfRule>
    <cfRule type="cellIs" dxfId="3390" priority="13" operator="equal">
      <formula>"critico"</formula>
    </cfRule>
  </conditionalFormatting>
  <conditionalFormatting sqref="H73:I73">
    <cfRule type="cellIs" dxfId="3389" priority="10" operator="equal">
      <formula>"Adecuado"</formula>
    </cfRule>
    <cfRule type="cellIs" dxfId="3388" priority="11" operator="equal">
      <formula>"en riesgo"</formula>
    </cfRule>
  </conditionalFormatting>
  <conditionalFormatting sqref="J73:K73">
    <cfRule type="cellIs" dxfId="3387" priority="8" operator="equal">
      <formula>"Adecuado"</formula>
    </cfRule>
    <cfRule type="cellIs" dxfId="3386" priority="9" operator="equal">
      <formula>"en riesgo"</formula>
    </cfRule>
  </conditionalFormatting>
  <conditionalFormatting sqref="L73:M73">
    <cfRule type="cellIs" dxfId="3385" priority="6" operator="equal">
      <formula>"optimo"</formula>
    </cfRule>
    <cfRule type="cellIs" dxfId="3384" priority="7" operator="equal">
      <formula>"critico"</formula>
    </cfRule>
  </conditionalFormatting>
  <conditionalFormatting sqref="F75:M86">
    <cfRule type="expression" dxfId="3383" priority="5">
      <formula>+IF($AK75=0,1)</formula>
    </cfRule>
  </conditionalFormatting>
  <conditionalFormatting sqref="F103:G104">
    <cfRule type="expression" dxfId="3382" priority="4">
      <formula>+IF($G$102="No",1,0)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2">
    <tabColor rgb="FF0070C0"/>
  </sheetPr>
  <dimension ref="B1:AV113"/>
  <sheetViews>
    <sheetView topLeftCell="A64" zoomScaleNormal="100" workbookViewId="0">
      <selection activeCell="F108" sqref="F108:M11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328</v>
      </c>
      <c r="O10" s="2"/>
    </row>
    <row r="11" spans="2:24" ht="3.95" customHeight="1" x14ac:dyDescent="0.25">
      <c r="B11" s="2"/>
      <c r="D11" s="6"/>
      <c r="O11" s="2"/>
    </row>
    <row r="12" spans="2:24" ht="36" customHeight="1" x14ac:dyDescent="0.25">
      <c r="B12" s="2"/>
      <c r="D12" s="338" t="s">
        <v>5</v>
      </c>
      <c r="E12" s="339"/>
      <c r="F12" s="340" t="s">
        <v>932</v>
      </c>
      <c r="G12" s="341"/>
      <c r="H12" s="341"/>
      <c r="I12" s="341"/>
      <c r="J12" s="341"/>
      <c r="K12" s="341"/>
      <c r="L12" s="341"/>
      <c r="M12" s="342"/>
      <c r="O12" s="2"/>
      <c r="W12" s="3" t="str">
        <f>+F23</f>
        <v>Bimestral</v>
      </c>
      <c r="X12" s="3" t="str">
        <f>+F71</f>
        <v>Abril</v>
      </c>
    </row>
    <row r="13" spans="2:24" ht="3.95" customHeight="1" x14ac:dyDescent="0.25">
      <c r="B13" s="2"/>
      <c r="O13" s="2"/>
    </row>
    <row r="14" spans="2:24" ht="38.25" customHeight="1" x14ac:dyDescent="0.25">
      <c r="B14" s="2"/>
      <c r="D14" s="338" t="s">
        <v>6</v>
      </c>
      <c r="E14" s="339"/>
      <c r="F14" s="340" t="s">
        <v>1973</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17" t="s">
        <v>512</v>
      </c>
      <c r="G22" s="337" t="s">
        <v>9</v>
      </c>
      <c r="H22" s="337"/>
      <c r="I22" s="17">
        <v>0.05</v>
      </c>
      <c r="K22" s="337" t="s">
        <v>10</v>
      </c>
      <c r="L22" s="337"/>
      <c r="M22" s="9" t="s">
        <v>496</v>
      </c>
      <c r="O22" s="2"/>
    </row>
    <row r="23" spans="2:17" ht="19.5" customHeight="1" x14ac:dyDescent="0.25">
      <c r="B23" s="2"/>
      <c r="D23" s="337" t="s">
        <v>11</v>
      </c>
      <c r="E23" s="337"/>
      <c r="F23" s="4" t="s">
        <v>513</v>
      </c>
      <c r="G23" s="337" t="s">
        <v>12</v>
      </c>
      <c r="H23" s="337"/>
      <c r="I23" s="4" t="s">
        <v>497</v>
      </c>
      <c r="K23" s="337" t="s">
        <v>13</v>
      </c>
      <c r="L23" s="337"/>
      <c r="M23" s="9" t="s">
        <v>496</v>
      </c>
      <c r="O23" s="2"/>
    </row>
    <row r="24" spans="2:17" ht="20.100000000000001" customHeight="1" x14ac:dyDescent="0.25">
      <c r="B24" s="2"/>
      <c r="D24" s="337" t="s">
        <v>14</v>
      </c>
      <c r="E24" s="337"/>
      <c r="F24" s="4" t="s">
        <v>81</v>
      </c>
      <c r="G24" s="337" t="s">
        <v>15</v>
      </c>
      <c r="H24" s="337"/>
      <c r="I24" s="4" t="s">
        <v>917</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soporte</v>
      </c>
    </row>
    <row r="31" spans="2:17" ht="24" customHeight="1" x14ac:dyDescent="0.25">
      <c r="B31" s="2"/>
      <c r="D31" s="347"/>
      <c r="E31" s="348"/>
      <c r="F31" s="4" t="s">
        <v>257</v>
      </c>
      <c r="G31" s="340" t="s">
        <v>258</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918</v>
      </c>
      <c r="G33" s="340" t="s">
        <v>892</v>
      </c>
      <c r="H33" s="341"/>
      <c r="I33" s="341"/>
      <c r="J33" s="341"/>
      <c r="K33" s="341"/>
      <c r="L33" s="341"/>
      <c r="M33" s="342"/>
      <c r="O33" s="2"/>
      <c r="Q33" s="3">
        <f>+IFERROR(IF(VLOOKUP(G33,base!$A$26:$C$40,3,FALSE)=F31,1,0),"")</f>
        <v>1</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1716</v>
      </c>
      <c r="G35" s="340" t="s">
        <v>1592</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2</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500</v>
      </c>
      <c r="G45" s="340" t="s">
        <v>512</v>
      </c>
      <c r="H45" s="341"/>
      <c r="I45" s="341"/>
      <c r="J45" s="341"/>
      <c r="K45" s="341"/>
      <c r="L45" s="341"/>
      <c r="M45" s="342"/>
      <c r="O45" s="2"/>
      <c r="Q45" s="3" t="str">
        <f>+IFERROR(VLOOKUP(G45,base!$A$41:$C$45,3,FALSE),"")</f>
        <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500</v>
      </c>
      <c r="G47" s="340" t="s">
        <v>512</v>
      </c>
      <c r="H47" s="341"/>
      <c r="I47" s="341"/>
      <c r="J47" s="341"/>
      <c r="K47" s="341"/>
      <c r="L47" s="341"/>
      <c r="M47" s="342"/>
      <c r="O47" s="2"/>
      <c r="Q47" s="3" t="e">
        <f>+IF(VLOOKUP(G47,base!$A$46:$C$66,3,FALSE)=F45,1,0)</f>
        <v>#N/A</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920</v>
      </c>
      <c r="G49" s="340" t="s">
        <v>899</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17"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 customHeight="1" x14ac:dyDescent="0.25">
      <c r="B59" s="2"/>
      <c r="D59" s="337" t="s">
        <v>34</v>
      </c>
      <c r="E59" s="337"/>
      <c r="F59" s="344" t="s">
        <v>933</v>
      </c>
      <c r="G59" s="344"/>
      <c r="H59" s="344"/>
      <c r="I59" s="344"/>
      <c r="J59" s="344"/>
      <c r="K59" s="344"/>
      <c r="L59" s="344"/>
      <c r="M59" s="344"/>
      <c r="O59" s="2"/>
    </row>
    <row r="60" spans="2:15" ht="27.75" customHeight="1" x14ac:dyDescent="0.25">
      <c r="B60" s="2"/>
      <c r="D60" s="359" t="s">
        <v>35</v>
      </c>
      <c r="E60" s="359"/>
      <c r="F60" s="344" t="s">
        <v>934</v>
      </c>
      <c r="G60" s="344"/>
      <c r="H60" s="344"/>
      <c r="I60" s="344"/>
      <c r="J60" s="344"/>
      <c r="K60" s="344"/>
      <c r="L60" s="344"/>
      <c r="M60" s="344"/>
      <c r="O60" s="2"/>
    </row>
    <row r="61" spans="2:15" ht="27.75" customHeight="1" x14ac:dyDescent="0.25">
      <c r="B61" s="2"/>
      <c r="D61" s="359" t="s">
        <v>36</v>
      </c>
      <c r="E61" s="359"/>
      <c r="F61" s="344" t="s">
        <v>935</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2</v>
      </c>
    </row>
    <row r="70" spans="2:37" ht="3.95" customHeight="1" x14ac:dyDescent="0.25">
      <c r="B70" s="2"/>
      <c r="D70" s="7"/>
      <c r="E70" s="7"/>
      <c r="O70" s="2"/>
    </row>
    <row r="71" spans="2:37" ht="18.75" customHeight="1" x14ac:dyDescent="0.25">
      <c r="B71" s="2"/>
      <c r="D71" s="343" t="s">
        <v>39</v>
      </c>
      <c r="E71" s="343"/>
      <c r="F71" s="4" t="s">
        <v>48</v>
      </c>
      <c r="G71" s="3">
        <v>4</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60" t="s">
        <v>48</v>
      </c>
      <c r="E78" s="360"/>
      <c r="F78" s="16" t="s">
        <v>500</v>
      </c>
      <c r="G78" s="16">
        <v>0.20100000000000001</v>
      </c>
      <c r="H78" s="16">
        <v>0.2</v>
      </c>
      <c r="I78" s="16">
        <v>0.10100000000000001</v>
      </c>
      <c r="J78" s="16">
        <v>0.1</v>
      </c>
      <c r="K78" s="16">
        <v>5.1000000000000004E-2</v>
      </c>
      <c r="L78" s="16">
        <v>0.05</v>
      </c>
      <c r="M78" s="16" t="s">
        <v>500</v>
      </c>
      <c r="O78" s="2"/>
      <c r="AE78" s="3" t="s">
        <v>48</v>
      </c>
      <c r="AF78" s="3">
        <v>4</v>
      </c>
      <c r="AG78" s="3">
        <f t="shared" si="0"/>
        <v>1</v>
      </c>
      <c r="AH78" s="3">
        <f>+IF(AG78=0,0,IF(AG78=1,(SUM($AG$75:AG78)-1),1))</f>
        <v>0</v>
      </c>
      <c r="AI78" s="3">
        <f t="shared" si="1"/>
        <v>0</v>
      </c>
      <c r="AJ78" s="3">
        <f t="shared" si="2"/>
        <v>1</v>
      </c>
      <c r="AK78" s="3">
        <f t="shared" si="3"/>
        <v>1</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1</v>
      </c>
      <c r="AI79" s="3">
        <f t="shared" si="1"/>
        <v>0</v>
      </c>
      <c r="AJ79" s="3">
        <f t="shared" si="2"/>
        <v>0</v>
      </c>
      <c r="AK79" s="3">
        <f t="shared" si="3"/>
        <v>0</v>
      </c>
    </row>
    <row r="80" spans="2:37" x14ac:dyDescent="0.25">
      <c r="B80" s="2"/>
      <c r="D80" s="360" t="s">
        <v>50</v>
      </c>
      <c r="E80" s="360"/>
      <c r="F80" s="16" t="s">
        <v>500</v>
      </c>
      <c r="G80" s="16">
        <v>0.20100000000000001</v>
      </c>
      <c r="H80" s="16">
        <v>0.2</v>
      </c>
      <c r="I80" s="16">
        <v>0.10100000000000001</v>
      </c>
      <c r="J80" s="16">
        <v>0.1</v>
      </c>
      <c r="K80" s="16">
        <v>5.1000000000000004E-2</v>
      </c>
      <c r="L80" s="16">
        <v>0.05</v>
      </c>
      <c r="M80" s="16" t="s">
        <v>500</v>
      </c>
      <c r="O80" s="2"/>
      <c r="AE80" s="3" t="s">
        <v>50</v>
      </c>
      <c r="AF80" s="3">
        <v>6</v>
      </c>
      <c r="AG80" s="3">
        <f t="shared" si="0"/>
        <v>1</v>
      </c>
      <c r="AH80" s="3">
        <f>+IF(AG80=0,0,IF(AG80=1,(SUM($AG$75:AG80)-1),1))</f>
        <v>2</v>
      </c>
      <c r="AI80" s="3">
        <f t="shared" si="1"/>
        <v>1</v>
      </c>
      <c r="AJ80" s="3">
        <f t="shared" si="2"/>
        <v>0</v>
      </c>
      <c r="AK80" s="3">
        <f t="shared" si="3"/>
        <v>1</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3</v>
      </c>
      <c r="AI81" s="3">
        <f t="shared" si="1"/>
        <v>0</v>
      </c>
      <c r="AJ81" s="3">
        <f t="shared" si="2"/>
        <v>0</v>
      </c>
      <c r="AK81" s="3">
        <f t="shared" si="3"/>
        <v>0</v>
      </c>
    </row>
    <row r="82" spans="2:37" x14ac:dyDescent="0.25">
      <c r="B82" s="2"/>
      <c r="D82" s="360" t="s">
        <v>54</v>
      </c>
      <c r="E82" s="360"/>
      <c r="F82" s="16" t="s">
        <v>500</v>
      </c>
      <c r="G82" s="16">
        <v>0.20100000000000001</v>
      </c>
      <c r="H82" s="16">
        <v>0.2</v>
      </c>
      <c r="I82" s="16">
        <v>0.10100000000000001</v>
      </c>
      <c r="J82" s="16">
        <v>0.1</v>
      </c>
      <c r="K82" s="16">
        <v>5.1000000000000004E-2</v>
      </c>
      <c r="L82" s="16">
        <v>0.05</v>
      </c>
      <c r="M82" s="16" t="s">
        <v>500</v>
      </c>
      <c r="O82" s="2"/>
      <c r="AE82" s="3" t="s">
        <v>54</v>
      </c>
      <c r="AF82" s="3">
        <v>8</v>
      </c>
      <c r="AG82" s="3">
        <f t="shared" si="0"/>
        <v>1</v>
      </c>
      <c r="AH82" s="3">
        <f>+IF(AG82=0,0,IF(AG82=1,(SUM($AG$75:AG82)-1),1))</f>
        <v>4</v>
      </c>
      <c r="AI82" s="3">
        <f t="shared" si="1"/>
        <v>1</v>
      </c>
      <c r="AJ82" s="3">
        <f t="shared" si="2"/>
        <v>0</v>
      </c>
      <c r="AK82" s="3">
        <f t="shared" si="3"/>
        <v>1</v>
      </c>
    </row>
    <row r="83" spans="2:37" x14ac:dyDescent="0.25">
      <c r="B83" s="2"/>
      <c r="D83" s="360" t="s">
        <v>55</v>
      </c>
      <c r="E83" s="360"/>
      <c r="F83" s="16" t="s">
        <v>500</v>
      </c>
      <c r="G83" s="16" t="s">
        <v>500</v>
      </c>
      <c r="H83" s="16" t="s">
        <v>500</v>
      </c>
      <c r="I83" s="16" t="s">
        <v>500</v>
      </c>
      <c r="J83" s="16" t="s">
        <v>500</v>
      </c>
      <c r="K83" s="16" t="s">
        <v>500</v>
      </c>
      <c r="L83" s="16" t="s">
        <v>500</v>
      </c>
      <c r="M83" s="16" t="s">
        <v>500</v>
      </c>
      <c r="O83" s="2"/>
      <c r="AE83" s="3" t="s">
        <v>55</v>
      </c>
      <c r="AF83" s="3">
        <v>9</v>
      </c>
      <c r="AG83" s="3">
        <f t="shared" si="0"/>
        <v>1</v>
      </c>
      <c r="AH83" s="3">
        <f>+IF(AG83=0,0,IF(AG83=1,(SUM($AG$75:AG83)-1),1))</f>
        <v>5</v>
      </c>
      <c r="AI83" s="3">
        <f t="shared" si="1"/>
        <v>0</v>
      </c>
      <c r="AJ83" s="3">
        <f t="shared" si="2"/>
        <v>0</v>
      </c>
      <c r="AK83" s="3">
        <f t="shared" si="3"/>
        <v>0</v>
      </c>
    </row>
    <row r="84" spans="2:37" x14ac:dyDescent="0.25">
      <c r="B84" s="2"/>
      <c r="D84" s="360" t="s">
        <v>56</v>
      </c>
      <c r="E84" s="360"/>
      <c r="F84" s="16" t="s">
        <v>500</v>
      </c>
      <c r="G84" s="16">
        <v>0.20100000000000001</v>
      </c>
      <c r="H84" s="16">
        <v>0.2</v>
      </c>
      <c r="I84" s="16">
        <v>0.10100000000000001</v>
      </c>
      <c r="J84" s="16">
        <v>0.1</v>
      </c>
      <c r="K84" s="16">
        <v>5.1000000000000004E-2</v>
      </c>
      <c r="L84" s="16">
        <v>0.05</v>
      </c>
      <c r="M84" s="16" t="s">
        <v>500</v>
      </c>
      <c r="O84" s="2"/>
      <c r="AE84" s="3" t="s">
        <v>56</v>
      </c>
      <c r="AF84" s="3">
        <v>10</v>
      </c>
      <c r="AG84" s="3">
        <f t="shared" si="0"/>
        <v>1</v>
      </c>
      <c r="AH84" s="3">
        <f>+IF(AG84=0,0,IF(AG84=1,(SUM($AG$75:AG84)-1),1))</f>
        <v>6</v>
      </c>
      <c r="AI84" s="3">
        <f t="shared" si="1"/>
        <v>1</v>
      </c>
      <c r="AJ84" s="3">
        <f t="shared" si="2"/>
        <v>0</v>
      </c>
      <c r="AK84" s="3">
        <f t="shared" si="3"/>
        <v>1</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7</v>
      </c>
      <c r="AI85" s="3">
        <f t="shared" si="1"/>
        <v>0</v>
      </c>
      <c r="AJ85" s="3">
        <f t="shared" si="2"/>
        <v>0</v>
      </c>
      <c r="AK85" s="3">
        <f t="shared" si="3"/>
        <v>0</v>
      </c>
    </row>
    <row r="86" spans="2:37" x14ac:dyDescent="0.25">
      <c r="B86" s="2"/>
      <c r="D86" s="360" t="s">
        <v>58</v>
      </c>
      <c r="E86" s="360"/>
      <c r="F86" s="16" t="s">
        <v>500</v>
      </c>
      <c r="G86" s="16">
        <v>0.20100000000000001</v>
      </c>
      <c r="H86" s="16">
        <v>0.2</v>
      </c>
      <c r="I86" s="16">
        <v>0.10100000000000001</v>
      </c>
      <c r="J86" s="16">
        <v>0.1</v>
      </c>
      <c r="K86" s="16">
        <v>5.1000000000000004E-2</v>
      </c>
      <c r="L86" s="16">
        <v>0.05</v>
      </c>
      <c r="M86" s="16" t="s">
        <v>500</v>
      </c>
      <c r="O86" s="2"/>
      <c r="AE86" s="3" t="s">
        <v>58</v>
      </c>
      <c r="AF86" s="65">
        <v>12</v>
      </c>
      <c r="AG86" s="3">
        <f t="shared" si="0"/>
        <v>1</v>
      </c>
      <c r="AH86" s="3">
        <f>+IF(AG86=0,0,IF(AG86=1,(SUM($AG$75:AG86)-1),1))</f>
        <v>8</v>
      </c>
      <c r="AI86" s="3">
        <f t="shared" si="1"/>
        <v>1</v>
      </c>
      <c r="AJ86" s="3">
        <f t="shared" si="2"/>
        <v>0</v>
      </c>
      <c r="AK86" s="3">
        <f t="shared" si="3"/>
        <v>1</v>
      </c>
    </row>
    <row r="87" spans="2:37" ht="3.75" customHeight="1" x14ac:dyDescent="0.25">
      <c r="B87" s="2"/>
      <c r="O87" s="2"/>
    </row>
    <row r="88" spans="2:37" ht="106.5" customHeight="1" x14ac:dyDescent="0.25">
      <c r="B88" s="2"/>
      <c r="D88" s="338" t="s">
        <v>59</v>
      </c>
      <c r="E88" s="339"/>
      <c r="F88" s="425" t="s">
        <v>1974</v>
      </c>
      <c r="G88" s="426"/>
      <c r="H88" s="426"/>
      <c r="I88" s="426"/>
      <c r="J88" s="426"/>
      <c r="K88" s="426"/>
      <c r="L88" s="426"/>
      <c r="M88" s="427"/>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4" t="s">
        <v>60</v>
      </c>
      <c r="O94" s="2"/>
    </row>
    <row r="95" spans="2:37" ht="3.95" customHeight="1" x14ac:dyDescent="0.25">
      <c r="B95" s="2"/>
      <c r="O95" s="2"/>
    </row>
    <row r="96" spans="2:37" ht="20.100000000000001" customHeight="1" x14ac:dyDescent="0.25">
      <c r="B96" s="2"/>
      <c r="D96" s="337" t="s">
        <v>61</v>
      </c>
      <c r="E96" s="337"/>
      <c r="O96" s="2"/>
    </row>
    <row r="97" spans="2:15" ht="42" customHeight="1" x14ac:dyDescent="0.25">
      <c r="B97" s="2"/>
      <c r="D97" s="359" t="s">
        <v>35</v>
      </c>
      <c r="E97" s="359"/>
      <c r="F97" s="344" t="s">
        <v>1975</v>
      </c>
      <c r="G97" s="344"/>
      <c r="H97" s="344"/>
      <c r="I97" s="344"/>
      <c r="J97" s="344"/>
      <c r="K97" s="344"/>
      <c r="L97" s="344"/>
      <c r="M97" s="344"/>
      <c r="O97" s="2"/>
    </row>
    <row r="98" spans="2:15" ht="42" customHeight="1" x14ac:dyDescent="0.25">
      <c r="B98" s="2"/>
      <c r="D98" s="359" t="s">
        <v>36</v>
      </c>
      <c r="E98" s="359"/>
      <c r="F98" s="344" t="s">
        <v>936</v>
      </c>
      <c r="G98" s="344"/>
      <c r="H98" s="344"/>
      <c r="I98" s="344"/>
      <c r="J98" s="344"/>
      <c r="K98" s="344"/>
      <c r="L98" s="344"/>
      <c r="M98" s="344"/>
      <c r="O98" s="2"/>
    </row>
    <row r="99" spans="2:15" ht="3.95" customHeight="1" x14ac:dyDescent="0.25">
      <c r="B99" s="2"/>
      <c r="O99" s="2"/>
    </row>
    <row r="100" spans="2:15" ht="216" customHeight="1" x14ac:dyDescent="0.25">
      <c r="B100" s="2"/>
      <c r="D100" s="338" t="s">
        <v>62</v>
      </c>
      <c r="E100" s="339"/>
      <c r="F100" s="340" t="s">
        <v>913</v>
      </c>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2</v>
      </c>
      <c r="K102" s="20"/>
      <c r="O102" s="2"/>
    </row>
    <row r="103" spans="2:15" ht="19.5" customHeight="1" x14ac:dyDescent="0.25">
      <c r="B103" s="2"/>
      <c r="D103" s="331"/>
      <c r="E103" s="332"/>
      <c r="F103" s="19" t="s">
        <v>66</v>
      </c>
      <c r="G103" s="4"/>
      <c r="K103" s="21"/>
      <c r="O103" s="2"/>
    </row>
    <row r="104" spans="2:15" ht="27.75" customHeight="1" x14ac:dyDescent="0.25">
      <c r="B104" s="2"/>
      <c r="D104" s="331"/>
      <c r="E104" s="332"/>
      <c r="F104" s="19" t="s">
        <v>67</v>
      </c>
      <c r="G104" s="333"/>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Director(a) Gestión Humana</v>
      </c>
      <c r="H108" s="334"/>
      <c r="I108" s="334"/>
      <c r="J108" s="334"/>
      <c r="K108" s="334"/>
      <c r="L108" s="334"/>
      <c r="M108" s="335"/>
      <c r="O108" s="2"/>
    </row>
    <row r="109" spans="2:15" ht="17.25" customHeight="1" x14ac:dyDescent="0.25">
      <c r="B109" s="2"/>
      <c r="D109" s="331"/>
      <c r="E109" s="332"/>
      <c r="F109" s="19" t="s">
        <v>2042</v>
      </c>
      <c r="G109" s="333" t="str">
        <f>+IF(M23="Si","Coordinador(a) Planeación y Sistemas","")</f>
        <v>Coordinador(a) Planeación y Sistemas</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908" priority="31">
      <formula>+IF($F$43="no",1,0)</formula>
    </cfRule>
  </conditionalFormatting>
  <conditionalFormatting sqref="F32:M33">
    <cfRule type="expression" dxfId="1907" priority="30">
      <formula>+IF($Q$30="NA",1,0)</formula>
    </cfRule>
  </conditionalFormatting>
  <conditionalFormatting sqref="F33:M33">
    <cfRule type="expression" dxfId="1906" priority="29">
      <formula>+IF($Q$33=0,1,0)</formula>
    </cfRule>
  </conditionalFormatting>
  <conditionalFormatting sqref="F47:M47">
    <cfRule type="expression" dxfId="1905" priority="28">
      <formula>+IF($Q$47=0,1,0)</formula>
    </cfRule>
  </conditionalFormatting>
  <conditionalFormatting sqref="F73:G73">
    <cfRule type="cellIs" dxfId="1904" priority="19" operator="equal">
      <formula>"optimo"</formula>
    </cfRule>
    <cfRule type="cellIs" dxfId="1903" priority="20" operator="equal">
      <formula>"critico"</formula>
    </cfRule>
  </conditionalFormatting>
  <conditionalFormatting sqref="H73:I73">
    <cfRule type="cellIs" dxfId="1902" priority="17" operator="equal">
      <formula>"Adecuado"</formula>
    </cfRule>
    <cfRule type="cellIs" dxfId="1901" priority="18" operator="equal">
      <formula>"en riesgo"</formula>
    </cfRule>
  </conditionalFormatting>
  <conditionalFormatting sqref="J73:K73">
    <cfRule type="cellIs" dxfId="1900" priority="15" operator="equal">
      <formula>"Adecuado"</formula>
    </cfRule>
    <cfRule type="cellIs" dxfId="1899" priority="16" operator="equal">
      <formula>"en riesgo"</formula>
    </cfRule>
  </conditionalFormatting>
  <conditionalFormatting sqref="L73:M73">
    <cfRule type="cellIs" dxfId="1898" priority="13" operator="equal">
      <formula>"optimo"</formula>
    </cfRule>
    <cfRule type="cellIs" dxfId="1897" priority="14" operator="equal">
      <formula>"critico"</formula>
    </cfRule>
  </conditionalFormatting>
  <conditionalFormatting sqref="F75:M86">
    <cfRule type="expression" dxfId="1896" priority="12">
      <formula>+IF($AK75=0,1)</formula>
    </cfRule>
  </conditionalFormatting>
  <conditionalFormatting sqref="F103:G104">
    <cfRule type="expression" dxfId="1895" priority="11">
      <formula>+IF($G$102="No",1,0)</formula>
    </cfRule>
  </conditionalFormatting>
  <conditionalFormatting sqref="F51">
    <cfRule type="expression" dxfId="1894" priority="10">
      <formula>+IF($F$43="no",1,0)</formula>
    </cfRule>
  </conditionalFormatting>
  <conditionalFormatting sqref="I51">
    <cfRule type="expression" dxfId="1893" priority="9">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3">
    <tabColor rgb="FF0070C0"/>
  </sheetPr>
  <dimension ref="B1:AV113"/>
  <sheetViews>
    <sheetView topLeftCell="A58" zoomScaleNormal="100" workbookViewId="0">
      <selection activeCell="G79" sqref="G79"/>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330</v>
      </c>
      <c r="O10" s="2"/>
    </row>
    <row r="11" spans="2:24" ht="3.95" customHeight="1" x14ac:dyDescent="0.25">
      <c r="B11" s="2"/>
      <c r="D11" s="6"/>
      <c r="O11" s="2"/>
    </row>
    <row r="12" spans="2:24" ht="36" customHeight="1" x14ac:dyDescent="0.25">
      <c r="B12" s="2"/>
      <c r="D12" s="338" t="s">
        <v>5</v>
      </c>
      <c r="E12" s="339"/>
      <c r="F12" s="340" t="s">
        <v>331</v>
      </c>
      <c r="G12" s="341"/>
      <c r="H12" s="341"/>
      <c r="I12" s="341"/>
      <c r="J12" s="341"/>
      <c r="K12" s="341"/>
      <c r="L12" s="341"/>
      <c r="M12" s="342"/>
      <c r="O12" s="2"/>
      <c r="W12" s="3" t="str">
        <f>+F23</f>
        <v>Trimestral</v>
      </c>
      <c r="X12" s="3" t="str">
        <f>+F71</f>
        <v>Marzo</v>
      </c>
    </row>
    <row r="13" spans="2:24" ht="3.95" customHeight="1" x14ac:dyDescent="0.25">
      <c r="B13" s="2"/>
      <c r="O13" s="2"/>
    </row>
    <row r="14" spans="2:24" ht="38.25" customHeight="1" x14ac:dyDescent="0.25">
      <c r="B14" s="2"/>
      <c r="D14" s="338" t="s">
        <v>6</v>
      </c>
      <c r="E14" s="339"/>
      <c r="F14" s="340" t="s">
        <v>926</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17" t="s">
        <v>512</v>
      </c>
      <c r="G22" s="337" t="s">
        <v>9</v>
      </c>
      <c r="H22" s="337"/>
      <c r="I22" s="17">
        <v>0.98</v>
      </c>
      <c r="K22" s="337" t="s">
        <v>10</v>
      </c>
      <c r="L22" s="337"/>
      <c r="M22" s="9" t="s">
        <v>496</v>
      </c>
      <c r="O22" s="2"/>
    </row>
    <row r="23" spans="2:17" ht="19.5" customHeight="1" x14ac:dyDescent="0.25">
      <c r="B23" s="2"/>
      <c r="D23" s="337" t="s">
        <v>11</v>
      </c>
      <c r="E23" s="337"/>
      <c r="F23" s="4" t="s">
        <v>71</v>
      </c>
      <c r="G23" s="337" t="s">
        <v>12</v>
      </c>
      <c r="H23" s="337"/>
      <c r="I23" s="4" t="s">
        <v>497</v>
      </c>
      <c r="K23" s="337" t="s">
        <v>13</v>
      </c>
      <c r="L23" s="337"/>
      <c r="M23" s="9" t="s">
        <v>2</v>
      </c>
      <c r="O23" s="2"/>
    </row>
    <row r="24" spans="2:17" ht="20.100000000000001" customHeight="1" x14ac:dyDescent="0.25">
      <c r="B24" s="2"/>
      <c r="D24" s="337" t="s">
        <v>14</v>
      </c>
      <c r="E24" s="337"/>
      <c r="F24" s="4" t="s">
        <v>81</v>
      </c>
      <c r="G24" s="337" t="s">
        <v>15</v>
      </c>
      <c r="H24" s="337"/>
      <c r="I24" s="4" t="s">
        <v>917</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soporte</v>
      </c>
    </row>
    <row r="31" spans="2:17" ht="24" customHeight="1" x14ac:dyDescent="0.25">
      <c r="B31" s="2"/>
      <c r="D31" s="347"/>
      <c r="E31" s="348"/>
      <c r="F31" s="4" t="s">
        <v>257</v>
      </c>
      <c r="G31" s="340" t="s">
        <v>258</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918</v>
      </c>
      <c r="G33" s="340" t="s">
        <v>892</v>
      </c>
      <c r="H33" s="341"/>
      <c r="I33" s="341"/>
      <c r="J33" s="341"/>
      <c r="K33" s="341"/>
      <c r="L33" s="341"/>
      <c r="M33" s="342"/>
      <c r="O33" s="2"/>
      <c r="Q33" s="3">
        <f>+IFERROR(IF(VLOOKUP(G33,base!$A$26:$C$40,3,FALSE)=F31,1,0),"")</f>
        <v>1</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1716</v>
      </c>
      <c r="G35" s="340" t="s">
        <v>1592</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2</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500</v>
      </c>
      <c r="G45" s="340" t="s">
        <v>512</v>
      </c>
      <c r="H45" s="341"/>
      <c r="I45" s="341"/>
      <c r="J45" s="341"/>
      <c r="K45" s="341"/>
      <c r="L45" s="341"/>
      <c r="M45" s="342"/>
      <c r="O45" s="2"/>
      <c r="Q45" s="3" t="str">
        <f>+IFERROR(VLOOKUP(G45,base!$A$41:$C$45,3,FALSE),"")</f>
        <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500</v>
      </c>
      <c r="G47" s="340" t="s">
        <v>512</v>
      </c>
      <c r="H47" s="341"/>
      <c r="I47" s="341"/>
      <c r="J47" s="341"/>
      <c r="K47" s="341"/>
      <c r="L47" s="341"/>
      <c r="M47" s="342"/>
      <c r="O47" s="2"/>
      <c r="Q47" s="3" t="e">
        <f>+IF(VLOOKUP(G47,base!$A$46:$C$66,3,FALSE)=F45,1,0)</f>
        <v>#N/A</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920</v>
      </c>
      <c r="G49" s="340" t="s">
        <v>899</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17"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 customHeight="1" x14ac:dyDescent="0.25">
      <c r="B59" s="2"/>
      <c r="D59" s="337" t="s">
        <v>34</v>
      </c>
      <c r="E59" s="337"/>
      <c r="F59" s="344" t="s">
        <v>927</v>
      </c>
      <c r="G59" s="344"/>
      <c r="H59" s="344"/>
      <c r="I59" s="344"/>
      <c r="J59" s="344"/>
      <c r="K59" s="344"/>
      <c r="L59" s="344"/>
      <c r="M59" s="344"/>
      <c r="O59" s="2"/>
    </row>
    <row r="60" spans="2:15" ht="27.75" customHeight="1" x14ac:dyDescent="0.25">
      <c r="B60" s="2"/>
      <c r="D60" s="359" t="s">
        <v>35</v>
      </c>
      <c r="E60" s="359"/>
      <c r="F60" s="344" t="s">
        <v>928</v>
      </c>
      <c r="G60" s="344"/>
      <c r="H60" s="344"/>
      <c r="I60" s="344"/>
      <c r="J60" s="344"/>
      <c r="K60" s="344"/>
      <c r="L60" s="344"/>
      <c r="M60" s="344"/>
      <c r="O60" s="2"/>
    </row>
    <row r="61" spans="2:15" ht="27.75" customHeight="1" x14ac:dyDescent="0.25">
      <c r="B61" s="2"/>
      <c r="D61" s="359" t="s">
        <v>36</v>
      </c>
      <c r="E61" s="359"/>
      <c r="F61" s="344" t="s">
        <v>929</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43" t="s">
        <v>39</v>
      </c>
      <c r="E71" s="343"/>
      <c r="F71" s="4" t="s">
        <v>47</v>
      </c>
      <c r="G71" s="3">
        <v>3</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v>0.93899999999999995</v>
      </c>
      <c r="H77" s="16">
        <v>0.94</v>
      </c>
      <c r="I77" s="16">
        <v>0.96399999999999997</v>
      </c>
      <c r="J77" s="16">
        <v>0.96499999999999997</v>
      </c>
      <c r="K77" s="16">
        <v>0.97899999999999998</v>
      </c>
      <c r="L77" s="16">
        <v>0.98</v>
      </c>
      <c r="M77" s="16" t="s">
        <v>500</v>
      </c>
      <c r="O77" s="2"/>
      <c r="AE77" s="3" t="s">
        <v>47</v>
      </c>
      <c r="AF77" s="3">
        <v>3</v>
      </c>
      <c r="AG77" s="3">
        <f t="shared" si="0"/>
        <v>1</v>
      </c>
      <c r="AH77" s="3">
        <f>+IF(AG77=0,0,IF(AG77=1,(SUM($AG$75:AG77)-1),1))</f>
        <v>0</v>
      </c>
      <c r="AI77" s="3">
        <f t="shared" si="1"/>
        <v>0</v>
      </c>
      <c r="AJ77" s="3">
        <f t="shared" si="2"/>
        <v>1</v>
      </c>
      <c r="AK77" s="3">
        <f t="shared" si="3"/>
        <v>1</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2</v>
      </c>
      <c r="AI79" s="3">
        <f t="shared" si="1"/>
        <v>0</v>
      </c>
      <c r="AJ79" s="3">
        <f t="shared" si="2"/>
        <v>0</v>
      </c>
      <c r="AK79" s="3">
        <f t="shared" si="3"/>
        <v>0</v>
      </c>
    </row>
    <row r="80" spans="2:37" x14ac:dyDescent="0.25">
      <c r="B80" s="2"/>
      <c r="D80" s="360" t="s">
        <v>50</v>
      </c>
      <c r="E80" s="360"/>
      <c r="F80" s="16" t="s">
        <v>500</v>
      </c>
      <c r="G80" s="16">
        <v>0.93899999999999995</v>
      </c>
      <c r="H80" s="16">
        <v>0.94</v>
      </c>
      <c r="I80" s="16">
        <v>0.96399999999999997</v>
      </c>
      <c r="J80" s="16">
        <v>0.96499999999999997</v>
      </c>
      <c r="K80" s="16">
        <v>0.97899999999999998</v>
      </c>
      <c r="L80" s="16">
        <v>0.98</v>
      </c>
      <c r="M80" s="16" t="s">
        <v>500</v>
      </c>
      <c r="O80" s="2"/>
      <c r="AE80" s="3" t="s">
        <v>50</v>
      </c>
      <c r="AF80" s="3">
        <v>6</v>
      </c>
      <c r="AG80" s="3">
        <f t="shared" si="0"/>
        <v>1</v>
      </c>
      <c r="AH80" s="3">
        <f>+IF(AG80=0,0,IF(AG80=1,(SUM($AG$75:AG80)-1),1))</f>
        <v>3</v>
      </c>
      <c r="AI80" s="3">
        <f t="shared" si="1"/>
        <v>1</v>
      </c>
      <c r="AJ80" s="3">
        <f t="shared" si="2"/>
        <v>0</v>
      </c>
      <c r="AK80" s="3">
        <f t="shared" si="3"/>
        <v>1</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4</v>
      </c>
      <c r="AI81" s="3">
        <f t="shared" si="1"/>
        <v>0</v>
      </c>
      <c r="AJ81" s="3">
        <f t="shared" si="2"/>
        <v>0</v>
      </c>
      <c r="AK81" s="3">
        <f t="shared" si="3"/>
        <v>0</v>
      </c>
    </row>
    <row r="82" spans="2:37" x14ac:dyDescent="0.25">
      <c r="B82" s="2"/>
      <c r="D82" s="360" t="s">
        <v>54</v>
      </c>
      <c r="E82" s="360"/>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60" t="s">
        <v>55</v>
      </c>
      <c r="E83" s="360"/>
      <c r="F83" s="16" t="s">
        <v>500</v>
      </c>
      <c r="G83" s="16">
        <v>0.93899999999999995</v>
      </c>
      <c r="H83" s="16">
        <v>0.94</v>
      </c>
      <c r="I83" s="16">
        <v>0.96399999999999997</v>
      </c>
      <c r="J83" s="16">
        <v>0.96499999999999997</v>
      </c>
      <c r="K83" s="16">
        <v>0.97899999999999998</v>
      </c>
      <c r="L83" s="16">
        <v>0.98</v>
      </c>
      <c r="M83" s="16" t="s">
        <v>500</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60" t="s">
        <v>58</v>
      </c>
      <c r="E86" s="360"/>
      <c r="F86" s="16" t="s">
        <v>500</v>
      </c>
      <c r="G86" s="16">
        <v>0.93899999999999995</v>
      </c>
      <c r="H86" s="16">
        <v>0.94</v>
      </c>
      <c r="I86" s="16">
        <v>0.96399999999999997</v>
      </c>
      <c r="J86" s="16">
        <v>0.96499999999999997</v>
      </c>
      <c r="K86" s="16">
        <v>0.97899999999999998</v>
      </c>
      <c r="L86" s="16">
        <v>0.98</v>
      </c>
      <c r="M86" s="16" t="s">
        <v>500</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66" customHeight="1" x14ac:dyDescent="0.25">
      <c r="B88" s="2"/>
      <c r="D88" s="338" t="s">
        <v>59</v>
      </c>
      <c r="E88" s="339"/>
      <c r="F88" s="340"/>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2" customHeight="1" x14ac:dyDescent="0.25">
      <c r="B97" s="2"/>
      <c r="D97" s="359" t="s">
        <v>35</v>
      </c>
      <c r="E97" s="359"/>
      <c r="F97" s="344" t="s">
        <v>930</v>
      </c>
      <c r="G97" s="344"/>
      <c r="H97" s="344"/>
      <c r="I97" s="344"/>
      <c r="J97" s="344"/>
      <c r="K97" s="344"/>
      <c r="L97" s="344"/>
      <c r="M97" s="344"/>
      <c r="O97" s="2"/>
    </row>
    <row r="98" spans="2:15" ht="42" customHeight="1" x14ac:dyDescent="0.25">
      <c r="B98" s="2"/>
      <c r="D98" s="359" t="s">
        <v>36</v>
      </c>
      <c r="E98" s="359"/>
      <c r="F98" s="344" t="s">
        <v>931</v>
      </c>
      <c r="G98" s="344"/>
      <c r="H98" s="344"/>
      <c r="I98" s="344"/>
      <c r="J98" s="344"/>
      <c r="K98" s="344"/>
      <c r="L98" s="344"/>
      <c r="M98" s="344"/>
      <c r="O98" s="2"/>
    </row>
    <row r="99" spans="2:15" ht="3.95" customHeight="1" x14ac:dyDescent="0.25">
      <c r="B99" s="2"/>
      <c r="O99" s="2"/>
    </row>
    <row r="100" spans="2:15" ht="58.5" customHeight="1" x14ac:dyDescent="0.25">
      <c r="B100" s="2"/>
      <c r="D100" s="338" t="s">
        <v>62</v>
      </c>
      <c r="E100" s="339"/>
      <c r="F100" s="340" t="s">
        <v>914</v>
      </c>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2</v>
      </c>
      <c r="K102" s="20"/>
      <c r="O102" s="2"/>
    </row>
    <row r="103" spans="2:15" ht="19.5" customHeight="1" x14ac:dyDescent="0.25">
      <c r="B103" s="2"/>
      <c r="D103" s="331"/>
      <c r="E103" s="332"/>
      <c r="F103" s="19" t="s">
        <v>66</v>
      </c>
      <c r="G103" s="4"/>
      <c r="K103" s="21"/>
      <c r="O103" s="2"/>
    </row>
    <row r="104" spans="2:15" ht="27.75" customHeight="1" x14ac:dyDescent="0.25">
      <c r="B104" s="2"/>
      <c r="D104" s="331"/>
      <c r="E104" s="332"/>
      <c r="F104" s="19" t="s">
        <v>67</v>
      </c>
      <c r="G104" s="333"/>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Director(a) Gestión Humana</v>
      </c>
      <c r="H108" s="334"/>
      <c r="I108" s="334"/>
      <c r="J108" s="334"/>
      <c r="K108" s="334"/>
      <c r="L108" s="334"/>
      <c r="M108" s="335"/>
      <c r="O108" s="2"/>
    </row>
    <row r="109" spans="2:15" ht="17.25" customHeight="1" x14ac:dyDescent="0.25">
      <c r="B109" s="2"/>
      <c r="D109" s="331"/>
      <c r="E109" s="332"/>
      <c r="F109" s="19" t="s">
        <v>2042</v>
      </c>
      <c r="G109" s="333" t="str">
        <f>+IF(M23="Si","Coordinador(a) Planeación y Sistemas","")</f>
        <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892" priority="31">
      <formula>+IF($F$43="no",1,0)</formula>
    </cfRule>
  </conditionalFormatting>
  <conditionalFormatting sqref="F32:M33">
    <cfRule type="expression" dxfId="1891" priority="30">
      <formula>+IF($Q$30="NA",1,0)</formula>
    </cfRule>
  </conditionalFormatting>
  <conditionalFormatting sqref="F33:M33">
    <cfRule type="expression" dxfId="1890" priority="29">
      <formula>+IF($Q$33=0,1,0)</formula>
    </cfRule>
  </conditionalFormatting>
  <conditionalFormatting sqref="F47:M47">
    <cfRule type="expression" dxfId="1889" priority="28">
      <formula>+IF($Q$47=0,1,0)</formula>
    </cfRule>
  </conditionalFormatting>
  <conditionalFormatting sqref="F73:G73">
    <cfRule type="cellIs" dxfId="1888" priority="17" operator="equal">
      <formula>"optimo"</formula>
    </cfRule>
    <cfRule type="cellIs" dxfId="1887" priority="18" operator="equal">
      <formula>"critico"</formula>
    </cfRule>
  </conditionalFormatting>
  <conditionalFormatting sqref="H73:I73">
    <cfRule type="cellIs" dxfId="1886" priority="15" operator="equal">
      <formula>"Adecuado"</formula>
    </cfRule>
    <cfRule type="cellIs" dxfId="1885" priority="16" operator="equal">
      <formula>"en riesgo"</formula>
    </cfRule>
  </conditionalFormatting>
  <conditionalFormatting sqref="J73:K73">
    <cfRule type="cellIs" dxfId="1884" priority="13" operator="equal">
      <formula>"Adecuado"</formula>
    </cfRule>
    <cfRule type="cellIs" dxfId="1883" priority="14" operator="equal">
      <formula>"en riesgo"</formula>
    </cfRule>
  </conditionalFormatting>
  <conditionalFormatting sqref="L73:M73">
    <cfRule type="cellIs" dxfId="1882" priority="11" operator="equal">
      <formula>"optimo"</formula>
    </cfRule>
    <cfRule type="cellIs" dxfId="1881" priority="12" operator="equal">
      <formula>"critico"</formula>
    </cfRule>
  </conditionalFormatting>
  <conditionalFormatting sqref="F75:M86">
    <cfRule type="expression" dxfId="1880" priority="10">
      <formula>+IF($AK75=0,1)</formula>
    </cfRule>
  </conditionalFormatting>
  <conditionalFormatting sqref="F103:G104">
    <cfRule type="expression" dxfId="1879" priority="9">
      <formula>+IF($G$102="No",1,0)</formula>
    </cfRule>
  </conditionalFormatting>
  <conditionalFormatting sqref="F51">
    <cfRule type="expression" dxfId="1878" priority="8">
      <formula>+IF($F$43="no",1,0)</formula>
    </cfRule>
  </conditionalFormatting>
  <conditionalFormatting sqref="I51">
    <cfRule type="expression" dxfId="1877" priority="7">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4">
    <tabColor rgb="FF0070C0"/>
  </sheetPr>
  <dimension ref="B1:AV113"/>
  <sheetViews>
    <sheetView topLeftCell="A49" zoomScaleNormal="100" workbookViewId="0">
      <selection activeCell="F108" sqref="F108:M11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332</v>
      </c>
      <c r="O10" s="2"/>
    </row>
    <row r="11" spans="2:24" ht="3.95" customHeight="1" x14ac:dyDescent="0.25">
      <c r="B11" s="2"/>
      <c r="D11" s="6"/>
      <c r="O11" s="2"/>
    </row>
    <row r="12" spans="2:24" ht="36" customHeight="1" x14ac:dyDescent="0.25">
      <c r="B12" s="2"/>
      <c r="D12" s="338" t="s">
        <v>5</v>
      </c>
      <c r="E12" s="339"/>
      <c r="F12" s="340" t="s">
        <v>333</v>
      </c>
      <c r="G12" s="341"/>
      <c r="H12" s="341"/>
      <c r="I12" s="341"/>
      <c r="J12" s="341"/>
      <c r="K12" s="341"/>
      <c r="L12" s="341"/>
      <c r="M12" s="342"/>
      <c r="O12" s="2"/>
      <c r="W12" s="3" t="str">
        <f>+F23</f>
        <v>Trimestral</v>
      </c>
      <c r="X12" s="3" t="str">
        <f>+F71</f>
        <v>Junio</v>
      </c>
    </row>
    <row r="13" spans="2:24" ht="3.95" customHeight="1" x14ac:dyDescent="0.25">
      <c r="B13" s="2"/>
      <c r="O13" s="2"/>
    </row>
    <row r="14" spans="2:24" ht="38.25" customHeight="1" x14ac:dyDescent="0.25">
      <c r="B14" s="2"/>
      <c r="D14" s="338" t="s">
        <v>6</v>
      </c>
      <c r="E14" s="339"/>
      <c r="F14" s="340" t="s">
        <v>919</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17" t="s">
        <v>512</v>
      </c>
      <c r="G22" s="337" t="s">
        <v>9</v>
      </c>
      <c r="H22" s="337"/>
      <c r="I22" s="17">
        <v>1</v>
      </c>
      <c r="K22" s="337" t="s">
        <v>10</v>
      </c>
      <c r="L22" s="337"/>
      <c r="M22" s="9" t="s">
        <v>496</v>
      </c>
      <c r="O22" s="2"/>
    </row>
    <row r="23" spans="2:17" ht="19.5" customHeight="1" x14ac:dyDescent="0.25">
      <c r="B23" s="2"/>
      <c r="D23" s="337" t="s">
        <v>11</v>
      </c>
      <c r="E23" s="337"/>
      <c r="F23" s="4" t="s">
        <v>71</v>
      </c>
      <c r="G23" s="337" t="s">
        <v>12</v>
      </c>
      <c r="H23" s="337"/>
      <c r="I23" s="4" t="s">
        <v>497</v>
      </c>
      <c r="K23" s="337" t="s">
        <v>13</v>
      </c>
      <c r="L23" s="337"/>
      <c r="M23" s="9" t="s">
        <v>2</v>
      </c>
      <c r="O23" s="2"/>
    </row>
    <row r="24" spans="2:17" ht="20.100000000000001" customHeight="1" x14ac:dyDescent="0.25">
      <c r="B24" s="2"/>
      <c r="D24" s="337" t="s">
        <v>14</v>
      </c>
      <c r="E24" s="337"/>
      <c r="F24" s="4" t="s">
        <v>498</v>
      </c>
      <c r="G24" s="337" t="s">
        <v>15</v>
      </c>
      <c r="H24" s="337"/>
      <c r="I24" s="4" t="s">
        <v>917</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soporte</v>
      </c>
    </row>
    <row r="31" spans="2:17" ht="24" customHeight="1" x14ac:dyDescent="0.25">
      <c r="B31" s="2"/>
      <c r="D31" s="347"/>
      <c r="E31" s="348"/>
      <c r="F31" s="4" t="s">
        <v>257</v>
      </c>
      <c r="G31" s="340" t="s">
        <v>258</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918</v>
      </c>
      <c r="G33" s="340" t="s">
        <v>892</v>
      </c>
      <c r="H33" s="341"/>
      <c r="I33" s="341"/>
      <c r="J33" s="341"/>
      <c r="K33" s="341"/>
      <c r="L33" s="341"/>
      <c r="M33" s="342"/>
      <c r="O33" s="2"/>
      <c r="Q33" s="3">
        <f>+IFERROR(IF(VLOOKUP(G33,base!$A$26:$C$40,3,FALSE)=F31,1,0),"")</f>
        <v>1</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1716</v>
      </c>
      <c r="G35" s="340" t="s">
        <v>1592</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2</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500</v>
      </c>
      <c r="G45" s="340" t="s">
        <v>512</v>
      </c>
      <c r="H45" s="341"/>
      <c r="I45" s="341"/>
      <c r="J45" s="341"/>
      <c r="K45" s="341"/>
      <c r="L45" s="341"/>
      <c r="M45" s="342"/>
      <c r="O45" s="2"/>
      <c r="Q45" s="3" t="str">
        <f>+IFERROR(VLOOKUP(G45,base!$A$41:$C$45,3,FALSE),"")</f>
        <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500</v>
      </c>
      <c r="G47" s="340" t="s">
        <v>512</v>
      </c>
      <c r="H47" s="341"/>
      <c r="I47" s="341"/>
      <c r="J47" s="341"/>
      <c r="K47" s="341"/>
      <c r="L47" s="341"/>
      <c r="M47" s="342"/>
      <c r="O47" s="2"/>
      <c r="Q47" s="3" t="e">
        <f>+IF(VLOOKUP(G47,base!$A$46:$C$66,3,FALSE)=F45,1,0)</f>
        <v>#N/A</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920</v>
      </c>
      <c r="G49" s="340" t="s">
        <v>899</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17"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 customHeight="1" x14ac:dyDescent="0.25">
      <c r="B59" s="2"/>
      <c r="D59" s="337" t="s">
        <v>34</v>
      </c>
      <c r="E59" s="337"/>
      <c r="F59" s="344" t="s">
        <v>921</v>
      </c>
      <c r="G59" s="344"/>
      <c r="H59" s="344"/>
      <c r="I59" s="344"/>
      <c r="J59" s="344"/>
      <c r="K59" s="344"/>
      <c r="L59" s="344"/>
      <c r="M59" s="344"/>
      <c r="O59" s="2"/>
    </row>
    <row r="60" spans="2:15" ht="27.75" customHeight="1" x14ac:dyDescent="0.25">
      <c r="B60" s="2"/>
      <c r="D60" s="359" t="s">
        <v>35</v>
      </c>
      <c r="E60" s="359"/>
      <c r="F60" s="344" t="s">
        <v>922</v>
      </c>
      <c r="G60" s="344"/>
      <c r="H60" s="344"/>
      <c r="I60" s="344"/>
      <c r="J60" s="344"/>
      <c r="K60" s="344"/>
      <c r="L60" s="344"/>
      <c r="M60" s="344"/>
      <c r="O60" s="2"/>
    </row>
    <row r="61" spans="2:15" ht="27.75" customHeight="1" x14ac:dyDescent="0.25">
      <c r="B61" s="2"/>
      <c r="D61" s="359" t="s">
        <v>36</v>
      </c>
      <c r="E61" s="359"/>
      <c r="F61" s="344" t="s">
        <v>923</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43" t="s">
        <v>39</v>
      </c>
      <c r="E71" s="343"/>
      <c r="F71" s="4" t="s">
        <v>50</v>
      </c>
      <c r="G71" s="3">
        <v>6</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60" t="s">
        <v>50</v>
      </c>
      <c r="E80" s="360"/>
      <c r="F80" s="16" t="s">
        <v>500</v>
      </c>
      <c r="G80" s="16">
        <v>0.19900000000000001</v>
      </c>
      <c r="H80" s="16">
        <v>0.2</v>
      </c>
      <c r="I80" s="16">
        <v>0.249</v>
      </c>
      <c r="J80" s="16">
        <v>0.25</v>
      </c>
      <c r="K80" s="16">
        <v>0.34899999999999998</v>
      </c>
      <c r="L80" s="16">
        <v>0.35</v>
      </c>
      <c r="M80" s="16" t="s">
        <v>500</v>
      </c>
      <c r="O80" s="2"/>
      <c r="AE80" s="3" t="s">
        <v>50</v>
      </c>
      <c r="AF80" s="3">
        <v>6</v>
      </c>
      <c r="AG80" s="3">
        <f t="shared" si="0"/>
        <v>1</v>
      </c>
      <c r="AH80" s="3">
        <f>+IF(AG80=0,0,IF(AG80=1,(SUM($AG$75:AG80)-1),1))</f>
        <v>0</v>
      </c>
      <c r="AI80" s="3">
        <f t="shared" si="1"/>
        <v>0</v>
      </c>
      <c r="AJ80" s="3">
        <f t="shared" si="2"/>
        <v>1</v>
      </c>
      <c r="AK80" s="3">
        <f t="shared" si="3"/>
        <v>1</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1</v>
      </c>
      <c r="AI81" s="3">
        <f t="shared" si="1"/>
        <v>0</v>
      </c>
      <c r="AJ81" s="3">
        <f t="shared" si="2"/>
        <v>0</v>
      </c>
      <c r="AK81" s="3">
        <f t="shared" si="3"/>
        <v>0</v>
      </c>
    </row>
    <row r="82" spans="2:37" x14ac:dyDescent="0.25">
      <c r="B82" s="2"/>
      <c r="D82" s="360" t="s">
        <v>54</v>
      </c>
      <c r="E82" s="360"/>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2</v>
      </c>
      <c r="AI82" s="3">
        <f t="shared" si="1"/>
        <v>0</v>
      </c>
      <c r="AJ82" s="3">
        <f t="shared" si="2"/>
        <v>0</v>
      </c>
      <c r="AK82" s="3">
        <f t="shared" si="3"/>
        <v>0</v>
      </c>
    </row>
    <row r="83" spans="2:37" x14ac:dyDescent="0.25">
      <c r="B83" s="2"/>
      <c r="D83" s="360" t="s">
        <v>55</v>
      </c>
      <c r="E83" s="360"/>
      <c r="F83" s="16" t="s">
        <v>500</v>
      </c>
      <c r="G83" s="16">
        <v>0.44900000000000001</v>
      </c>
      <c r="H83" s="16">
        <v>0.45</v>
      </c>
      <c r="I83" s="16">
        <v>0.64900000000000002</v>
      </c>
      <c r="J83" s="16">
        <v>0.65</v>
      </c>
      <c r="K83" s="16">
        <v>0.749</v>
      </c>
      <c r="L83" s="16">
        <v>0.75</v>
      </c>
      <c r="M83" s="16" t="s">
        <v>500</v>
      </c>
      <c r="O83" s="2"/>
      <c r="AE83" s="3" t="s">
        <v>55</v>
      </c>
      <c r="AF83" s="3">
        <v>9</v>
      </c>
      <c r="AG83" s="3">
        <f t="shared" si="0"/>
        <v>1</v>
      </c>
      <c r="AH83" s="3">
        <f>+IF(AG83=0,0,IF(AG83=1,(SUM($AG$75:AG83)-1),1))</f>
        <v>3</v>
      </c>
      <c r="AI83" s="3">
        <f t="shared" si="1"/>
        <v>1</v>
      </c>
      <c r="AJ83" s="3">
        <f t="shared" si="2"/>
        <v>0</v>
      </c>
      <c r="AK83" s="3">
        <f t="shared" si="3"/>
        <v>1</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4</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5</v>
      </c>
      <c r="AI85" s="3">
        <f t="shared" si="1"/>
        <v>0</v>
      </c>
      <c r="AJ85" s="3">
        <f t="shared" si="2"/>
        <v>0</v>
      </c>
      <c r="AK85" s="3">
        <f t="shared" si="3"/>
        <v>0</v>
      </c>
    </row>
    <row r="86" spans="2:37" x14ac:dyDescent="0.25">
      <c r="B86" s="2"/>
      <c r="D86" s="360" t="s">
        <v>58</v>
      </c>
      <c r="E86" s="360"/>
      <c r="F86" s="16" t="s">
        <v>500</v>
      </c>
      <c r="G86" s="16">
        <v>0.749</v>
      </c>
      <c r="H86" s="16">
        <v>0.75</v>
      </c>
      <c r="I86" s="16">
        <v>0.79900000000000004</v>
      </c>
      <c r="J86" s="16">
        <v>0.8</v>
      </c>
      <c r="K86" s="16">
        <v>0.89900000000000002</v>
      </c>
      <c r="L86" s="16" t="s">
        <v>500</v>
      </c>
      <c r="M86" s="16">
        <v>1</v>
      </c>
      <c r="O86" s="2"/>
      <c r="AE86" s="3" t="s">
        <v>58</v>
      </c>
      <c r="AF86" s="65">
        <v>12</v>
      </c>
      <c r="AG86" s="3">
        <f t="shared" si="0"/>
        <v>1</v>
      </c>
      <c r="AH86" s="3">
        <f>+IF(AG86=0,0,IF(AG86=1,(SUM($AG$75:AG86)-1),1))</f>
        <v>6</v>
      </c>
      <c r="AI86" s="3">
        <f t="shared" si="1"/>
        <v>1</v>
      </c>
      <c r="AJ86" s="3">
        <f t="shared" si="2"/>
        <v>0</v>
      </c>
      <c r="AK86" s="3">
        <f t="shared" si="3"/>
        <v>1</v>
      </c>
    </row>
    <row r="87" spans="2:37" ht="3.75" customHeight="1" x14ac:dyDescent="0.25">
      <c r="B87" s="2"/>
      <c r="O87" s="2"/>
    </row>
    <row r="88" spans="2:37" ht="66" customHeight="1" x14ac:dyDescent="0.25">
      <c r="B88" s="2"/>
      <c r="D88" s="338" t="s">
        <v>59</v>
      </c>
      <c r="E88" s="339"/>
      <c r="F88" s="340" t="s">
        <v>915</v>
      </c>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2" customHeight="1" x14ac:dyDescent="0.25">
      <c r="B97" s="2"/>
      <c r="D97" s="359" t="s">
        <v>35</v>
      </c>
      <c r="E97" s="359"/>
      <c r="F97" s="344" t="s">
        <v>924</v>
      </c>
      <c r="G97" s="344"/>
      <c r="H97" s="344"/>
      <c r="I97" s="344"/>
      <c r="J97" s="344"/>
      <c r="K97" s="344"/>
      <c r="L97" s="344"/>
      <c r="M97" s="344"/>
      <c r="O97" s="2"/>
    </row>
    <row r="98" spans="2:15" ht="42" customHeight="1" x14ac:dyDescent="0.25">
      <c r="B98" s="2"/>
      <c r="D98" s="359" t="s">
        <v>36</v>
      </c>
      <c r="E98" s="359"/>
      <c r="F98" s="344" t="s">
        <v>925</v>
      </c>
      <c r="G98" s="344"/>
      <c r="H98" s="344"/>
      <c r="I98" s="344"/>
      <c r="J98" s="344"/>
      <c r="K98" s="344"/>
      <c r="L98" s="344"/>
      <c r="M98" s="344"/>
      <c r="O98" s="2"/>
    </row>
    <row r="99" spans="2:15" ht="3.95" customHeight="1" x14ac:dyDescent="0.25">
      <c r="B99" s="2"/>
      <c r="O99" s="2"/>
    </row>
    <row r="100" spans="2:15" ht="58.5" customHeight="1" x14ac:dyDescent="0.25">
      <c r="B100" s="2"/>
      <c r="D100" s="338" t="s">
        <v>62</v>
      </c>
      <c r="E100" s="339"/>
      <c r="F100" s="425" t="s">
        <v>916</v>
      </c>
      <c r="G100" s="426"/>
      <c r="H100" s="426"/>
      <c r="I100" s="426"/>
      <c r="J100" s="426"/>
      <c r="K100" s="426"/>
      <c r="L100" s="426"/>
      <c r="M100" s="427"/>
      <c r="O100" s="2"/>
    </row>
    <row r="101" spans="2:15" ht="3.95" customHeight="1" x14ac:dyDescent="0.25">
      <c r="B101" s="2"/>
      <c r="O101" s="2"/>
    </row>
    <row r="102" spans="2:15" ht="19.5" customHeight="1" x14ac:dyDescent="0.25">
      <c r="B102" s="2"/>
      <c r="D102" s="329" t="s">
        <v>64</v>
      </c>
      <c r="E102" s="330"/>
      <c r="F102" s="19" t="s">
        <v>65</v>
      </c>
      <c r="G102" s="4" t="s">
        <v>2</v>
      </c>
      <c r="K102" s="20"/>
      <c r="O102" s="2"/>
    </row>
    <row r="103" spans="2:15" ht="19.5" customHeight="1" x14ac:dyDescent="0.25">
      <c r="B103" s="2"/>
      <c r="D103" s="331"/>
      <c r="E103" s="332"/>
      <c r="F103" s="19" t="s">
        <v>66</v>
      </c>
      <c r="G103" s="4"/>
      <c r="K103" s="21"/>
      <c r="O103" s="2"/>
    </row>
    <row r="104" spans="2:15" ht="27.75" customHeight="1" x14ac:dyDescent="0.25">
      <c r="B104" s="2"/>
      <c r="D104" s="331"/>
      <c r="E104" s="332"/>
      <c r="F104" s="19" t="s">
        <v>67</v>
      </c>
      <c r="G104" s="333"/>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Director(a) Gestión Humana</v>
      </c>
      <c r="H108" s="334"/>
      <c r="I108" s="334"/>
      <c r="J108" s="334"/>
      <c r="K108" s="334"/>
      <c r="L108" s="334"/>
      <c r="M108" s="335"/>
      <c r="O108" s="2"/>
    </row>
    <row r="109" spans="2:15" ht="17.25" customHeight="1" x14ac:dyDescent="0.25">
      <c r="B109" s="2"/>
      <c r="D109" s="331"/>
      <c r="E109" s="332"/>
      <c r="F109" s="19" t="s">
        <v>2042</v>
      </c>
      <c r="G109" s="333" t="str">
        <f>+IF(M23="Si","Coordinador(a) Planeación y Sistemas","")</f>
        <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876" priority="31">
      <formula>+IF($F$43="no",1,0)</formula>
    </cfRule>
  </conditionalFormatting>
  <conditionalFormatting sqref="F32:M33">
    <cfRule type="expression" dxfId="1875" priority="30">
      <formula>+IF($Q$30="NA",1,0)</formula>
    </cfRule>
  </conditionalFormatting>
  <conditionalFormatting sqref="F33:M33">
    <cfRule type="expression" dxfId="1874" priority="29">
      <formula>+IF($Q$33=0,1,0)</formula>
    </cfRule>
  </conditionalFormatting>
  <conditionalFormatting sqref="F47:M47">
    <cfRule type="expression" dxfId="1873" priority="28">
      <formula>+IF($Q$47=0,1,0)</formula>
    </cfRule>
  </conditionalFormatting>
  <conditionalFormatting sqref="F73:G73">
    <cfRule type="cellIs" dxfId="1872" priority="14" operator="equal">
      <formula>"optimo"</formula>
    </cfRule>
    <cfRule type="cellIs" dxfId="1871" priority="15" operator="equal">
      <formula>"critico"</formula>
    </cfRule>
  </conditionalFormatting>
  <conditionalFormatting sqref="H73:I73">
    <cfRule type="cellIs" dxfId="1870" priority="12" operator="equal">
      <formula>"Adecuado"</formula>
    </cfRule>
    <cfRule type="cellIs" dxfId="1869" priority="13" operator="equal">
      <formula>"en riesgo"</formula>
    </cfRule>
  </conditionalFormatting>
  <conditionalFormatting sqref="J73:K73">
    <cfRule type="cellIs" dxfId="1868" priority="10" operator="equal">
      <formula>"Adecuado"</formula>
    </cfRule>
    <cfRule type="cellIs" dxfId="1867" priority="11" operator="equal">
      <formula>"en riesgo"</formula>
    </cfRule>
  </conditionalFormatting>
  <conditionalFormatting sqref="L73:M73">
    <cfRule type="cellIs" dxfId="1866" priority="8" operator="equal">
      <formula>"optimo"</formula>
    </cfRule>
    <cfRule type="cellIs" dxfId="1865" priority="9" operator="equal">
      <formula>"critico"</formula>
    </cfRule>
  </conditionalFormatting>
  <conditionalFormatting sqref="F75:M86">
    <cfRule type="expression" dxfId="1864" priority="7">
      <formula>+IF($AK75=0,1)</formula>
    </cfRule>
  </conditionalFormatting>
  <conditionalFormatting sqref="F103:G104">
    <cfRule type="expression" dxfId="1863" priority="6">
      <formula>+IF($G$102="No",1,0)</formula>
    </cfRule>
  </conditionalFormatting>
  <conditionalFormatting sqref="F51">
    <cfRule type="expression" dxfId="1862" priority="5">
      <formula>+IF($F$43="no",1,0)</formula>
    </cfRule>
  </conditionalFormatting>
  <conditionalFormatting sqref="I51">
    <cfRule type="expression" dxfId="1861"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5">
    <tabColor rgb="FF0070C0"/>
  </sheetPr>
  <dimension ref="B1:AV113"/>
  <sheetViews>
    <sheetView zoomScaleNormal="100" workbookViewId="0">
      <selection activeCell="F88" sqref="F88:M88"/>
    </sheetView>
  </sheetViews>
  <sheetFormatPr baseColWidth="10" defaultRowHeight="12.75" x14ac:dyDescent="0.25"/>
  <cols>
    <col min="1" max="1" width="1.140625" style="104" customWidth="1"/>
    <col min="2" max="2" width="0.5703125" style="104" customWidth="1"/>
    <col min="3" max="3" width="1.42578125" style="104" customWidth="1"/>
    <col min="4" max="4" width="11" style="104" customWidth="1"/>
    <col min="5" max="13" width="11.42578125" style="104" customWidth="1"/>
    <col min="14" max="14" width="1.42578125" style="104" customWidth="1"/>
    <col min="15" max="15" width="0.5703125" style="104" customWidth="1"/>
    <col min="16" max="16" width="11.42578125" style="105"/>
    <col min="17" max="18" width="11.42578125" style="105" customWidth="1"/>
    <col min="19" max="19" width="11.42578125" style="105"/>
    <col min="20" max="20" width="2.7109375" style="105" customWidth="1"/>
    <col min="21" max="21" width="11.42578125" style="105"/>
    <col min="22" max="22" width="2.7109375" style="105" customWidth="1"/>
    <col min="23" max="23" width="11.42578125" style="105"/>
    <col min="24" max="24" width="2.7109375" style="105" customWidth="1"/>
    <col min="25" max="25" width="11.42578125" style="105"/>
    <col min="26" max="26" width="2.7109375" style="105" customWidth="1"/>
    <col min="27" max="27" width="11.42578125" style="105"/>
    <col min="28" max="28" width="2.7109375" style="105" customWidth="1"/>
    <col min="29" max="31" width="11.42578125" style="105"/>
    <col min="32" max="37" width="3.140625" style="105" customWidth="1"/>
    <col min="38" max="45" width="7.42578125" style="105" customWidth="1"/>
    <col min="46" max="48" width="11.42578125" style="105"/>
    <col min="49" max="16384" width="11.42578125" style="104"/>
  </cols>
  <sheetData>
    <row r="1" spans="2:19" ht="3.95" customHeight="1" x14ac:dyDescent="0.25"/>
    <row r="2" spans="2:19" ht="3.95" customHeight="1" x14ac:dyDescent="0.25">
      <c r="B2" s="106"/>
      <c r="C2" s="106"/>
      <c r="D2" s="106"/>
      <c r="E2" s="106"/>
      <c r="F2" s="106"/>
      <c r="G2" s="106"/>
      <c r="H2" s="106"/>
      <c r="I2" s="106"/>
      <c r="J2" s="106"/>
      <c r="K2" s="106"/>
      <c r="L2" s="106"/>
      <c r="M2" s="106"/>
      <c r="N2" s="106"/>
      <c r="O2" s="106"/>
    </row>
    <row r="3" spans="2:19" ht="20.25" customHeight="1" x14ac:dyDescent="0.25">
      <c r="B3" s="106"/>
      <c r="C3" s="411" t="s">
        <v>0</v>
      </c>
      <c r="D3" s="411"/>
      <c r="E3" s="411"/>
      <c r="F3" s="411"/>
      <c r="G3" s="411"/>
      <c r="H3" s="411"/>
      <c r="I3" s="411"/>
      <c r="J3" s="411"/>
      <c r="K3" s="411"/>
      <c r="L3" s="411"/>
      <c r="M3" s="411"/>
      <c r="N3" s="411"/>
      <c r="O3" s="106"/>
    </row>
    <row r="4" spans="2:19" ht="20.25" customHeight="1" x14ac:dyDescent="0.25">
      <c r="B4" s="106"/>
      <c r="C4" s="411"/>
      <c r="D4" s="411"/>
      <c r="E4" s="411"/>
      <c r="F4" s="411"/>
      <c r="G4" s="411"/>
      <c r="H4" s="411"/>
      <c r="I4" s="411"/>
      <c r="J4" s="411"/>
      <c r="K4" s="411"/>
      <c r="L4" s="411"/>
      <c r="M4" s="411"/>
      <c r="N4" s="411"/>
      <c r="O4" s="106"/>
      <c r="Q4" s="3"/>
      <c r="R4" s="3"/>
      <c r="S4" s="105" t="s">
        <v>1</v>
      </c>
    </row>
    <row r="5" spans="2:19" ht="20.25" customHeight="1" x14ac:dyDescent="0.25">
      <c r="B5" s="106"/>
      <c r="C5" s="411"/>
      <c r="D5" s="411"/>
      <c r="E5" s="411"/>
      <c r="F5" s="411"/>
      <c r="G5" s="411"/>
      <c r="H5" s="411"/>
      <c r="I5" s="411"/>
      <c r="J5" s="411"/>
      <c r="K5" s="411"/>
      <c r="L5" s="411"/>
      <c r="M5" s="411"/>
      <c r="N5" s="411"/>
      <c r="O5" s="106"/>
      <c r="S5" s="105" t="s">
        <v>2</v>
      </c>
    </row>
    <row r="6" spans="2:19" ht="3" customHeight="1" x14ac:dyDescent="0.25">
      <c r="B6" s="106"/>
      <c r="C6" s="106"/>
      <c r="D6" s="106"/>
      <c r="E6" s="106"/>
      <c r="F6" s="106"/>
      <c r="G6" s="106"/>
      <c r="H6" s="106"/>
      <c r="I6" s="106"/>
      <c r="J6" s="106"/>
      <c r="K6" s="106"/>
      <c r="L6" s="106"/>
      <c r="M6" s="106"/>
      <c r="N6" s="106"/>
      <c r="O6" s="106"/>
    </row>
    <row r="7" spans="2:19" ht="3" customHeight="1" x14ac:dyDescent="0.25"/>
    <row r="8" spans="2:19" ht="3.95" customHeight="1" x14ac:dyDescent="0.25">
      <c r="B8" s="106"/>
      <c r="C8" s="106"/>
      <c r="D8" s="106"/>
      <c r="E8" s="106"/>
      <c r="F8" s="106"/>
      <c r="G8" s="106"/>
      <c r="H8" s="106"/>
      <c r="I8" s="106"/>
      <c r="J8" s="106"/>
      <c r="K8" s="106"/>
      <c r="L8" s="106"/>
      <c r="M8" s="106"/>
      <c r="N8" s="106"/>
      <c r="O8" s="106"/>
    </row>
    <row r="9" spans="2:19" ht="3.95" customHeight="1" x14ac:dyDescent="0.25">
      <c r="B9" s="106"/>
      <c r="O9" s="106"/>
    </row>
    <row r="10" spans="2:19" ht="15.75" customHeight="1" x14ac:dyDescent="0.25">
      <c r="B10" s="106"/>
      <c r="D10" s="387" t="s">
        <v>3</v>
      </c>
      <c r="E10" s="387"/>
      <c r="F10" s="107">
        <v>2015</v>
      </c>
      <c r="G10" s="108" t="s">
        <v>4</v>
      </c>
      <c r="H10" s="107" t="s">
        <v>1360</v>
      </c>
      <c r="O10" s="106"/>
    </row>
    <row r="11" spans="2:19" ht="3.95" customHeight="1" x14ac:dyDescent="0.25">
      <c r="B11" s="106"/>
      <c r="D11" s="109"/>
      <c r="O11" s="106"/>
    </row>
    <row r="12" spans="2:19" ht="36" customHeight="1" x14ac:dyDescent="0.25">
      <c r="B12" s="106"/>
      <c r="D12" s="378" t="s">
        <v>5</v>
      </c>
      <c r="E12" s="379"/>
      <c r="F12" s="389" t="s">
        <v>1355</v>
      </c>
      <c r="G12" s="390"/>
      <c r="H12" s="390"/>
      <c r="I12" s="390"/>
      <c r="J12" s="390"/>
      <c r="K12" s="390"/>
      <c r="L12" s="390"/>
      <c r="M12" s="391"/>
      <c r="O12" s="106"/>
      <c r="Q12" s="110" t="s">
        <v>1977</v>
      </c>
      <c r="S12" s="111">
        <v>154</v>
      </c>
    </row>
    <row r="13" spans="2:19" ht="3.95" customHeight="1" x14ac:dyDescent="0.25">
      <c r="B13" s="106"/>
      <c r="O13" s="106"/>
    </row>
    <row r="14" spans="2:19" ht="38.25" customHeight="1" x14ac:dyDescent="0.25">
      <c r="B14" s="106"/>
      <c r="D14" s="378" t="s">
        <v>6</v>
      </c>
      <c r="E14" s="379"/>
      <c r="F14" s="389" t="s">
        <v>1327</v>
      </c>
      <c r="G14" s="390"/>
      <c r="H14" s="390"/>
      <c r="I14" s="390"/>
      <c r="J14" s="390"/>
      <c r="K14" s="390"/>
      <c r="L14" s="390"/>
      <c r="M14" s="391"/>
      <c r="O14" s="106"/>
    </row>
    <row r="15" spans="2:19" ht="3.95" customHeight="1" x14ac:dyDescent="0.25">
      <c r="B15" s="106"/>
      <c r="O15" s="106"/>
    </row>
    <row r="16" spans="2:19" ht="3" customHeight="1" x14ac:dyDescent="0.25">
      <c r="B16" s="106"/>
      <c r="C16" s="106"/>
      <c r="D16" s="106"/>
      <c r="E16" s="106"/>
      <c r="F16" s="106"/>
      <c r="G16" s="106"/>
      <c r="H16" s="106"/>
      <c r="I16" s="106"/>
      <c r="J16" s="106"/>
      <c r="K16" s="106"/>
      <c r="L16" s="106"/>
      <c r="M16" s="106"/>
      <c r="N16" s="106"/>
      <c r="O16" s="106"/>
    </row>
    <row r="17" spans="2:17" ht="3" customHeight="1" x14ac:dyDescent="0.25"/>
    <row r="18" spans="2:17" ht="3" customHeight="1" x14ac:dyDescent="0.25">
      <c r="B18" s="106"/>
      <c r="C18" s="106"/>
      <c r="D18" s="106"/>
      <c r="E18" s="106"/>
      <c r="F18" s="106"/>
      <c r="G18" s="106"/>
      <c r="H18" s="106"/>
      <c r="I18" s="106"/>
      <c r="J18" s="106"/>
      <c r="K18" s="106"/>
      <c r="L18" s="106"/>
      <c r="M18" s="106"/>
      <c r="N18" s="106"/>
      <c r="O18" s="106"/>
    </row>
    <row r="19" spans="2:17" ht="3.95" customHeight="1" x14ac:dyDescent="0.25">
      <c r="B19" s="106"/>
      <c r="O19" s="106"/>
    </row>
    <row r="20" spans="2:17" x14ac:dyDescent="0.25">
      <c r="B20" s="106"/>
      <c r="D20" s="112" t="s">
        <v>7</v>
      </c>
      <c r="O20" s="106"/>
    </row>
    <row r="21" spans="2:17" ht="3.95" customHeight="1" x14ac:dyDescent="0.25">
      <c r="B21" s="106"/>
      <c r="O21" s="106"/>
    </row>
    <row r="22" spans="2:17" ht="18.75" customHeight="1" x14ac:dyDescent="0.25">
      <c r="B22" s="106"/>
      <c r="D22" s="387" t="s">
        <v>8</v>
      </c>
      <c r="E22" s="387"/>
      <c r="F22" s="113" t="s">
        <v>1978</v>
      </c>
      <c r="G22" s="387" t="s">
        <v>9</v>
      </c>
      <c r="H22" s="387"/>
      <c r="I22" s="114">
        <f>+IFERROR(VLOOKUP($S$12,[1]Hoja1!$B$5:$AT$190,19,FALSE),"")</f>
        <v>1</v>
      </c>
      <c r="K22" s="387" t="s">
        <v>10</v>
      </c>
      <c r="L22" s="387"/>
      <c r="M22" s="115" t="str">
        <f>+IFERROR(VLOOKUP($S$12,[1]Hoja1!$B$5:$AT$190,22,FALSE),"")</f>
        <v>Si</v>
      </c>
      <c r="O22" s="106"/>
    </row>
    <row r="23" spans="2:17" ht="19.5" customHeight="1" x14ac:dyDescent="0.25">
      <c r="B23" s="106"/>
      <c r="D23" s="387" t="s">
        <v>11</v>
      </c>
      <c r="E23" s="387"/>
      <c r="F23" s="107" t="str">
        <f>+IFERROR(VLOOKUP($S$12,[1]Hoja1!$B$5:$AT$190,33,FALSE),"")</f>
        <v>Mensual</v>
      </c>
      <c r="G23" s="387" t="s">
        <v>12</v>
      </c>
      <c r="H23" s="387"/>
      <c r="I23" s="107" t="str">
        <f>+IFERROR(VLOOKUP($S$12,[1]Hoja1!$B$5:$AT$190,21,FALSE),"")</f>
        <v>Porcentaje</v>
      </c>
      <c r="K23" s="387" t="s">
        <v>13</v>
      </c>
      <c r="L23" s="387"/>
      <c r="M23" s="115" t="str">
        <f>+IFERROR(VLOOKUP($S$12,[1]Hoja1!$B$5:$AT$190,23,FALSE),"")</f>
        <v>No</v>
      </c>
      <c r="O23" s="106"/>
    </row>
    <row r="24" spans="2:17" ht="20.100000000000001" customHeight="1" x14ac:dyDescent="0.25">
      <c r="B24" s="106"/>
      <c r="D24" s="387" t="s">
        <v>14</v>
      </c>
      <c r="E24" s="387"/>
      <c r="F24" s="107" t="s">
        <v>498</v>
      </c>
      <c r="G24" s="387" t="s">
        <v>15</v>
      </c>
      <c r="H24" s="387"/>
      <c r="I24" s="107" t="s">
        <v>103</v>
      </c>
      <c r="K24" s="387" t="s">
        <v>16</v>
      </c>
      <c r="L24" s="387"/>
      <c r="M24" s="115" t="str">
        <f>+IFERROR(VLOOKUP($S$12,[1]Hoja1!$B$5:$AT$190,24,FALSE),"")</f>
        <v>No</v>
      </c>
      <c r="O24" s="106"/>
    </row>
    <row r="25" spans="2:17" ht="20.100000000000001" customHeight="1" x14ac:dyDescent="0.25">
      <c r="B25" s="106"/>
      <c r="D25" s="387" t="s">
        <v>17</v>
      </c>
      <c r="E25" s="387"/>
      <c r="F25" s="107" t="str">
        <f>+IFERROR(VLOOKUP($S$12,[1]Hoja1!$B$5:$AT$190,18,FALSE),"")</f>
        <v>Eficiencia</v>
      </c>
      <c r="O25" s="106"/>
    </row>
    <row r="26" spans="2:17" ht="3.95" customHeight="1" x14ac:dyDescent="0.25">
      <c r="B26" s="106"/>
      <c r="O26" s="106"/>
    </row>
    <row r="27" spans="2:17" x14ac:dyDescent="0.25">
      <c r="B27" s="106"/>
      <c r="D27" s="112" t="s">
        <v>18</v>
      </c>
      <c r="O27" s="106"/>
    </row>
    <row r="28" spans="2:17" ht="3.95" customHeight="1" x14ac:dyDescent="0.25">
      <c r="B28" s="106"/>
      <c r="O28" s="106"/>
    </row>
    <row r="29" spans="2:17" ht="36" customHeight="1" x14ac:dyDescent="0.25">
      <c r="B29" s="106"/>
      <c r="D29" s="393" t="s">
        <v>19</v>
      </c>
      <c r="E29" s="393"/>
      <c r="F29" s="344" t="s">
        <v>891</v>
      </c>
      <c r="G29" s="344"/>
      <c r="H29" s="344"/>
      <c r="I29" s="344"/>
      <c r="J29" s="344"/>
      <c r="K29" s="344"/>
      <c r="L29" s="344"/>
      <c r="M29" s="344"/>
      <c r="O29" s="106"/>
      <c r="P29" s="105" t="s">
        <v>1995</v>
      </c>
    </row>
    <row r="30" spans="2:17" ht="18" customHeight="1" x14ac:dyDescent="0.25">
      <c r="B30" s="106"/>
      <c r="D30" s="404" t="s">
        <v>21</v>
      </c>
      <c r="E30" s="405"/>
      <c r="F30" s="10" t="s">
        <v>22</v>
      </c>
      <c r="G30" s="349" t="s">
        <v>5</v>
      </c>
      <c r="H30" s="350"/>
      <c r="I30" s="350"/>
      <c r="J30" s="350"/>
      <c r="K30" s="350"/>
      <c r="L30" s="350"/>
      <c r="M30" s="351"/>
      <c r="O30" s="106"/>
      <c r="Q30" s="105" t="str">
        <f>+IFERROR(VLOOKUP(G31,[1]base!$A$9:$C$25,3,FALSE),"")</f>
        <v>soporte</v>
      </c>
    </row>
    <row r="31" spans="2:17" ht="24" customHeight="1" x14ac:dyDescent="0.25">
      <c r="B31" s="106"/>
      <c r="D31" s="406"/>
      <c r="E31" s="407"/>
      <c r="F31" s="4" t="s">
        <v>257</v>
      </c>
      <c r="G31" s="340" t="s">
        <v>258</v>
      </c>
      <c r="H31" s="341"/>
      <c r="I31" s="341"/>
      <c r="J31" s="341"/>
      <c r="K31" s="341"/>
      <c r="L31" s="341"/>
      <c r="M31" s="342"/>
      <c r="O31" s="106"/>
    </row>
    <row r="32" spans="2:17" ht="18" customHeight="1" x14ac:dyDescent="0.25">
      <c r="B32" s="106"/>
      <c r="D32" s="404" t="s">
        <v>23</v>
      </c>
      <c r="E32" s="405"/>
      <c r="F32" s="10" t="s">
        <v>22</v>
      </c>
      <c r="G32" s="349" t="s">
        <v>5</v>
      </c>
      <c r="H32" s="350"/>
      <c r="I32" s="350"/>
      <c r="J32" s="350"/>
      <c r="K32" s="350"/>
      <c r="L32" s="350"/>
      <c r="M32" s="351"/>
      <c r="O32" s="106"/>
    </row>
    <row r="33" spans="2:17" ht="24" customHeight="1" x14ac:dyDescent="0.25">
      <c r="B33" s="106"/>
      <c r="D33" s="406"/>
      <c r="E33" s="407"/>
      <c r="F33" s="11" t="s">
        <v>918</v>
      </c>
      <c r="G33" s="340" t="s">
        <v>892</v>
      </c>
      <c r="H33" s="341"/>
      <c r="I33" s="341"/>
      <c r="J33" s="341"/>
      <c r="K33" s="341"/>
      <c r="L33" s="341"/>
      <c r="M33" s="342"/>
      <c r="O33" s="106"/>
      <c r="Q33" s="105">
        <f>+IFERROR(IF(VLOOKUP(G33,[1]base!$A$26:$C$40,3,FALSE)=F31,1,0),"")</f>
        <v>1</v>
      </c>
    </row>
    <row r="34" spans="2:17" ht="18" customHeight="1" x14ac:dyDescent="0.25">
      <c r="B34" s="106"/>
      <c r="D34" s="404" t="s">
        <v>24</v>
      </c>
      <c r="E34" s="405"/>
      <c r="F34" s="116" t="s">
        <v>22</v>
      </c>
      <c r="G34" s="408" t="s">
        <v>5</v>
      </c>
      <c r="H34" s="409"/>
      <c r="I34" s="409"/>
      <c r="J34" s="409"/>
      <c r="K34" s="409"/>
      <c r="L34" s="409"/>
      <c r="M34" s="410"/>
      <c r="O34" s="106"/>
    </row>
    <row r="35" spans="2:17" ht="39.75" customHeight="1" x14ac:dyDescent="0.25">
      <c r="B35" s="106"/>
      <c r="D35" s="406"/>
      <c r="E35" s="407"/>
      <c r="F35" s="4" t="s">
        <v>1716</v>
      </c>
      <c r="G35" s="340" t="s">
        <v>1592</v>
      </c>
      <c r="H35" s="341"/>
      <c r="I35" s="341"/>
      <c r="J35" s="341"/>
      <c r="K35" s="341"/>
      <c r="L35" s="341"/>
      <c r="M35" s="342"/>
      <c r="O35" s="106"/>
    </row>
    <row r="36" spans="2:17" ht="3.95" customHeight="1" x14ac:dyDescent="0.25">
      <c r="B36" s="106"/>
      <c r="O36" s="106"/>
    </row>
    <row r="37" spans="2:17" ht="3" customHeight="1" x14ac:dyDescent="0.25">
      <c r="B37" s="106"/>
      <c r="C37" s="106"/>
      <c r="D37" s="106"/>
      <c r="E37" s="106"/>
      <c r="F37" s="106"/>
      <c r="G37" s="106"/>
      <c r="H37" s="106"/>
      <c r="I37" s="106"/>
      <c r="J37" s="106"/>
      <c r="K37" s="106"/>
      <c r="L37" s="106"/>
      <c r="M37" s="106"/>
      <c r="N37" s="106"/>
      <c r="O37" s="106"/>
    </row>
    <row r="38" spans="2:17" ht="3" customHeight="1" x14ac:dyDescent="0.25"/>
    <row r="39" spans="2:17" ht="3" customHeight="1" x14ac:dyDescent="0.25">
      <c r="B39" s="106"/>
      <c r="C39" s="106"/>
      <c r="D39" s="106"/>
      <c r="E39" s="106"/>
      <c r="F39" s="106"/>
      <c r="G39" s="106"/>
      <c r="H39" s="106"/>
      <c r="I39" s="106"/>
      <c r="J39" s="106"/>
      <c r="K39" s="106"/>
      <c r="L39" s="106"/>
      <c r="M39" s="106"/>
      <c r="N39" s="106"/>
      <c r="O39" s="106"/>
    </row>
    <row r="40" spans="2:17" ht="3.95" customHeight="1" x14ac:dyDescent="0.25">
      <c r="B40" s="106"/>
      <c r="D40" s="112"/>
      <c r="O40" s="106"/>
    </row>
    <row r="41" spans="2:17" x14ac:dyDescent="0.25">
      <c r="B41" s="106"/>
      <c r="D41" s="112" t="s">
        <v>25</v>
      </c>
      <c r="O41" s="106"/>
    </row>
    <row r="42" spans="2:17" ht="3.95" customHeight="1" x14ac:dyDescent="0.25">
      <c r="B42" s="106"/>
      <c r="O42" s="106"/>
    </row>
    <row r="43" spans="2:17" ht="20.100000000000001" customHeight="1" x14ac:dyDescent="0.25">
      <c r="B43" s="106"/>
      <c r="D43" s="387" t="s">
        <v>26</v>
      </c>
      <c r="E43" s="387"/>
      <c r="F43" s="107" t="s">
        <v>2</v>
      </c>
      <c r="O43" s="106"/>
    </row>
    <row r="44" spans="2:17" ht="18" customHeight="1" x14ac:dyDescent="0.25">
      <c r="B44" s="106"/>
      <c r="D44" s="397" t="s">
        <v>27</v>
      </c>
      <c r="E44" s="398"/>
      <c r="F44" s="118" t="s">
        <v>22</v>
      </c>
      <c r="G44" s="401" t="s">
        <v>5</v>
      </c>
      <c r="H44" s="402"/>
      <c r="I44" s="402"/>
      <c r="J44" s="402"/>
      <c r="K44" s="402"/>
      <c r="L44" s="402"/>
      <c r="M44" s="403"/>
      <c r="O44" s="106"/>
    </row>
    <row r="45" spans="2:17" ht="18" customHeight="1" x14ac:dyDescent="0.25">
      <c r="B45" s="106"/>
      <c r="D45" s="399"/>
      <c r="E45" s="400"/>
      <c r="F45" s="107" t="str">
        <f>+IFERROR(VLOOKUP(G45,[1]base!$A$41:$B$45,2,FALSE),"")</f>
        <v>LP5</v>
      </c>
      <c r="G45" s="389" t="str">
        <f>+IFERROR(VLOOKUP($S$12,[1]Hoja1!$B$5:$AT$190,6,FALSE),"")</f>
        <v>Gestión Financiera</v>
      </c>
      <c r="H45" s="390"/>
      <c r="I45" s="390"/>
      <c r="J45" s="390"/>
      <c r="K45" s="390"/>
      <c r="L45" s="390"/>
      <c r="M45" s="391"/>
      <c r="O45" s="106"/>
      <c r="Q45" s="105" t="str">
        <f>+IFERROR(VLOOKUP(G45,[1]base!$A$41:$C$45,3,FALSE),"")</f>
        <v>financiera</v>
      </c>
    </row>
    <row r="46" spans="2:17" ht="18" customHeight="1" x14ac:dyDescent="0.25">
      <c r="B46" s="106"/>
      <c r="D46" s="397" t="s">
        <v>28</v>
      </c>
      <c r="E46" s="398"/>
      <c r="F46" s="118" t="s">
        <v>22</v>
      </c>
      <c r="G46" s="401" t="s">
        <v>5</v>
      </c>
      <c r="H46" s="402"/>
      <c r="I46" s="402"/>
      <c r="J46" s="402"/>
      <c r="K46" s="402"/>
      <c r="L46" s="402"/>
      <c r="M46" s="403"/>
      <c r="O46" s="106"/>
    </row>
    <row r="47" spans="2:17" ht="18" customHeight="1" x14ac:dyDescent="0.25">
      <c r="B47" s="106"/>
      <c r="D47" s="399"/>
      <c r="E47" s="400"/>
      <c r="F47" s="107" t="str">
        <f>+IFERROR(VLOOKUP(G47,[1]base!$A$46:$B$66,2,FALSE),"")</f>
        <v/>
      </c>
      <c r="G47" s="389"/>
      <c r="H47" s="390"/>
      <c r="I47" s="390"/>
      <c r="J47" s="390"/>
      <c r="K47" s="390"/>
      <c r="L47" s="390"/>
      <c r="M47" s="391"/>
      <c r="O47" s="106"/>
      <c r="Q47" s="105" t="e">
        <f>+IF(VLOOKUP(G47,[1]base!$A$46:$C$66,3,FALSE)=F45,1,0)</f>
        <v>#N/A</v>
      </c>
    </row>
    <row r="48" spans="2:17" ht="18" customHeight="1" x14ac:dyDescent="0.25">
      <c r="B48" s="106"/>
      <c r="D48" s="397" t="s">
        <v>29</v>
      </c>
      <c r="E48" s="398"/>
      <c r="F48" s="118" t="s">
        <v>22</v>
      </c>
      <c r="G48" s="401" t="s">
        <v>5</v>
      </c>
      <c r="H48" s="402"/>
      <c r="I48" s="402"/>
      <c r="J48" s="402"/>
      <c r="K48" s="402"/>
      <c r="L48" s="402"/>
      <c r="M48" s="403"/>
      <c r="O48" s="106"/>
    </row>
    <row r="49" spans="2:15" ht="29.25" customHeight="1" x14ac:dyDescent="0.25">
      <c r="B49" s="106"/>
      <c r="D49" s="399"/>
      <c r="E49" s="400"/>
      <c r="F49" s="119" t="str">
        <f>+IFERROR(VLOOKUP(G49,[1]base!$G$37:$H$47,2,FALSE),"")</f>
        <v>C-310-300-2</v>
      </c>
      <c r="G49" s="389" t="s">
        <v>899</v>
      </c>
      <c r="H49" s="390"/>
      <c r="I49" s="390"/>
      <c r="J49" s="390"/>
      <c r="K49" s="390"/>
      <c r="L49" s="390"/>
      <c r="M49" s="391"/>
      <c r="O49" s="106"/>
    </row>
    <row r="50" spans="2:15" ht="3.95" customHeight="1" x14ac:dyDescent="0.25">
      <c r="B50" s="106"/>
      <c r="O50" s="106"/>
    </row>
    <row r="51" spans="2:15" ht="20.100000000000001" customHeight="1" x14ac:dyDescent="0.25">
      <c r="B51" s="106"/>
      <c r="D51" s="387" t="s">
        <v>31</v>
      </c>
      <c r="E51" s="387"/>
      <c r="F51" s="107" t="str">
        <f>+IFERROR(VLOOKUP($S$12,[1]Hoja1!$B$5:$AT$190,26,FALSE),"")</f>
        <v>No</v>
      </c>
      <c r="G51" s="387" t="s">
        <v>32</v>
      </c>
      <c r="H51" s="387"/>
      <c r="I51" s="120" t="str">
        <f>+IFERROR(IF(F51="No","",VLOOKUP($S$12,[1]Hoja1!$B$5:$AT$190,20,FALSE)),"")</f>
        <v/>
      </c>
      <c r="O51" s="106"/>
    </row>
    <row r="52" spans="2:15" ht="3.95" customHeight="1" x14ac:dyDescent="0.25">
      <c r="B52" s="106"/>
      <c r="O52" s="106"/>
    </row>
    <row r="53" spans="2:15" ht="3" customHeight="1" x14ac:dyDescent="0.25">
      <c r="B53" s="106"/>
      <c r="C53" s="106"/>
      <c r="D53" s="106"/>
      <c r="E53" s="106"/>
      <c r="F53" s="106"/>
      <c r="G53" s="106"/>
      <c r="H53" s="106"/>
      <c r="I53" s="106"/>
      <c r="J53" s="106"/>
      <c r="K53" s="106"/>
      <c r="L53" s="106"/>
      <c r="M53" s="106"/>
      <c r="N53" s="106"/>
      <c r="O53" s="106"/>
    </row>
    <row r="54" spans="2:15" ht="3" customHeight="1" x14ac:dyDescent="0.25"/>
    <row r="55" spans="2:15" ht="3.95" customHeight="1" x14ac:dyDescent="0.25">
      <c r="B55" s="106"/>
      <c r="C55" s="106"/>
      <c r="D55" s="106"/>
      <c r="E55" s="106"/>
      <c r="F55" s="106"/>
      <c r="G55" s="106"/>
      <c r="H55" s="106"/>
      <c r="I55" s="106"/>
      <c r="J55" s="106"/>
      <c r="K55" s="106"/>
      <c r="L55" s="106"/>
      <c r="M55" s="106"/>
      <c r="N55" s="106"/>
      <c r="O55" s="106"/>
    </row>
    <row r="56" spans="2:15" ht="3.95" customHeight="1" x14ac:dyDescent="0.25">
      <c r="B56" s="106"/>
      <c r="O56" s="106"/>
    </row>
    <row r="57" spans="2:15" x14ac:dyDescent="0.25">
      <c r="B57" s="106"/>
      <c r="D57" s="112" t="s">
        <v>33</v>
      </c>
      <c r="O57" s="106"/>
    </row>
    <row r="58" spans="2:15" ht="3.95" customHeight="1" x14ac:dyDescent="0.25">
      <c r="B58" s="106"/>
      <c r="O58" s="106"/>
    </row>
    <row r="59" spans="2:15" ht="30" customHeight="1" x14ac:dyDescent="0.25">
      <c r="B59" s="106"/>
      <c r="D59" s="387" t="s">
        <v>34</v>
      </c>
      <c r="E59" s="387"/>
      <c r="F59" s="370" t="str">
        <f>+IF(F60="","",F60&amp;" / "&amp;F61)</f>
        <v>Recursos Comprometidos / Meta Mensual de Compromisos</v>
      </c>
      <c r="G59" s="370"/>
      <c r="H59" s="370"/>
      <c r="I59" s="370"/>
      <c r="J59" s="370"/>
      <c r="K59" s="370"/>
      <c r="L59" s="370"/>
      <c r="M59" s="370"/>
      <c r="O59" s="106"/>
    </row>
    <row r="60" spans="2:15" ht="30" customHeight="1" x14ac:dyDescent="0.25">
      <c r="B60" s="106"/>
      <c r="D60" s="369" t="s">
        <v>35</v>
      </c>
      <c r="E60" s="369"/>
      <c r="F60" s="370" t="str">
        <f>+IFERROR(VLOOKUP($S$12,[1]Hoja1!$B$5:$AT$190,28,FALSE),"")</f>
        <v>Recursos Comprometidos</v>
      </c>
      <c r="G60" s="370"/>
      <c r="H60" s="370"/>
      <c r="I60" s="370"/>
      <c r="J60" s="370"/>
      <c r="K60" s="370"/>
      <c r="L60" s="370"/>
      <c r="M60" s="370"/>
      <c r="O60" s="106"/>
    </row>
    <row r="61" spans="2:15" ht="30" customHeight="1" x14ac:dyDescent="0.25">
      <c r="B61" s="106"/>
      <c r="D61" s="369" t="s">
        <v>36</v>
      </c>
      <c r="E61" s="369"/>
      <c r="F61" s="389" t="str">
        <f>+IFERROR(VLOOKUP($S$12,[1]Hoja1!$B$5:$AT$190,30,FALSE),"")</f>
        <v>Meta Mensual de Compromisos</v>
      </c>
      <c r="G61" s="390"/>
      <c r="H61" s="390"/>
      <c r="I61" s="390"/>
      <c r="J61" s="390"/>
      <c r="K61" s="390"/>
      <c r="L61" s="390"/>
      <c r="M61" s="391"/>
      <c r="O61" s="106"/>
    </row>
    <row r="62" spans="2:15" ht="3.95" customHeight="1" x14ac:dyDescent="0.25">
      <c r="B62" s="106"/>
      <c r="O62" s="106"/>
    </row>
    <row r="63" spans="2:15" ht="3" customHeight="1" x14ac:dyDescent="0.25">
      <c r="B63" s="106"/>
      <c r="C63" s="106"/>
      <c r="D63" s="106"/>
      <c r="E63" s="106"/>
      <c r="F63" s="106"/>
      <c r="G63" s="106"/>
      <c r="H63" s="106"/>
      <c r="I63" s="106"/>
      <c r="J63" s="106"/>
      <c r="K63" s="106"/>
      <c r="L63" s="106"/>
      <c r="M63" s="106"/>
      <c r="N63" s="106"/>
      <c r="O63" s="106"/>
    </row>
    <row r="64" spans="2:15" x14ac:dyDescent="0.25">
      <c r="M64" s="121" t="s">
        <v>37</v>
      </c>
    </row>
    <row r="65" spans="2:45" ht="3" customHeight="1" x14ac:dyDescent="0.25">
      <c r="B65" s="106"/>
      <c r="C65" s="106"/>
      <c r="D65" s="106"/>
      <c r="E65" s="106"/>
      <c r="F65" s="106"/>
      <c r="G65" s="106"/>
      <c r="H65" s="106"/>
      <c r="I65" s="106"/>
      <c r="J65" s="106"/>
      <c r="K65" s="106"/>
      <c r="L65" s="106"/>
      <c r="M65" s="106"/>
      <c r="N65" s="106"/>
      <c r="O65" s="106"/>
    </row>
    <row r="66" spans="2:45" ht="3.95" customHeight="1" x14ac:dyDescent="0.25">
      <c r="B66" s="106"/>
      <c r="O66" s="106"/>
    </row>
    <row r="67" spans="2:45" x14ac:dyDescent="0.25">
      <c r="B67" s="106"/>
      <c r="D67" s="392" t="s">
        <v>38</v>
      </c>
      <c r="E67" s="392"/>
      <c r="O67" s="106"/>
    </row>
    <row r="68" spans="2:45" ht="3.95" customHeight="1" x14ac:dyDescent="0.25">
      <c r="B68" s="106"/>
      <c r="D68" s="112"/>
      <c r="E68" s="112"/>
      <c r="O68" s="106"/>
    </row>
    <row r="69" spans="2:45" ht="18.75" customHeight="1" x14ac:dyDescent="0.25">
      <c r="B69" s="106"/>
      <c r="O69" s="106"/>
      <c r="Q69" s="122" t="s">
        <v>11</v>
      </c>
      <c r="S69" s="105" t="str">
        <f>+IF(F23=0,"",F23)</f>
        <v>Mensual</v>
      </c>
      <c r="U69" s="105">
        <f>+IFERROR(VLOOKUP(S69,[1]base!$H$23:$I$28,2,FALSE),"")</f>
        <v>1</v>
      </c>
    </row>
    <row r="70" spans="2:45" ht="3.95" customHeight="1" x14ac:dyDescent="0.25">
      <c r="B70" s="106"/>
      <c r="D70" s="112"/>
      <c r="E70" s="112"/>
      <c r="O70" s="106"/>
    </row>
    <row r="71" spans="2:45" ht="18.75" customHeight="1" x14ac:dyDescent="0.25">
      <c r="B71" s="106"/>
      <c r="D71" s="393" t="s">
        <v>39</v>
      </c>
      <c r="E71" s="393"/>
      <c r="F71" s="107" t="s">
        <v>47</v>
      </c>
      <c r="G71" s="105">
        <f>+IFERROR(VLOOKUP(F71,$AE$75:$AF$86,2,FALSE),"")</f>
        <v>3</v>
      </c>
      <c r="O71" s="106"/>
      <c r="Q71" s="122" t="s">
        <v>14</v>
      </c>
      <c r="S71" s="105" t="str">
        <f>+IF(F24=0,"",F24)</f>
        <v>Creciente</v>
      </c>
    </row>
    <row r="72" spans="2:45" ht="3.95" customHeight="1" x14ac:dyDescent="0.25">
      <c r="B72" s="106"/>
      <c r="D72" s="112"/>
      <c r="E72" s="112"/>
      <c r="O72" s="106"/>
    </row>
    <row r="73" spans="2:45" x14ac:dyDescent="0.25">
      <c r="B73" s="106"/>
      <c r="D73" s="394" t="s">
        <v>41</v>
      </c>
      <c r="E73" s="394"/>
      <c r="F73" s="395" t="s">
        <v>42</v>
      </c>
      <c r="G73" s="396"/>
      <c r="H73" s="395" t="s">
        <v>43</v>
      </c>
      <c r="I73" s="396"/>
      <c r="J73" s="395" t="s">
        <v>44</v>
      </c>
      <c r="K73" s="396"/>
      <c r="L73" s="395" t="s">
        <v>45</v>
      </c>
      <c r="M73" s="396"/>
      <c r="O73" s="106"/>
      <c r="S73" s="111">
        <f>+IFERROR(VLOOKUP(S74,$AE$75:$AK$86,7,FALSE),"")</f>
        <v>0</v>
      </c>
      <c r="U73" s="111">
        <f>+IFERROR(VLOOKUP(U74,$AE$75:$AK$86,7,FALSE),"")</f>
        <v>0</v>
      </c>
      <c r="W73" s="111">
        <f>+IFERROR(VLOOKUP(W74,$AE$75:$AK$86,7,FALSE),"")</f>
        <v>1</v>
      </c>
      <c r="Y73" s="111">
        <f>+IFERROR(VLOOKUP(Y74,$AE$75:$AK$86,7,FALSE),"")</f>
        <v>1</v>
      </c>
      <c r="AA73" s="111">
        <f>+IFERROR(VLOOKUP(AA74,$AE$75:$AK$86,7,FALSE),"")</f>
        <v>1</v>
      </c>
      <c r="AC73" s="111">
        <f>+IFERROR(VLOOKUP(AC74,$AE$75:$AK$86,7,FALSE),"")</f>
        <v>1</v>
      </c>
      <c r="AL73" s="388" t="s">
        <v>42</v>
      </c>
      <c r="AM73" s="388"/>
      <c r="AN73" s="388" t="s">
        <v>43</v>
      </c>
      <c r="AO73" s="388"/>
      <c r="AP73" s="388" t="s">
        <v>44</v>
      </c>
      <c r="AQ73" s="388"/>
      <c r="AR73" s="388" t="s">
        <v>45</v>
      </c>
      <c r="AS73" s="388"/>
    </row>
    <row r="74" spans="2:45" x14ac:dyDescent="0.25">
      <c r="B74" s="106"/>
      <c r="D74" s="394"/>
      <c r="E74" s="394"/>
      <c r="F74" s="123" t="str">
        <f>+IF($F$24="Decreciente","Max","Min")</f>
        <v>Min</v>
      </c>
      <c r="G74" s="123" t="str">
        <f>+IF($F$24="Decreciente","MIn","Max")</f>
        <v>Max</v>
      </c>
      <c r="H74" s="123" t="str">
        <f>+IF($F$24="Decreciente","Max","Min")</f>
        <v>Min</v>
      </c>
      <c r="I74" s="123" t="str">
        <f>+IF($F$24="Decreciente","MIn","Max")</f>
        <v>Max</v>
      </c>
      <c r="J74" s="123" t="str">
        <f>+IF($F$24="Decreciente","Max","Min")</f>
        <v>Min</v>
      </c>
      <c r="K74" s="123" t="str">
        <f>+IF($F$24="Decreciente","MIn","Max")</f>
        <v>Max</v>
      </c>
      <c r="L74" s="123" t="str">
        <f>+IF($F$24="Decreciente","Max","Min")</f>
        <v>Min</v>
      </c>
      <c r="M74" s="123" t="str">
        <f>+IF($F$24="Decreciente","MIn","Max")</f>
        <v>Max</v>
      </c>
      <c r="O74" s="106"/>
      <c r="S74" s="124" t="s">
        <v>46</v>
      </c>
      <c r="T74" s="124"/>
      <c r="U74" s="124" t="s">
        <v>40</v>
      </c>
      <c r="V74" s="124"/>
      <c r="W74" s="124" t="s">
        <v>47</v>
      </c>
      <c r="X74" s="124"/>
      <c r="Y74" s="124" t="s">
        <v>48</v>
      </c>
      <c r="Z74" s="124"/>
      <c r="AA74" s="124" t="s">
        <v>49</v>
      </c>
      <c r="AB74" s="124"/>
      <c r="AC74" s="124" t="s">
        <v>50</v>
      </c>
      <c r="AL74" s="125" t="s">
        <v>51</v>
      </c>
      <c r="AM74" s="125" t="s">
        <v>52</v>
      </c>
      <c r="AN74" s="125" t="s">
        <v>51</v>
      </c>
      <c r="AO74" s="125" t="s">
        <v>52</v>
      </c>
      <c r="AP74" s="125" t="s">
        <v>51</v>
      </c>
      <c r="AQ74" s="125" t="s">
        <v>52</v>
      </c>
      <c r="AR74" s="125" t="s">
        <v>51</v>
      </c>
      <c r="AS74" s="125" t="s">
        <v>52</v>
      </c>
    </row>
    <row r="75" spans="2:45" x14ac:dyDescent="0.25">
      <c r="B75" s="106"/>
      <c r="D75" s="386" t="s">
        <v>46</v>
      </c>
      <c r="E75" s="386"/>
      <c r="F75" s="126"/>
      <c r="G75" s="126"/>
      <c r="H75" s="126"/>
      <c r="I75" s="126"/>
      <c r="J75" s="126"/>
      <c r="K75" s="126"/>
      <c r="L75" s="126"/>
      <c r="M75" s="126"/>
      <c r="O75" s="106"/>
      <c r="Q75" s="122" t="s">
        <v>1980</v>
      </c>
      <c r="R75" s="111"/>
      <c r="S75" s="127"/>
      <c r="T75" s="111"/>
      <c r="U75" s="127"/>
      <c r="V75" s="111"/>
      <c r="W75" s="127"/>
      <c r="X75" s="111"/>
      <c r="Y75" s="127"/>
      <c r="Z75" s="111"/>
      <c r="AA75" s="127"/>
      <c r="AB75" s="111"/>
      <c r="AC75" s="127"/>
      <c r="AE75" s="105" t="s">
        <v>46</v>
      </c>
      <c r="AF75" s="105">
        <v>1</v>
      </c>
      <c r="AG75" s="105">
        <f>+IF(AF75&gt;=$G$71,1,0)</f>
        <v>0</v>
      </c>
      <c r="AH75" s="105">
        <f>+IF(AG75=0,0,IF(AG75=1,(SUM($AG$75:AG75)-1),1))</f>
        <v>0</v>
      </c>
      <c r="AI75" s="105">
        <f>+IF(AH75=0,0,IF(MOD(AH75,$U$69)=0,1,0))</f>
        <v>0</v>
      </c>
      <c r="AJ75" s="105">
        <f>+IF(AE75=$F$71,1,0)</f>
        <v>0</v>
      </c>
      <c r="AK75" s="105">
        <f>+MAX(AI75:AJ75)</f>
        <v>0</v>
      </c>
      <c r="AL75" s="128" t="str">
        <f>+""</f>
        <v/>
      </c>
      <c r="AM75" s="128" t="str">
        <f>+IF(AK75=0,"",IF(R78="&gt;",S78+0.001,IF(R78="&lt;",S78-0.001,S78)))</f>
        <v/>
      </c>
      <c r="AN75" s="128" t="str">
        <f>+IF(R77="NA","",IF(AK75=0,"",IF(R78="≥",S78-0.001,IF(R78="≤",S78+0.001,S78))))</f>
        <v/>
      </c>
      <c r="AO75" s="128" t="str">
        <f>IF(R77="NA","",IF(AK75=0,"",IF(R77="&gt;",S77+0.001,IF(R77="&lt;",S77-0.001,S77))))</f>
        <v/>
      </c>
      <c r="AP75" s="128" t="str">
        <f>+IF(R76="NA","",IF(AK75=0,"",IF(R77="≥",S77-0.001,IF(R77="≤",S77+0.001,S77))))</f>
        <v/>
      </c>
      <c r="AQ75" s="128" t="str">
        <f>+IF(R76="NA","",IF(AK75=0,"",IF(R76="&gt;",S76+0.001,IF(R76="&lt;",S76-0.001,S76))))</f>
        <v/>
      </c>
      <c r="AR75" s="128" t="str">
        <f>IF(AK75=0,"",IF(R76="≥",S75-0.001,IF(R76="≤",S75+0.001,"")))</f>
        <v/>
      </c>
      <c r="AS75" s="128" t="str">
        <f>+IF(AK75=0,"",IF(R75="=",S75,""))</f>
        <v/>
      </c>
    </row>
    <row r="76" spans="2:45" x14ac:dyDescent="0.25">
      <c r="B76" s="106"/>
      <c r="D76" s="386" t="s">
        <v>40</v>
      </c>
      <c r="E76" s="386"/>
      <c r="F76" s="126"/>
      <c r="G76" s="126"/>
      <c r="H76" s="126"/>
      <c r="I76" s="126"/>
      <c r="J76" s="126"/>
      <c r="K76" s="126"/>
      <c r="L76" s="126"/>
      <c r="M76" s="126"/>
      <c r="O76" s="106"/>
      <c r="Q76" s="122" t="s">
        <v>1981</v>
      </c>
      <c r="R76" s="111"/>
      <c r="S76" s="127"/>
      <c r="T76" s="111"/>
      <c r="U76" s="127"/>
      <c r="V76" s="111"/>
      <c r="W76" s="127"/>
      <c r="X76" s="111"/>
      <c r="Y76" s="127"/>
      <c r="Z76" s="111"/>
      <c r="AA76" s="127"/>
      <c r="AB76" s="111"/>
      <c r="AC76" s="127"/>
      <c r="AE76" s="105" t="s">
        <v>40</v>
      </c>
      <c r="AF76" s="105">
        <v>2</v>
      </c>
      <c r="AG76" s="105">
        <f t="shared" ref="AG76:AG86" si="0">+IF(AF76&gt;=$G$71,1,0)</f>
        <v>0</v>
      </c>
      <c r="AH76" s="105">
        <f>+IF(AG76=0,0,IF(AG76=1,(SUM($AG$75:AG76)-1),1))</f>
        <v>0</v>
      </c>
      <c r="AI76" s="105">
        <f t="shared" ref="AI76:AI86" si="1">+IF(AH76=0,0,IF(MOD(AH76,$U$69)=0,1,0))</f>
        <v>0</v>
      </c>
      <c r="AJ76" s="105">
        <f t="shared" ref="AJ76:AJ86" si="2">+IF(AE76=$F$71,1,0)</f>
        <v>0</v>
      </c>
      <c r="AK76" s="105">
        <f t="shared" ref="AK76:AK86" si="3">+MAX(AI76:AJ76)</f>
        <v>0</v>
      </c>
      <c r="AL76" s="128" t="str">
        <f>+""</f>
        <v/>
      </c>
      <c r="AM76" s="128" t="str">
        <f>+IF(AK76=0,"",IF(T78="&gt;",U78+0.001,IF(T78="&lt;",U78-0.001,U78)))</f>
        <v/>
      </c>
      <c r="AN76" s="128" t="str">
        <f>+IF(T77="NA","",IF(AK76=0,"",IF(T78="≥",U78-0.001,IF(T78="≤",U78+0.001,U78))))</f>
        <v/>
      </c>
      <c r="AO76" s="128" t="str">
        <f>IF(T77="NA","",IF(AK76=0,"",IF(T77="&gt;",U77+0.001,IF(T77="&lt;",U77-0.001,U77))))</f>
        <v/>
      </c>
      <c r="AP76" s="128" t="str">
        <f>+IF(T76="NA","",IF(AK76=0,"",IF(T77="≥",U77-0.001,IF(T77="≤",U77+0.001,U77))))</f>
        <v/>
      </c>
      <c r="AQ76" s="128" t="str">
        <f>+IF(T76="NA","",IF(AK76=0,"",IF(T76="&gt;",U76+0.001,IF(T76="&lt;",U76-0.001,U76))))</f>
        <v/>
      </c>
      <c r="AR76" s="128" t="str">
        <f>IF(AK76=0,"",IF(T76="≥",U75-0.001,IF(T76="≤",U75+0.001,"")))</f>
        <v/>
      </c>
      <c r="AS76" s="128" t="str">
        <f>+IF(AK76=0,"",IF(T75="=",U75,""))</f>
        <v/>
      </c>
    </row>
    <row r="77" spans="2:45" x14ac:dyDescent="0.25">
      <c r="B77" s="106"/>
      <c r="D77" s="386" t="s">
        <v>47</v>
      </c>
      <c r="E77" s="386"/>
      <c r="F77" s="126"/>
      <c r="G77" s="126">
        <v>0.94</v>
      </c>
      <c r="H77" s="126">
        <v>0.94099999999999995</v>
      </c>
      <c r="I77" s="126">
        <v>0.96899999999999997</v>
      </c>
      <c r="J77" s="126">
        <v>0.97</v>
      </c>
      <c r="K77" s="126">
        <v>0.999</v>
      </c>
      <c r="L77" s="126">
        <v>1</v>
      </c>
      <c r="M77" s="126"/>
      <c r="O77" s="106"/>
      <c r="Q77" s="122" t="s">
        <v>1982</v>
      </c>
      <c r="R77" s="111"/>
      <c r="S77" s="127"/>
      <c r="T77" s="111"/>
      <c r="U77" s="127"/>
      <c r="V77" s="111"/>
      <c r="W77" s="127"/>
      <c r="X77" s="111"/>
      <c r="Y77" s="127"/>
      <c r="Z77" s="111"/>
      <c r="AA77" s="127"/>
      <c r="AB77" s="111"/>
      <c r="AC77" s="127"/>
      <c r="AE77" s="105" t="s">
        <v>47</v>
      </c>
      <c r="AF77" s="105">
        <v>3</v>
      </c>
      <c r="AG77" s="105">
        <f t="shared" si="0"/>
        <v>1</v>
      </c>
      <c r="AH77" s="105">
        <f>+IF(AG77=0,0,IF(AG77=1,(SUM($AG$75:AG77)-1),1))</f>
        <v>0</v>
      </c>
      <c r="AI77" s="105">
        <f t="shared" si="1"/>
        <v>0</v>
      </c>
      <c r="AJ77" s="105">
        <f t="shared" si="2"/>
        <v>1</v>
      </c>
      <c r="AK77" s="105">
        <f t="shared" si="3"/>
        <v>1</v>
      </c>
      <c r="AL77" s="128" t="str">
        <f>+""</f>
        <v/>
      </c>
      <c r="AM77" s="128">
        <f>+IF(AK77=0,"",IF(V78="&gt;",W78+0.001,IF(V78="&lt;",W78-0.001,W78)))</f>
        <v>0</v>
      </c>
      <c r="AN77" s="128">
        <f>+IF(V77="NA","",IF(AK77=0,"",IF(V78="≥",W78-0.001,IF(V78="≤",W78+0.001,W78))))</f>
        <v>0</v>
      </c>
      <c r="AO77" s="128">
        <f>IF(V77="NA","",IF(AK77=0,"",IF(V77="&gt;",W77+0.001,IF(V77="&lt;",W77-0.001,W77))))</f>
        <v>0</v>
      </c>
      <c r="AP77" s="128">
        <f>+IF(V76="NA","",IF(AK77=0,"",IF(V77="≥",W77-0.001,IF(V77="≤",W77+0.001,W77))))</f>
        <v>0</v>
      </c>
      <c r="AQ77" s="128">
        <f>+IF(V76="NA","",IF(AK77=0,"",IF(V76="&gt;",W76+0.001,IF(V76="&lt;",W76-0.001,W76))))</f>
        <v>0</v>
      </c>
      <c r="AR77" s="128" t="str">
        <f>IF(AK77=0,"",IF(V76="≥",W75-0.001,IF(V76="≤",W75+0.001,"")))</f>
        <v/>
      </c>
      <c r="AS77" s="128" t="str">
        <f>+IF(AK77=0,"",IF(V75="=",W75,""))</f>
        <v/>
      </c>
    </row>
    <row r="78" spans="2:45" x14ac:dyDescent="0.25">
      <c r="B78" s="106"/>
      <c r="D78" s="386" t="s">
        <v>48</v>
      </c>
      <c r="E78" s="386"/>
      <c r="F78" s="126"/>
      <c r="G78" s="126">
        <v>0.94</v>
      </c>
      <c r="H78" s="126">
        <v>0.94099999999999995</v>
      </c>
      <c r="I78" s="126">
        <v>0.96899999999999997</v>
      </c>
      <c r="J78" s="126">
        <v>0.97</v>
      </c>
      <c r="K78" s="126">
        <v>0.999</v>
      </c>
      <c r="L78" s="126">
        <v>1</v>
      </c>
      <c r="M78" s="126"/>
      <c r="O78" s="106"/>
      <c r="Q78" s="122" t="s">
        <v>1983</v>
      </c>
      <c r="R78" s="111"/>
      <c r="S78" s="127"/>
      <c r="T78" s="111"/>
      <c r="U78" s="127"/>
      <c r="V78" s="111"/>
      <c r="W78" s="127"/>
      <c r="X78" s="111"/>
      <c r="Y78" s="127"/>
      <c r="Z78" s="111"/>
      <c r="AA78" s="127"/>
      <c r="AB78" s="111"/>
      <c r="AC78" s="127"/>
      <c r="AE78" s="105" t="s">
        <v>48</v>
      </c>
      <c r="AF78" s="105">
        <v>4</v>
      </c>
      <c r="AG78" s="105">
        <f t="shared" si="0"/>
        <v>1</v>
      </c>
      <c r="AH78" s="105">
        <f>+IF(AG78=0,0,IF(AG78=1,(SUM($AG$75:AG78)-1),1))</f>
        <v>1</v>
      </c>
      <c r="AI78" s="105">
        <f t="shared" si="1"/>
        <v>1</v>
      </c>
      <c r="AJ78" s="105">
        <f t="shared" si="2"/>
        <v>0</v>
      </c>
      <c r="AK78" s="105">
        <f t="shared" si="3"/>
        <v>1</v>
      </c>
      <c r="AL78" s="128" t="str">
        <f>+""</f>
        <v/>
      </c>
      <c r="AM78" s="128">
        <f>+IF(AK78=0,"",IF(X78="&gt;",Y78+0.001,IF(X78="&lt;",Y78-0.001,Y78)))</f>
        <v>0</v>
      </c>
      <c r="AN78" s="128">
        <f>+IF(X77="NA","",IF(AK78=0,"",IF(X78="≥",Y78-0.001,IF(X78="≤",Y78+0.001,Y78))))</f>
        <v>0</v>
      </c>
      <c r="AO78" s="128">
        <f>IF(X77="NA","",IF(AK78=0,"",IF(X77="&gt;",Y77+0.001,IF(X77="&lt;",Y77-0.001,Y77))))</f>
        <v>0</v>
      </c>
      <c r="AP78" s="128">
        <f>+IF(X76="NA","",IF(AK78=0,"",IF(X77="≥",Y77-0.001,IF(X77="≤",Y77+0.001,Y77))))</f>
        <v>0</v>
      </c>
      <c r="AQ78" s="128">
        <f>+IF(X76="NA","",IF(AK78=0,"",IF(X76="&gt;",Y76+0.001,IF(X76="&lt;",Y76-0.001,Y76))))</f>
        <v>0</v>
      </c>
      <c r="AR78" s="128" t="str">
        <f>IF(AK78=0,"",IF(X76="≥",Y75-0.001,IF(X76="≤",Y75+0.001,"")))</f>
        <v/>
      </c>
      <c r="AS78" s="128" t="str">
        <f>+IF(AK78=0,"",IF(X75="=",Y75,""))</f>
        <v/>
      </c>
    </row>
    <row r="79" spans="2:45" x14ac:dyDescent="0.25">
      <c r="B79" s="106"/>
      <c r="D79" s="386" t="s">
        <v>49</v>
      </c>
      <c r="E79" s="386"/>
      <c r="F79" s="126"/>
      <c r="G79" s="126">
        <v>0.94</v>
      </c>
      <c r="H79" s="126">
        <v>0.94099999999999995</v>
      </c>
      <c r="I79" s="126">
        <v>0.96899999999999997</v>
      </c>
      <c r="J79" s="126">
        <v>0.97</v>
      </c>
      <c r="K79" s="126">
        <v>0.999</v>
      </c>
      <c r="L79" s="126">
        <v>1</v>
      </c>
      <c r="M79" s="126"/>
      <c r="O79" s="106"/>
      <c r="R79" s="111"/>
      <c r="S79" s="111">
        <f>+IFERROR(VLOOKUP(S80,$AE$75:$AK$86,7,FALSE),"")</f>
        <v>1</v>
      </c>
      <c r="U79" s="111">
        <f>+IFERROR(VLOOKUP(U80,$AE$75:$AK$86,7,FALSE),"")</f>
        <v>1</v>
      </c>
      <c r="W79" s="111">
        <f>+IFERROR(VLOOKUP(W80,$AE$75:$AK$86,7,FALSE),"")</f>
        <v>1</v>
      </c>
      <c r="Y79" s="111">
        <f>+IFERROR(VLOOKUP(Y80,$AE$75:$AK$86,7,FALSE),"")</f>
        <v>1</v>
      </c>
      <c r="AA79" s="111">
        <f>+IFERROR(VLOOKUP(AA80,$AE$75:$AK$86,7,FALSE),"")</f>
        <v>1</v>
      </c>
      <c r="AC79" s="111">
        <f>+IFERROR(VLOOKUP(AC80,$AE$75:$AK$86,7,FALSE),"")</f>
        <v>1</v>
      </c>
      <c r="AE79" s="105" t="s">
        <v>49</v>
      </c>
      <c r="AF79" s="105">
        <v>5</v>
      </c>
      <c r="AG79" s="105">
        <f t="shared" si="0"/>
        <v>1</v>
      </c>
      <c r="AH79" s="105">
        <f>+IF(AG79=0,0,IF(AG79=1,(SUM($AG$75:AG79)-1),1))</f>
        <v>2</v>
      </c>
      <c r="AI79" s="105">
        <f t="shared" si="1"/>
        <v>1</v>
      </c>
      <c r="AJ79" s="105">
        <f t="shared" si="2"/>
        <v>0</v>
      </c>
      <c r="AK79" s="105">
        <f t="shared" si="3"/>
        <v>1</v>
      </c>
      <c r="AL79" s="128" t="str">
        <f>+""</f>
        <v/>
      </c>
      <c r="AM79" s="128">
        <f>+IF(AK79=0,"",IF(Z78="&gt;",AA78+0.001,IF(Z78="&lt;",AA78-0.001,AA78)))</f>
        <v>0</v>
      </c>
      <c r="AN79" s="128">
        <f>+IF(Z77="NA","",IF(AK79=0,"",IF(Z78="≥",AA78-0.001,IF(Z78="≤",AA78+0.001,AA78))))</f>
        <v>0</v>
      </c>
      <c r="AO79" s="128">
        <f>IF(Z77="NA","",IF(AK79=0,"",IF(Z77="&gt;",AA77+0.001,IF(Z77="&lt;",AA77-0.001,AA77))))</f>
        <v>0</v>
      </c>
      <c r="AP79" s="128">
        <f>+IF(Z76="NA","",IF(AK79=0,"",IF(Z77="≥",AA77-0.001,IF(Z77="≤",AA77+0.001,AA77))))</f>
        <v>0</v>
      </c>
      <c r="AQ79" s="128">
        <f>+IF(Z76="NA","",IF(AK79=0,"",IF(Z76="&gt;",AA76+0.001,IF(Z76="&lt;",AA76-0.001,AA76))))</f>
        <v>0</v>
      </c>
      <c r="AR79" s="128" t="str">
        <f>IF(AK79=0,"",IF(Z76="≥",AA75-0.001,IF(Z76="≤",AA75+0.001,"")))</f>
        <v/>
      </c>
      <c r="AS79" s="128" t="str">
        <f>+IF(AK79=0,"",IF(Z75="=",AA75,""))</f>
        <v/>
      </c>
    </row>
    <row r="80" spans="2:45" x14ac:dyDescent="0.25">
      <c r="B80" s="106"/>
      <c r="D80" s="386" t="s">
        <v>50</v>
      </c>
      <c r="E80" s="386"/>
      <c r="F80" s="126"/>
      <c r="G80" s="126">
        <v>0.94</v>
      </c>
      <c r="H80" s="126">
        <v>0.94099999999999995</v>
      </c>
      <c r="I80" s="126">
        <v>0.96899999999999997</v>
      </c>
      <c r="J80" s="126">
        <v>0.97</v>
      </c>
      <c r="K80" s="126">
        <v>0.999</v>
      </c>
      <c r="L80" s="126">
        <v>1</v>
      </c>
      <c r="M80" s="126"/>
      <c r="O80" s="106"/>
      <c r="R80" s="111"/>
      <c r="S80" s="124" t="s">
        <v>53</v>
      </c>
      <c r="T80" s="124"/>
      <c r="U80" s="124" t="s">
        <v>54</v>
      </c>
      <c r="V80" s="124"/>
      <c r="W80" s="124" t="s">
        <v>55</v>
      </c>
      <c r="X80" s="124"/>
      <c r="Y80" s="124" t="s">
        <v>56</v>
      </c>
      <c r="Z80" s="124"/>
      <c r="AA80" s="124" t="s">
        <v>57</v>
      </c>
      <c r="AB80" s="124"/>
      <c r="AC80" s="124" t="s">
        <v>58</v>
      </c>
      <c r="AE80" s="105" t="s">
        <v>50</v>
      </c>
      <c r="AF80" s="105">
        <v>6</v>
      </c>
      <c r="AG80" s="105">
        <f t="shared" si="0"/>
        <v>1</v>
      </c>
      <c r="AH80" s="105">
        <f>+IF(AG80=0,0,IF(AG80=1,(SUM($AG$75:AG80)-1),1))</f>
        <v>3</v>
      </c>
      <c r="AI80" s="105">
        <f t="shared" si="1"/>
        <v>1</v>
      </c>
      <c r="AJ80" s="105">
        <f t="shared" si="2"/>
        <v>0</v>
      </c>
      <c r="AK80" s="105">
        <f t="shared" si="3"/>
        <v>1</v>
      </c>
      <c r="AL80" s="128" t="str">
        <f>+""</f>
        <v/>
      </c>
      <c r="AM80" s="128">
        <f>+IF(AK80=0,"",IF(AB78="&gt;",AC78+0.001,IF(AB78="&lt;",AC78-0.001,AC78)))</f>
        <v>0</v>
      </c>
      <c r="AN80" s="128">
        <f>+IF(AB77="NA","",IF(AK80=0,"",IF(AB78="≥",AC78-0.001,IF(AB78="≤",AC78+0.001,AC78))))</f>
        <v>0</v>
      </c>
      <c r="AO80" s="128">
        <f>IF(AB77="NA","",IF(AK80=0,"",IF(AB77="&gt;",AC77+0.001,IF(AB77="&lt;",AC77-0.001,AC77))))</f>
        <v>0</v>
      </c>
      <c r="AP80" s="128">
        <f>+IF(AB76="NA","",IF(AK80=0,"",IF(AB77="≥",AC77-0.001,IF(AB77="≤",AC77+0.001,AC77))))</f>
        <v>0</v>
      </c>
      <c r="AQ80" s="128">
        <f>+IF(AB76="NA","",IF(AK80=0,"",IF(AB76="&gt;",AC76+0.001,IF(AB76="&lt;",AC76-0.001,AC76))))</f>
        <v>0</v>
      </c>
      <c r="AR80" s="128" t="str">
        <f>IF(AK80=0,"",IF(AB76="≥",AC75-0.001,IF(AB76="≤",AC75+0.001,"")))</f>
        <v/>
      </c>
      <c r="AS80" s="128" t="str">
        <f>+IF(AK80=0,"",IF(AB75="=",AC75,""))</f>
        <v/>
      </c>
    </row>
    <row r="81" spans="2:45" x14ac:dyDescent="0.25">
      <c r="B81" s="106"/>
      <c r="D81" s="386" t="s">
        <v>53</v>
      </c>
      <c r="E81" s="386"/>
      <c r="F81" s="126"/>
      <c r="G81" s="126">
        <v>0.94</v>
      </c>
      <c r="H81" s="126">
        <v>0.94099999999999995</v>
      </c>
      <c r="I81" s="126">
        <v>0.96899999999999997</v>
      </c>
      <c r="J81" s="126">
        <v>0.97</v>
      </c>
      <c r="K81" s="126">
        <v>0.999</v>
      </c>
      <c r="L81" s="126">
        <v>1</v>
      </c>
      <c r="M81" s="126"/>
      <c r="O81" s="106"/>
      <c r="Q81" s="122" t="s">
        <v>1980</v>
      </c>
      <c r="R81" s="111"/>
      <c r="S81" s="127"/>
      <c r="T81" s="111"/>
      <c r="U81" s="127"/>
      <c r="V81" s="111"/>
      <c r="W81" s="127"/>
      <c r="X81" s="111"/>
      <c r="Y81" s="127"/>
      <c r="Z81" s="111"/>
      <c r="AA81" s="127"/>
      <c r="AB81" s="111"/>
      <c r="AC81" s="127"/>
      <c r="AE81" s="105" t="s">
        <v>53</v>
      </c>
      <c r="AF81" s="105">
        <v>7</v>
      </c>
      <c r="AG81" s="105">
        <f t="shared" si="0"/>
        <v>1</v>
      </c>
      <c r="AH81" s="105">
        <f>+IF(AG81=0,0,IF(AG81=1,(SUM($AG$75:AG81)-1),1))</f>
        <v>4</v>
      </c>
      <c r="AI81" s="105">
        <f t="shared" si="1"/>
        <v>1</v>
      </c>
      <c r="AJ81" s="105">
        <f t="shared" si="2"/>
        <v>0</v>
      </c>
      <c r="AK81" s="105">
        <f t="shared" si="3"/>
        <v>1</v>
      </c>
      <c r="AL81" s="128" t="str">
        <f>+""</f>
        <v/>
      </c>
      <c r="AM81" s="128">
        <f>+IF(AK81=0,"",IF(R84="&gt;",S84+0.001,IF(R84="&lt;",S84-0.001,S84)))</f>
        <v>0</v>
      </c>
      <c r="AN81" s="128">
        <f>+IF(R83="NA","",IF(AK81=0,"",IF(R84="≥",S84-0.001,IF(R84="≤",S84+0.001,S84))))</f>
        <v>0</v>
      </c>
      <c r="AO81" s="128">
        <f>IF(R83="NA","",IF(AK81=0,"",IF(R83="&gt;",S83+0.001,IF(R83="&lt;",S83-0.001,S83))))</f>
        <v>0</v>
      </c>
      <c r="AP81" s="128">
        <f>+IF(R82="NA","",IF(AK81=0,"",IF(R83="≥",S83-0.001,IF(R83="≤",S83+0.001,S83))))</f>
        <v>0</v>
      </c>
      <c r="AQ81" s="128">
        <f>+IF(R82="NA","",IF(AK81=0,"",IF(R82="&gt;",S82+0.001,IF(R82="&lt;",S82-0.001,S82))))</f>
        <v>0</v>
      </c>
      <c r="AR81" s="128" t="str">
        <f>IF(AK81=0,"",IF(R82="≥",S81-0.001,IF(R82="≤",S81+0.001,"")))</f>
        <v/>
      </c>
      <c r="AS81" s="128" t="str">
        <f>+IF(AK81=0,"",IF(R81="=",S81,""))</f>
        <v/>
      </c>
    </row>
    <row r="82" spans="2:45" x14ac:dyDescent="0.25">
      <c r="B82" s="106"/>
      <c r="D82" s="386" t="s">
        <v>54</v>
      </c>
      <c r="E82" s="386"/>
      <c r="F82" s="126"/>
      <c r="G82" s="126">
        <v>0.94</v>
      </c>
      <c r="H82" s="126">
        <v>0.94099999999999995</v>
      </c>
      <c r="I82" s="126">
        <v>0.96899999999999997</v>
      </c>
      <c r="J82" s="126">
        <v>0.97</v>
      </c>
      <c r="K82" s="126">
        <v>0.999</v>
      </c>
      <c r="L82" s="126">
        <v>1</v>
      </c>
      <c r="M82" s="126"/>
      <c r="O82" s="106"/>
      <c r="Q82" s="122" t="s">
        <v>1981</v>
      </c>
      <c r="R82" s="111"/>
      <c r="S82" s="127"/>
      <c r="T82" s="111"/>
      <c r="U82" s="127"/>
      <c r="V82" s="111"/>
      <c r="W82" s="127"/>
      <c r="X82" s="111"/>
      <c r="Y82" s="127"/>
      <c r="Z82" s="111"/>
      <c r="AA82" s="127"/>
      <c r="AB82" s="111"/>
      <c r="AC82" s="127"/>
      <c r="AE82" s="105" t="s">
        <v>54</v>
      </c>
      <c r="AF82" s="105">
        <v>8</v>
      </c>
      <c r="AG82" s="105">
        <f t="shared" si="0"/>
        <v>1</v>
      </c>
      <c r="AH82" s="105">
        <f>+IF(AG82=0,0,IF(AG82=1,(SUM($AG$75:AG82)-1),1))</f>
        <v>5</v>
      </c>
      <c r="AI82" s="105">
        <f t="shared" si="1"/>
        <v>1</v>
      </c>
      <c r="AJ82" s="105">
        <f t="shared" si="2"/>
        <v>0</v>
      </c>
      <c r="AK82" s="105">
        <f t="shared" si="3"/>
        <v>1</v>
      </c>
      <c r="AL82" s="128" t="str">
        <f>+""</f>
        <v/>
      </c>
      <c r="AM82" s="128">
        <f>+IF(AK82=0,"",IF(T84="&gt;",U84+0.001,IF(T84="&lt;",U84-0.001,U84)))</f>
        <v>0</v>
      </c>
      <c r="AN82" s="128">
        <f>+IF(T83="NA","",IF(AK82=0,"",IF(T84="≥",U84-0.001,IF(T84="≤",U84+0.001,U84))))</f>
        <v>0</v>
      </c>
      <c r="AO82" s="128">
        <f>IF(T83="NA","",IF(AK82=0,"",IF(T83="&gt;",U83+0.001,IF(T83="&lt;",U83-0.001,U83))))</f>
        <v>0</v>
      </c>
      <c r="AP82" s="128">
        <f>+IF(T82="NA","",IF(AK82=0,"",IF(T83="≥",U83-0.001,IF(T83="≤",U83+0.001,U83))))</f>
        <v>0</v>
      </c>
      <c r="AQ82" s="128">
        <f>+IF(T82="NA","",IF(AK82=0,"",IF(T82="&gt;",U82+0.001,IF(T82="&lt;",U82-0.001,U82))))</f>
        <v>0</v>
      </c>
      <c r="AR82" s="128" t="str">
        <f>IF(AK82=0,"",IF(T82="≥",U81-0.001,IF(T82="≤",U81+0.001,"")))</f>
        <v/>
      </c>
      <c r="AS82" s="128" t="str">
        <f>+IF(AK82=0,"",IF(T81="=",U81,""))</f>
        <v/>
      </c>
    </row>
    <row r="83" spans="2:45" x14ac:dyDescent="0.25">
      <c r="B83" s="106"/>
      <c r="D83" s="386" t="s">
        <v>55</v>
      </c>
      <c r="E83" s="386"/>
      <c r="F83" s="126"/>
      <c r="G83" s="126">
        <v>0.94</v>
      </c>
      <c r="H83" s="126">
        <v>0.94099999999999995</v>
      </c>
      <c r="I83" s="126">
        <v>0.96899999999999997</v>
      </c>
      <c r="J83" s="126">
        <v>0.97</v>
      </c>
      <c r="K83" s="126">
        <v>0.999</v>
      </c>
      <c r="L83" s="126">
        <v>1</v>
      </c>
      <c r="M83" s="126"/>
      <c r="O83" s="106"/>
      <c r="Q83" s="122" t="s">
        <v>1982</v>
      </c>
      <c r="R83" s="111"/>
      <c r="S83" s="127"/>
      <c r="T83" s="111"/>
      <c r="U83" s="127"/>
      <c r="V83" s="111"/>
      <c r="W83" s="127"/>
      <c r="X83" s="111"/>
      <c r="Y83" s="127"/>
      <c r="Z83" s="111"/>
      <c r="AA83" s="127"/>
      <c r="AB83" s="111"/>
      <c r="AC83" s="127"/>
      <c r="AE83" s="105" t="s">
        <v>55</v>
      </c>
      <c r="AF83" s="105">
        <v>9</v>
      </c>
      <c r="AG83" s="105">
        <f t="shared" si="0"/>
        <v>1</v>
      </c>
      <c r="AH83" s="105">
        <f>+IF(AG83=0,0,IF(AG83=1,(SUM($AG$75:AG83)-1),1))</f>
        <v>6</v>
      </c>
      <c r="AI83" s="105">
        <f t="shared" si="1"/>
        <v>1</v>
      </c>
      <c r="AJ83" s="105">
        <f t="shared" si="2"/>
        <v>0</v>
      </c>
      <c r="AK83" s="105">
        <f t="shared" si="3"/>
        <v>1</v>
      </c>
      <c r="AL83" s="128" t="str">
        <f>+""</f>
        <v/>
      </c>
      <c r="AM83" s="128">
        <f>+IF(AK83=0,"",IF(V84="&gt;",W84+0.001,IF(V84="&lt;",W84-0.001,W84)))</f>
        <v>0</v>
      </c>
      <c r="AN83" s="128">
        <f>+IF(V83="NA","",IF(AK83=0,"",IF(V84="≥",W84-0.001,IF(V84="≤",W84+0.001,W84))))</f>
        <v>0</v>
      </c>
      <c r="AO83" s="128">
        <f>IF(V83="NA","",IF(AK83=0,"",IF(V83="&gt;",W83+0.001,IF(V83="&lt;",W83-0.001,W83))))</f>
        <v>0</v>
      </c>
      <c r="AP83" s="128">
        <f>+IF(V82="NA","",IF(AK83=0,"",IF(V83="≥",W83-0.001,IF(V83="≤",W83+0.001,W83))))</f>
        <v>0</v>
      </c>
      <c r="AQ83" s="128">
        <f>+IF(V82="NA","",IF(AK83=0,"",IF(V82="&gt;",W82+0.001,IF(V82="&lt;",W82-0.001,W82))))</f>
        <v>0</v>
      </c>
      <c r="AR83" s="128" t="str">
        <f>IF(AK83=0,"",IF(V82="≥",W81-0.001,IF(V82="≤",W81+0.001,"")))</f>
        <v/>
      </c>
      <c r="AS83" s="128" t="str">
        <f>+IF(AK83=0,"",IF(V81="=",W81,""))</f>
        <v/>
      </c>
    </row>
    <row r="84" spans="2:45" x14ac:dyDescent="0.25">
      <c r="B84" s="106"/>
      <c r="D84" s="386" t="s">
        <v>56</v>
      </c>
      <c r="E84" s="386"/>
      <c r="F84" s="126"/>
      <c r="G84" s="126">
        <v>0.94</v>
      </c>
      <c r="H84" s="126">
        <v>0.94099999999999995</v>
      </c>
      <c r="I84" s="126">
        <v>0.96899999999999997</v>
      </c>
      <c r="J84" s="126">
        <v>0.97</v>
      </c>
      <c r="K84" s="126">
        <v>0.999</v>
      </c>
      <c r="L84" s="126">
        <v>1</v>
      </c>
      <c r="M84" s="126"/>
      <c r="O84" s="106"/>
      <c r="Q84" s="122" t="s">
        <v>1983</v>
      </c>
      <c r="R84" s="111"/>
      <c r="S84" s="127"/>
      <c r="T84" s="111"/>
      <c r="U84" s="127"/>
      <c r="V84" s="111"/>
      <c r="W84" s="127"/>
      <c r="X84" s="111"/>
      <c r="Y84" s="127"/>
      <c r="Z84" s="111"/>
      <c r="AA84" s="127"/>
      <c r="AB84" s="111"/>
      <c r="AC84" s="127"/>
      <c r="AE84" s="105" t="s">
        <v>56</v>
      </c>
      <c r="AF84" s="105">
        <v>10</v>
      </c>
      <c r="AG84" s="105">
        <f t="shared" si="0"/>
        <v>1</v>
      </c>
      <c r="AH84" s="105">
        <f>+IF(AG84=0,0,IF(AG84=1,(SUM($AG$75:AG84)-1),1))</f>
        <v>7</v>
      </c>
      <c r="AI84" s="105">
        <f t="shared" si="1"/>
        <v>1</v>
      </c>
      <c r="AJ84" s="105">
        <f t="shared" si="2"/>
        <v>0</v>
      </c>
      <c r="AK84" s="105">
        <f t="shared" si="3"/>
        <v>1</v>
      </c>
      <c r="AL84" s="128" t="str">
        <f>+""</f>
        <v/>
      </c>
      <c r="AM84" s="128">
        <f>+IF(AK84=0,"",IF(X84="&gt;",Y84+0.001,IF(X84="&lt;",Y84-0.001,Y84)))</f>
        <v>0</v>
      </c>
      <c r="AN84" s="128">
        <f>+IF(X83="NA","",IF(AK84=0,"",IF(X84="≥",Y84-0.001,IF(X84="≤",Y84+0.001,Y84))))</f>
        <v>0</v>
      </c>
      <c r="AO84" s="128">
        <f>IF(X83="NA","",IF(AK84=0,"",IF(X83="&gt;",Y83+0.001,IF(X83="&lt;",Y83-0.001,Y83))))</f>
        <v>0</v>
      </c>
      <c r="AP84" s="128">
        <f>+IF(X82="NA","",IF(AK84=0,"",IF(X83="≥",Y83-0.001,IF(X83="≤",Y83+0.001,Y83))))</f>
        <v>0</v>
      </c>
      <c r="AQ84" s="128">
        <f>+IF(X82="NA","",IF(AK84=0,"",IF(X82="&gt;",Y82+0.001,IF(X82="&lt;",Y82-0.001,Y82))))</f>
        <v>0</v>
      </c>
      <c r="AR84" s="128" t="str">
        <f>IF(AK84=0,"",IF(X82="≥",Y81-0.001,IF(X82="≤",Y81+0.001,"")))</f>
        <v/>
      </c>
      <c r="AS84" s="128" t="str">
        <f>+IF(AK84=0,"",IF(X81="=",Y81,""))</f>
        <v/>
      </c>
    </row>
    <row r="85" spans="2:45" x14ac:dyDescent="0.25">
      <c r="B85" s="106"/>
      <c r="D85" s="386" t="s">
        <v>57</v>
      </c>
      <c r="E85" s="386"/>
      <c r="F85" s="126"/>
      <c r="G85" s="126">
        <v>0.94</v>
      </c>
      <c r="H85" s="126">
        <v>0.94099999999999995</v>
      </c>
      <c r="I85" s="126">
        <v>0.96899999999999997</v>
      </c>
      <c r="J85" s="126">
        <v>0.97</v>
      </c>
      <c r="K85" s="126">
        <v>0.999</v>
      </c>
      <c r="L85" s="126">
        <v>1</v>
      </c>
      <c r="M85" s="126"/>
      <c r="O85" s="106"/>
      <c r="AE85" s="105" t="s">
        <v>57</v>
      </c>
      <c r="AF85" s="105">
        <v>11</v>
      </c>
      <c r="AG85" s="105">
        <f t="shared" si="0"/>
        <v>1</v>
      </c>
      <c r="AH85" s="105">
        <f>+IF(AG85=0,0,IF(AG85=1,(SUM($AG$75:AG85)-1),1))</f>
        <v>8</v>
      </c>
      <c r="AI85" s="105">
        <f t="shared" si="1"/>
        <v>1</v>
      </c>
      <c r="AJ85" s="105">
        <f t="shared" si="2"/>
        <v>0</v>
      </c>
      <c r="AK85" s="105">
        <f t="shared" si="3"/>
        <v>1</v>
      </c>
      <c r="AL85" s="128" t="str">
        <f>+""</f>
        <v/>
      </c>
      <c r="AM85" s="128">
        <f>+IF(AK85=0,"",IF(Z84="&gt;",AA84+0.001,IF(Z84="&lt;",AA84-0.001,AA84)))</f>
        <v>0</v>
      </c>
      <c r="AN85" s="128">
        <f>+IF(Z83="NA","",IF(AK85=0,"",IF(Z84="≥",AA84-0.001,IF(Z84="≤",AA84+0.001,AA84))))</f>
        <v>0</v>
      </c>
      <c r="AO85" s="128">
        <f>IF(Z83="NA","",IF(AK85=0,"",IF(Z83="&gt;",AA83+0.001,IF(Z83="&lt;",AA83-0.001,AA83))))</f>
        <v>0</v>
      </c>
      <c r="AP85" s="128">
        <f>+IF(Z82="NA","",IF(AK85=0,"",IF(Z83="≥",AA83-0.001,IF(Z83="≤",AA83+0.001,AA83))))</f>
        <v>0</v>
      </c>
      <c r="AQ85" s="128">
        <f>+IF(Z82="NA","",IF(AK85=0,"",IF(Z82="&gt;",AA82+0.001,IF(Z82="&lt;",AA82-0.001,AA82))))</f>
        <v>0</v>
      </c>
      <c r="AR85" s="128" t="str">
        <f>IF(AK85=0,"",IF(Z82="≥",AA81-0.001,IF(Z82="≤",AA81+0.001,"")))</f>
        <v/>
      </c>
      <c r="AS85" s="128" t="str">
        <f>+IF(AK85=0,"",IF(Z81="=",AA81,""))</f>
        <v/>
      </c>
    </row>
    <row r="86" spans="2:45" x14ac:dyDescent="0.25">
      <c r="B86" s="106"/>
      <c r="D86" s="386" t="s">
        <v>58</v>
      </c>
      <c r="E86" s="386"/>
      <c r="F86" s="126"/>
      <c r="G86" s="126">
        <v>0.94</v>
      </c>
      <c r="H86" s="126">
        <v>0.94099999999999995</v>
      </c>
      <c r="I86" s="126">
        <v>0.96899999999999997</v>
      </c>
      <c r="J86" s="126">
        <v>0.97</v>
      </c>
      <c r="K86" s="126">
        <v>0.999</v>
      </c>
      <c r="L86" s="126">
        <v>1</v>
      </c>
      <c r="M86" s="126"/>
      <c r="O86" s="106"/>
      <c r="AE86" s="105" t="s">
        <v>58</v>
      </c>
      <c r="AF86" s="129">
        <v>12</v>
      </c>
      <c r="AG86" s="105">
        <f t="shared" si="0"/>
        <v>1</v>
      </c>
      <c r="AH86" s="105">
        <f>+IF(AG86=0,0,IF(AG86=1,(SUM($AG$75:AG86)-1),1))</f>
        <v>9</v>
      </c>
      <c r="AI86" s="105">
        <f t="shared" si="1"/>
        <v>1</v>
      </c>
      <c r="AJ86" s="105">
        <f t="shared" si="2"/>
        <v>0</v>
      </c>
      <c r="AK86" s="105">
        <f t="shared" si="3"/>
        <v>1</v>
      </c>
      <c r="AL86" s="128" t="str">
        <f>+""</f>
        <v/>
      </c>
      <c r="AM86" s="128">
        <f>+IF(AK86=0,"",IF(AB84="&gt;",AC84+0.001,IF(AB84="&lt;",AC84-0.001,AC84)))</f>
        <v>0</v>
      </c>
      <c r="AN86" s="128">
        <f>+IF(AB83="NA","",IF(AK86=0,"",IF(AB84="≥",AC84-0.001,IF(AB84="≤",AC84+0.001,AC84))))</f>
        <v>0</v>
      </c>
      <c r="AO86" s="128">
        <f>IF(AB83="NA","",IF(AK86=0,"",IF(AB83="&gt;",AC83+0.001,IF(AB83="&lt;",AC83-0.001,AC83))))</f>
        <v>0</v>
      </c>
      <c r="AP86" s="128">
        <f>+IF(AB82="NA","",IF(AK86=0,"",IF(AB83="≥",AC83-0.001,IF(AB83="≤",AC83+0.001,AC83))))</f>
        <v>0</v>
      </c>
      <c r="AQ86" s="128">
        <f>+IF(AB82="NA","",IF(AK86=0,"",IF(AB82="&gt;",AC82+0.001,IF(AB82="&lt;",AC82-0.001,AC82))))</f>
        <v>0</v>
      </c>
      <c r="AR86" s="128" t="str">
        <f>IF(AK86=0,"",IF(AB82="≥",AC81-0.001,IF(AB82="≤",AC81+0.001,"")))</f>
        <v/>
      </c>
      <c r="AS86" s="128" t="str">
        <f>+IF(AK86=0,"",IF(AB81="=",AC81,""))</f>
        <v/>
      </c>
    </row>
    <row r="87" spans="2:45" ht="3.75" customHeight="1" x14ac:dyDescent="0.25">
      <c r="B87" s="106"/>
      <c r="O87" s="106"/>
      <c r="AR87" s="128" t="str">
        <f>IF(AK87=0,"",IF(S83="Creciente",IF(R88="≥",S88-0.001,""),IF(R88="≤",S88+0.001,"")))</f>
        <v/>
      </c>
    </row>
    <row r="88" spans="2:45" ht="66" customHeight="1" x14ac:dyDescent="0.25">
      <c r="B88" s="106"/>
      <c r="D88" s="378" t="s">
        <v>59</v>
      </c>
      <c r="E88" s="379"/>
      <c r="F88" s="380" t="s">
        <v>2079</v>
      </c>
      <c r="G88" s="381"/>
      <c r="H88" s="381"/>
      <c r="I88" s="381"/>
      <c r="J88" s="381"/>
      <c r="K88" s="381"/>
      <c r="L88" s="381"/>
      <c r="M88" s="382"/>
      <c r="O88" s="106"/>
    </row>
    <row r="89" spans="2:45" ht="3.95" customHeight="1" x14ac:dyDescent="0.25">
      <c r="B89" s="106"/>
      <c r="O89" s="106"/>
    </row>
    <row r="90" spans="2:45" ht="3" customHeight="1" x14ac:dyDescent="0.25">
      <c r="B90" s="106"/>
      <c r="C90" s="106"/>
      <c r="D90" s="106"/>
      <c r="E90" s="106"/>
      <c r="F90" s="106"/>
      <c r="G90" s="106"/>
      <c r="H90" s="106"/>
      <c r="I90" s="106"/>
      <c r="J90" s="106"/>
      <c r="K90" s="106"/>
      <c r="L90" s="106"/>
      <c r="M90" s="106"/>
      <c r="N90" s="106"/>
      <c r="O90" s="106"/>
    </row>
    <row r="91" spans="2:45" ht="3" customHeight="1" x14ac:dyDescent="0.25"/>
    <row r="92" spans="2:45" ht="3" customHeight="1" x14ac:dyDescent="0.25">
      <c r="B92" s="106"/>
      <c r="C92" s="106"/>
      <c r="D92" s="106"/>
      <c r="E92" s="106"/>
      <c r="F92" s="106"/>
      <c r="G92" s="106"/>
      <c r="H92" s="106"/>
      <c r="I92" s="106"/>
      <c r="J92" s="106"/>
      <c r="K92" s="106"/>
      <c r="L92" s="106"/>
      <c r="M92" s="106"/>
      <c r="N92" s="106"/>
      <c r="O92" s="106"/>
    </row>
    <row r="93" spans="2:45" ht="3.95" customHeight="1" x14ac:dyDescent="0.25">
      <c r="B93" s="106"/>
      <c r="O93" s="106"/>
    </row>
    <row r="94" spans="2:45" x14ac:dyDescent="0.25">
      <c r="B94" s="106"/>
      <c r="D94" s="112" t="s">
        <v>60</v>
      </c>
      <c r="O94" s="106"/>
    </row>
    <row r="95" spans="2:45" ht="3.95" customHeight="1" x14ac:dyDescent="0.25">
      <c r="B95" s="106"/>
      <c r="O95" s="106"/>
    </row>
    <row r="96" spans="2:45" ht="20.100000000000001" customHeight="1" x14ac:dyDescent="0.25">
      <c r="B96" s="106"/>
      <c r="D96" s="387" t="s">
        <v>61</v>
      </c>
      <c r="E96" s="387"/>
      <c r="O96" s="106"/>
    </row>
    <row r="97" spans="2:15" ht="30" customHeight="1" x14ac:dyDescent="0.25">
      <c r="B97" s="106"/>
      <c r="D97" s="369" t="s">
        <v>35</v>
      </c>
      <c r="E97" s="369"/>
      <c r="F97" s="370" t="str">
        <f>+IFERROR(VLOOKUP($S$12,[1]Hoja1!$B$5:$AT$190,29,FALSE),"")</f>
        <v>Reportes de Ejecucion Presupuestal SIIF</v>
      </c>
      <c r="G97" s="370"/>
      <c r="H97" s="370"/>
      <c r="I97" s="370"/>
      <c r="J97" s="370"/>
      <c r="K97" s="370"/>
      <c r="L97" s="370"/>
      <c r="M97" s="370"/>
      <c r="O97" s="106"/>
    </row>
    <row r="98" spans="2:15" ht="30" customHeight="1" x14ac:dyDescent="0.25">
      <c r="B98" s="106"/>
      <c r="D98" s="369" t="s">
        <v>36</v>
      </c>
      <c r="E98" s="369"/>
      <c r="F98" s="370" t="s">
        <v>1984</v>
      </c>
      <c r="G98" s="370"/>
      <c r="H98" s="370"/>
      <c r="I98" s="370"/>
      <c r="J98" s="370"/>
      <c r="K98" s="370"/>
      <c r="L98" s="370"/>
      <c r="M98" s="370"/>
      <c r="O98" s="106"/>
    </row>
    <row r="99" spans="2:15" ht="3.95" customHeight="1" x14ac:dyDescent="0.25">
      <c r="B99" s="106"/>
      <c r="O99" s="106"/>
    </row>
    <row r="100" spans="2:15" ht="58.5" customHeight="1" x14ac:dyDescent="0.25">
      <c r="B100" s="106"/>
      <c r="D100" s="378" t="s">
        <v>62</v>
      </c>
      <c r="E100" s="379"/>
      <c r="F100" s="383"/>
      <c r="G100" s="384"/>
      <c r="H100" s="384"/>
      <c r="I100" s="384"/>
      <c r="J100" s="384"/>
      <c r="K100" s="384"/>
      <c r="L100" s="384"/>
      <c r="M100" s="385"/>
      <c r="O100" s="106"/>
    </row>
    <row r="101" spans="2:15" ht="3.95" customHeight="1" x14ac:dyDescent="0.25">
      <c r="B101" s="106"/>
      <c r="O101" s="106"/>
    </row>
    <row r="102" spans="2:15" ht="19.5" customHeight="1" x14ac:dyDescent="0.25">
      <c r="B102" s="106"/>
      <c r="D102" s="371" t="s">
        <v>64</v>
      </c>
      <c r="E102" s="372"/>
      <c r="F102" s="130" t="s">
        <v>65</v>
      </c>
      <c r="G102" s="107" t="s">
        <v>2</v>
      </c>
      <c r="K102" s="131"/>
      <c r="O102" s="106"/>
    </row>
    <row r="103" spans="2:15" ht="19.5" customHeight="1" x14ac:dyDescent="0.25">
      <c r="B103" s="106"/>
      <c r="D103" s="373"/>
      <c r="E103" s="374"/>
      <c r="F103" s="130" t="s">
        <v>66</v>
      </c>
      <c r="G103" s="132"/>
      <c r="K103" s="133"/>
      <c r="O103" s="106"/>
    </row>
    <row r="104" spans="2:15" ht="27.75" customHeight="1" x14ac:dyDescent="0.25">
      <c r="B104" s="106"/>
      <c r="D104" s="373"/>
      <c r="E104" s="374"/>
      <c r="F104" s="130" t="s">
        <v>67</v>
      </c>
      <c r="G104" s="375"/>
      <c r="H104" s="376"/>
      <c r="I104" s="376"/>
      <c r="J104" s="376"/>
      <c r="K104" s="376"/>
      <c r="L104" s="376"/>
      <c r="M104" s="377"/>
      <c r="O104" s="106"/>
    </row>
    <row r="105" spans="2:15" ht="3.95" customHeight="1" x14ac:dyDescent="0.25">
      <c r="B105" s="106"/>
      <c r="O105" s="106"/>
    </row>
    <row r="106" spans="2:15" ht="229.5" customHeight="1" x14ac:dyDescent="0.25">
      <c r="B106" s="106"/>
      <c r="D106" s="378" t="s">
        <v>68</v>
      </c>
      <c r="E106" s="379"/>
      <c r="F106" s="380" t="s">
        <v>102</v>
      </c>
      <c r="G106" s="381"/>
      <c r="H106" s="381"/>
      <c r="I106" s="381"/>
      <c r="J106" s="381"/>
      <c r="K106" s="381"/>
      <c r="L106" s="381"/>
      <c r="M106" s="382"/>
      <c r="O106" s="106"/>
    </row>
    <row r="107" spans="2:15" ht="3.95" customHeight="1" x14ac:dyDescent="0.25">
      <c r="B107" s="106"/>
      <c r="O107" s="106"/>
    </row>
    <row r="108" spans="2:15" ht="17.25" customHeight="1" x14ac:dyDescent="0.25">
      <c r="B108" s="106"/>
      <c r="D108" s="371" t="s">
        <v>2040</v>
      </c>
      <c r="E108" s="372"/>
      <c r="F108" s="130" t="s">
        <v>2041</v>
      </c>
      <c r="G108" s="375" t="str">
        <f>+VLOOKUP(H10,tablero!$P$5:$R$201,3,FALSE)</f>
        <v>Director(a) Gestión Humana</v>
      </c>
      <c r="H108" s="376"/>
      <c r="I108" s="376"/>
      <c r="J108" s="376"/>
      <c r="K108" s="376"/>
      <c r="L108" s="376"/>
      <c r="M108" s="377"/>
      <c r="O108" s="106"/>
    </row>
    <row r="109" spans="2:15" ht="17.25" customHeight="1" x14ac:dyDescent="0.25">
      <c r="B109" s="106"/>
      <c r="D109" s="373"/>
      <c r="E109" s="374"/>
      <c r="F109" s="130" t="s">
        <v>2042</v>
      </c>
      <c r="G109" s="375" t="str">
        <f>+IF(M23="Si","Coordinador(a) Planeación y Sistemas","")</f>
        <v/>
      </c>
      <c r="H109" s="376"/>
      <c r="I109" s="376"/>
      <c r="J109" s="376"/>
      <c r="K109" s="376"/>
      <c r="L109" s="376"/>
      <c r="M109" s="377"/>
      <c r="O109" s="106"/>
    </row>
    <row r="110" spans="2:15" ht="17.25" customHeight="1" x14ac:dyDescent="0.25">
      <c r="B110" s="106"/>
      <c r="D110" s="373"/>
      <c r="E110" s="374"/>
      <c r="F110" s="130" t="s">
        <v>2043</v>
      </c>
      <c r="G110" s="375" t="str">
        <f>+IF(M24="Si","Coordinador(a) Centro Zonal","")</f>
        <v/>
      </c>
      <c r="H110" s="376"/>
      <c r="I110" s="376"/>
      <c r="J110" s="376"/>
      <c r="K110" s="376"/>
      <c r="L110" s="376"/>
      <c r="M110" s="377"/>
      <c r="O110" s="106"/>
    </row>
    <row r="111" spans="2:15" ht="3.95" customHeight="1" x14ac:dyDescent="0.25">
      <c r="B111" s="106"/>
      <c r="O111" s="106"/>
    </row>
    <row r="112" spans="2:15" ht="3" customHeight="1" x14ac:dyDescent="0.25">
      <c r="B112" s="106"/>
      <c r="C112" s="106"/>
      <c r="D112" s="106"/>
      <c r="E112" s="106"/>
      <c r="F112" s="106"/>
      <c r="G112" s="106"/>
      <c r="H112" s="106"/>
      <c r="I112" s="106"/>
      <c r="J112" s="106"/>
      <c r="K112" s="106"/>
      <c r="L112" s="106"/>
      <c r="M112" s="106"/>
      <c r="N112" s="106"/>
      <c r="O112" s="106"/>
    </row>
    <row r="113" spans="13:13" x14ac:dyDescent="0.25">
      <c r="M113" s="121" t="s">
        <v>70</v>
      </c>
    </row>
  </sheetData>
  <mergeCells count="85">
    <mergeCell ref="C3:N5"/>
    <mergeCell ref="D10:E10"/>
    <mergeCell ref="D12:E12"/>
    <mergeCell ref="F12:M12"/>
    <mergeCell ref="D14:E14"/>
    <mergeCell ref="F14:M14"/>
    <mergeCell ref="D22:E22"/>
    <mergeCell ref="G22:H22"/>
    <mergeCell ref="K22:L22"/>
    <mergeCell ref="D23:E23"/>
    <mergeCell ref="G23:H23"/>
    <mergeCell ref="K23:L23"/>
    <mergeCell ref="D24:E24"/>
    <mergeCell ref="G24:H24"/>
    <mergeCell ref="K24:L24"/>
    <mergeCell ref="D25:E25"/>
    <mergeCell ref="D29:E29"/>
    <mergeCell ref="F29:M29"/>
    <mergeCell ref="D30:E31"/>
    <mergeCell ref="G30:M30"/>
    <mergeCell ref="G31:M31"/>
    <mergeCell ref="D32:E33"/>
    <mergeCell ref="G32:M32"/>
    <mergeCell ref="G33:M33"/>
    <mergeCell ref="D34:E35"/>
    <mergeCell ref="G34:M34"/>
    <mergeCell ref="G35:M35"/>
    <mergeCell ref="D43:E43"/>
    <mergeCell ref="D44:E45"/>
    <mergeCell ref="G44:M44"/>
    <mergeCell ref="G45:M45"/>
    <mergeCell ref="D46:E47"/>
    <mergeCell ref="G46:M46"/>
    <mergeCell ref="G47:M47"/>
    <mergeCell ref="D48:E49"/>
    <mergeCell ref="G48:M48"/>
    <mergeCell ref="G49:M49"/>
    <mergeCell ref="D51:E51"/>
    <mergeCell ref="G51:H51"/>
    <mergeCell ref="D59:E59"/>
    <mergeCell ref="F59:M59"/>
    <mergeCell ref="D60:E60"/>
    <mergeCell ref="F60:M60"/>
    <mergeCell ref="D82:E82"/>
    <mergeCell ref="D83:E83"/>
    <mergeCell ref="D61:E61"/>
    <mergeCell ref="F61:M61"/>
    <mergeCell ref="D67:E67"/>
    <mergeCell ref="D71:E71"/>
    <mergeCell ref="D73:E74"/>
    <mergeCell ref="F73:G73"/>
    <mergeCell ref="H73:I73"/>
    <mergeCell ref="J73:K73"/>
    <mergeCell ref="L73:M73"/>
    <mergeCell ref="D77:E77"/>
    <mergeCell ref="D78:E78"/>
    <mergeCell ref="D79:E79"/>
    <mergeCell ref="D80:E80"/>
    <mergeCell ref="D81:E81"/>
    <mergeCell ref="AR73:AS73"/>
    <mergeCell ref="D75:E75"/>
    <mergeCell ref="D76:E76"/>
    <mergeCell ref="AL73:AM73"/>
    <mergeCell ref="AN73:AO73"/>
    <mergeCell ref="AP73:AQ73"/>
    <mergeCell ref="D84:E84"/>
    <mergeCell ref="D85:E85"/>
    <mergeCell ref="D86:E86"/>
    <mergeCell ref="D88:E88"/>
    <mergeCell ref="F97:M97"/>
    <mergeCell ref="D96:E96"/>
    <mergeCell ref="D97:E97"/>
    <mergeCell ref="F88:M88"/>
    <mergeCell ref="D98:E98"/>
    <mergeCell ref="F98:M98"/>
    <mergeCell ref="D108:E110"/>
    <mergeCell ref="G108:M108"/>
    <mergeCell ref="G109:M109"/>
    <mergeCell ref="G110:M110"/>
    <mergeCell ref="D102:E104"/>
    <mergeCell ref="G104:M104"/>
    <mergeCell ref="D106:E106"/>
    <mergeCell ref="F106:M106"/>
    <mergeCell ref="D100:E100"/>
    <mergeCell ref="F100:M100"/>
  </mergeCells>
  <conditionalFormatting sqref="F44:M49">
    <cfRule type="expression" dxfId="1860" priority="36">
      <formula>+IF($F$43="no",1,0)</formula>
    </cfRule>
  </conditionalFormatting>
  <conditionalFormatting sqref="F47:M47">
    <cfRule type="expression" dxfId="1859" priority="33">
      <formula>+IF($Q$47=0,1,0)</formula>
    </cfRule>
  </conditionalFormatting>
  <conditionalFormatting sqref="Y75:Y78">
    <cfRule type="expression" dxfId="1858" priority="29">
      <formula>+IF(Y$73=0,1,0)</formula>
    </cfRule>
  </conditionalFormatting>
  <conditionalFormatting sqref="AA75:AA78">
    <cfRule type="expression" dxfId="1857" priority="28">
      <formula>+IF(AA$73=0,1,0)</formula>
    </cfRule>
  </conditionalFormatting>
  <conditionalFormatting sqref="AC75:AC78">
    <cfRule type="expression" dxfId="1856" priority="27">
      <formula>+IF(AC$73=0,1,0)</formula>
    </cfRule>
  </conditionalFormatting>
  <conditionalFormatting sqref="S84">
    <cfRule type="expression" dxfId="1855" priority="26">
      <formula>+IF(S$79=0,1,0)</formula>
    </cfRule>
  </conditionalFormatting>
  <conditionalFormatting sqref="U84">
    <cfRule type="expression" dxfId="1854" priority="25">
      <formula>+IF(U$79=0,1,0)</formula>
    </cfRule>
  </conditionalFormatting>
  <conditionalFormatting sqref="W84">
    <cfRule type="expression" dxfId="1853" priority="24">
      <formula>+IF(W$79=0,1,0)</formula>
    </cfRule>
  </conditionalFormatting>
  <conditionalFormatting sqref="Y81:Y84">
    <cfRule type="expression" dxfId="1852" priority="23">
      <formula>+IF(Y$79=0,1,0)</formula>
    </cfRule>
  </conditionalFormatting>
  <conditionalFormatting sqref="AA81:AA84">
    <cfRule type="expression" dxfId="1851" priority="22">
      <formula>+IF(AA$79=0,1,0)</formula>
    </cfRule>
  </conditionalFormatting>
  <conditionalFormatting sqref="AC81:AC84">
    <cfRule type="expression" dxfId="1850" priority="21">
      <formula>+IF(AC$79=0,1,0)</formula>
    </cfRule>
  </conditionalFormatting>
  <conditionalFormatting sqref="F73:G73">
    <cfRule type="cellIs" dxfId="1849" priority="19" operator="equal">
      <formula>"optimo"</formula>
    </cfRule>
    <cfRule type="cellIs" dxfId="1848" priority="20" operator="equal">
      <formula>"critico"</formula>
    </cfRule>
  </conditionalFormatting>
  <conditionalFormatting sqref="H73:I73">
    <cfRule type="cellIs" dxfId="1847" priority="17" operator="equal">
      <formula>"Adecuado"</formula>
    </cfRule>
    <cfRule type="cellIs" dxfId="1846" priority="18" operator="equal">
      <formula>"en riesgo"</formula>
    </cfRule>
  </conditionalFormatting>
  <conditionalFormatting sqref="J73:K73">
    <cfRule type="cellIs" dxfId="1845" priority="15" operator="equal">
      <formula>"Adecuado"</formula>
    </cfRule>
    <cfRule type="cellIs" dxfId="1844" priority="16" operator="equal">
      <formula>"en riesgo"</formula>
    </cfRule>
  </conditionalFormatting>
  <conditionalFormatting sqref="L73:M73">
    <cfRule type="cellIs" dxfId="1843" priority="13" operator="equal">
      <formula>"optimo"</formula>
    </cfRule>
    <cfRule type="cellIs" dxfId="1842" priority="14" operator="equal">
      <formula>"critico"</formula>
    </cfRule>
  </conditionalFormatting>
  <conditionalFormatting sqref="F75:M76">
    <cfRule type="expression" dxfId="1841" priority="12">
      <formula>+IF($AK75=0,1)</formula>
    </cfRule>
  </conditionalFormatting>
  <conditionalFormatting sqref="F103:G104">
    <cfRule type="expression" dxfId="1840" priority="11">
      <formula>+IF($G$102="No",1,0)</formula>
    </cfRule>
  </conditionalFormatting>
  <conditionalFormatting sqref="F51">
    <cfRule type="expression" dxfId="1839" priority="10">
      <formula>+IF($F$43="no",1,0)</formula>
    </cfRule>
  </conditionalFormatting>
  <conditionalFormatting sqref="I51">
    <cfRule type="expression" dxfId="1838" priority="9">
      <formula>+IF($F$51="no",1,0)</formula>
    </cfRule>
  </conditionalFormatting>
  <conditionalFormatting sqref="F32:M33">
    <cfRule type="expression" dxfId="1837" priority="7">
      <formula>+IF($Q$30="NA",1,0)</formula>
    </cfRule>
  </conditionalFormatting>
  <conditionalFormatting sqref="F33:M33">
    <cfRule type="expression" dxfId="1836" priority="6">
      <formula>+IF($Q$33=0,1,0)</formula>
    </cfRule>
  </conditionalFormatting>
  <conditionalFormatting sqref="F77:F86 M77:M86">
    <cfRule type="expression" dxfId="1835" priority="2">
      <formula>+IF($AK77=0,1)</formula>
    </cfRule>
  </conditionalFormatting>
  <conditionalFormatting sqref="G77:L86">
    <cfRule type="expression" dxfId="1834" priority="1">
      <formula>+IF($AK77=0,1)</formula>
    </cfRule>
  </conditionalFormatting>
  <dataValidations count="13">
    <dataValidation type="list" allowBlank="1" showInputMessage="1" showErrorMessage="1" sqref="F25">
      <formula1>dimen</formula1>
    </dataValidation>
    <dataValidation type="list" allowBlank="1" showInputMessage="1" showErrorMessage="1" sqref="G49:M49">
      <formula1>proyectos</formula1>
    </dataValidation>
    <dataValidation type="list" allowBlank="1" showInputMessage="1" showErrorMessage="1" sqref="F71">
      <formula1>$D$75:$D$86</formula1>
    </dataValidation>
    <dataValidation type="list" allowBlank="1" showInputMessage="1" showErrorMessage="1" sqref="I24">
      <formula1>ambito</formula1>
    </dataValidation>
    <dataValidation type="list" allowBlank="1" showInputMessage="1" showErrorMessage="1" sqref="I23">
      <formula1>medidas</formula1>
    </dataValidation>
    <dataValidation type="list" allowBlank="1" showInputMessage="1" showErrorMessage="1" sqref="F24">
      <formula1>tendencia</formula1>
    </dataValidation>
    <dataValidation type="list" allowBlank="1" showInputMessage="1" showErrorMessage="1" sqref="G47:M47">
      <formula1>INDIRECT($Q$45)</formula1>
    </dataValidation>
    <dataValidation type="list" allowBlank="1" showInputMessage="1" showErrorMessage="1" sqref="G45:M45">
      <formula1>lineas</formula1>
    </dataValidation>
    <dataValidation type="list" allowBlank="1" showInputMessage="1" showErrorMessage="1" sqref="G31:M31">
      <formula1>macroproceso</formula1>
    </dataValidation>
    <dataValidation type="list" allowBlank="1" showInputMessage="1" showErrorMessage="1" sqref="G33:M33">
      <formula1>INDIRECT($Q$30)</formula1>
    </dataValidation>
    <dataValidation type="list" allowBlank="1" showInputMessage="1" showErrorMessage="1" sqref="F35:G35">
      <formula1>macroprocesos</formula1>
    </dataValidation>
    <dataValidation type="list" allowBlank="1" showInputMessage="1" showErrorMessage="1" sqref="F29:M29">
      <formula1>objetivos</formula1>
    </dataValidation>
    <dataValidation type="list" allowBlank="1" showInputMessage="1" showErrorMessage="1" sqref="G102 F43 F51">
      <formula1>$S$4:$S$5</formula1>
    </dataValidation>
  </dataValidations>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[1]Hoja1!#REF!</xm:f>
          </x14:formula1>
          <xm:sqref>S12</xm:sqref>
        </x14:dataValidation>
        <x14:dataValidation type="list" allowBlank="1" showInputMessage="1" showErrorMessage="1">
          <x14:formula1>
            <xm:f>[1]base!#REF!</xm:f>
          </x14:formula1>
          <xm:sqref>R75:R78 T75:T78 V75:V78 X75:X78 Z75:Z78 AB75:AB78 T81:T84 Z81:Z84 R81:R84 V81:V84 X81:X84 AB81:AB84 F23</xm:sqref>
        </x14:dataValidation>
      </x14:dataValidations>
    </ext>
  </extLst>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5">
    <tabColor rgb="FF0070C0"/>
  </sheetPr>
  <dimension ref="B1:AV113"/>
  <sheetViews>
    <sheetView zoomScaleNormal="100" workbookViewId="0">
      <selection activeCell="P1" sqref="P1"/>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11.42578125"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335</v>
      </c>
      <c r="O10" s="2"/>
    </row>
    <row r="11" spans="2:24" ht="3.95" customHeight="1" x14ac:dyDescent="0.25">
      <c r="B11" s="2"/>
      <c r="D11" s="6"/>
      <c r="O11" s="2"/>
    </row>
    <row r="12" spans="2:24" ht="36" customHeight="1" x14ac:dyDescent="0.25">
      <c r="B12" s="2"/>
      <c r="D12" s="338" t="s">
        <v>5</v>
      </c>
      <c r="E12" s="339"/>
      <c r="F12" s="340" t="s">
        <v>336</v>
      </c>
      <c r="G12" s="341"/>
      <c r="H12" s="341"/>
      <c r="I12" s="341"/>
      <c r="J12" s="341"/>
      <c r="K12" s="341"/>
      <c r="L12" s="341"/>
      <c r="M12" s="342"/>
      <c r="O12" s="2"/>
      <c r="W12" s="3" t="str">
        <f>+F23</f>
        <v>Mensual</v>
      </c>
      <c r="X12" s="3" t="str">
        <f>+F71</f>
        <v>Enero</v>
      </c>
    </row>
    <row r="13" spans="2:24" ht="3.95" customHeight="1" x14ac:dyDescent="0.25">
      <c r="B13" s="2"/>
      <c r="O13" s="2"/>
    </row>
    <row r="14" spans="2:24" ht="38.25" customHeight="1" x14ac:dyDescent="0.25">
      <c r="B14" s="2"/>
      <c r="D14" s="338" t="s">
        <v>6</v>
      </c>
      <c r="E14" s="339"/>
      <c r="F14" s="340" t="s">
        <v>1658</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17" t="s">
        <v>512</v>
      </c>
      <c r="G22" s="337" t="s">
        <v>9</v>
      </c>
      <c r="H22" s="337"/>
      <c r="I22" s="17">
        <v>1</v>
      </c>
      <c r="K22" s="337" t="s">
        <v>10</v>
      </c>
      <c r="L22" s="337"/>
      <c r="M22" s="9" t="s">
        <v>496</v>
      </c>
      <c r="O22" s="2"/>
    </row>
    <row r="23" spans="2:17" ht="19.5" customHeight="1" x14ac:dyDescent="0.25">
      <c r="B23" s="2"/>
      <c r="D23" s="337" t="s">
        <v>11</v>
      </c>
      <c r="E23" s="337"/>
      <c r="F23" s="4" t="s">
        <v>84</v>
      </c>
      <c r="G23" s="337" t="s">
        <v>12</v>
      </c>
      <c r="H23" s="337"/>
      <c r="I23" s="4" t="s">
        <v>497</v>
      </c>
      <c r="K23" s="337" t="s">
        <v>13</v>
      </c>
      <c r="L23" s="337"/>
      <c r="M23" s="9" t="s">
        <v>496</v>
      </c>
      <c r="O23" s="2"/>
    </row>
    <row r="24" spans="2:17" ht="20.100000000000001" customHeight="1" x14ac:dyDescent="0.25">
      <c r="B24" s="2"/>
      <c r="D24" s="337" t="s">
        <v>14</v>
      </c>
      <c r="E24" s="337"/>
      <c r="F24" s="4" t="s">
        <v>498</v>
      </c>
      <c r="G24" s="337" t="s">
        <v>15</v>
      </c>
      <c r="H24" s="337"/>
      <c r="I24" s="4" t="s">
        <v>533</v>
      </c>
      <c r="K24" s="337" t="s">
        <v>16</v>
      </c>
      <c r="L24" s="337"/>
      <c r="M24" s="9" t="s">
        <v>2</v>
      </c>
      <c r="O24" s="2"/>
    </row>
    <row r="25" spans="2:17" ht="20.100000000000001" customHeight="1" x14ac:dyDescent="0.25">
      <c r="B25" s="2"/>
      <c r="D25" s="337" t="s">
        <v>17</v>
      </c>
      <c r="E25" s="337"/>
      <c r="F25" s="4" t="s">
        <v>683</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soporte</v>
      </c>
    </row>
    <row r="31" spans="2:17" ht="24" customHeight="1" x14ac:dyDescent="0.25">
      <c r="B31" s="2"/>
      <c r="D31" s="347"/>
      <c r="E31" s="348"/>
      <c r="F31" s="4" t="s">
        <v>257</v>
      </c>
      <c r="G31" s="340" t="s">
        <v>258</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1600</v>
      </c>
      <c r="G33" s="340" t="s">
        <v>991</v>
      </c>
      <c r="H33" s="341"/>
      <c r="I33" s="341"/>
      <c r="J33" s="341"/>
      <c r="K33" s="341"/>
      <c r="L33" s="341"/>
      <c r="M33" s="342"/>
      <c r="O33" s="2"/>
      <c r="Q33" s="3">
        <f>+IFERROR(IF(VLOOKUP(G33,base!$A$26:$C$40,3,FALSE)=F31,1,0),"")</f>
        <v>1</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1716</v>
      </c>
      <c r="G35" s="340" t="s">
        <v>1592</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1328</v>
      </c>
      <c r="G45" s="340" t="s">
        <v>991</v>
      </c>
      <c r="H45" s="341"/>
      <c r="I45" s="341"/>
      <c r="J45" s="341"/>
      <c r="K45" s="341"/>
      <c r="L45" s="341"/>
      <c r="M45" s="342"/>
      <c r="O45" s="2"/>
      <c r="Q45" s="3" t="str">
        <f>+IFERROR(VLOOKUP(G45,base!$A$41:$C$45,3,FALSE),"")</f>
        <v>financiera</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1621</v>
      </c>
      <c r="G47" s="340" t="s">
        <v>992</v>
      </c>
      <c r="H47" s="341"/>
      <c r="I47" s="341"/>
      <c r="J47" s="341"/>
      <c r="K47" s="341"/>
      <c r="L47" s="341"/>
      <c r="M47" s="342"/>
      <c r="O47" s="2"/>
      <c r="Q47" s="3">
        <f>+IF(VLOOKUP(G47,base!$A$46:$C$66,3,FALSE)=F45,1,0)</f>
        <v>1</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920</v>
      </c>
      <c r="G49" s="340" t="s">
        <v>899</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496</v>
      </c>
      <c r="G51" s="337" t="s">
        <v>32</v>
      </c>
      <c r="H51" s="337"/>
      <c r="I51" s="17">
        <v>1</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 customHeight="1" x14ac:dyDescent="0.25">
      <c r="B59" s="2"/>
      <c r="D59" s="337" t="s">
        <v>34</v>
      </c>
      <c r="E59" s="337"/>
      <c r="F59" s="344" t="s">
        <v>1659</v>
      </c>
      <c r="G59" s="344"/>
      <c r="H59" s="344"/>
      <c r="I59" s="344"/>
      <c r="J59" s="344"/>
      <c r="K59" s="344"/>
      <c r="L59" s="344"/>
      <c r="M59" s="344"/>
      <c r="O59" s="2"/>
    </row>
    <row r="60" spans="2:15" ht="27.75" customHeight="1" x14ac:dyDescent="0.25">
      <c r="B60" s="2"/>
      <c r="D60" s="359" t="s">
        <v>35</v>
      </c>
      <c r="E60" s="359"/>
      <c r="F60" s="344" t="s">
        <v>1660</v>
      </c>
      <c r="G60" s="344"/>
      <c r="H60" s="344"/>
      <c r="I60" s="344"/>
      <c r="J60" s="344"/>
      <c r="K60" s="344"/>
      <c r="L60" s="344"/>
      <c r="M60" s="344"/>
      <c r="O60" s="2"/>
    </row>
    <row r="61" spans="2:15" ht="27.75" customHeight="1" x14ac:dyDescent="0.25">
      <c r="B61" s="2"/>
      <c r="D61" s="359" t="s">
        <v>36</v>
      </c>
      <c r="E61" s="359"/>
      <c r="F61" s="344" t="s">
        <v>1661</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43" t="s">
        <v>39</v>
      </c>
      <c r="E71" s="343"/>
      <c r="F71" s="4" t="s">
        <v>46</v>
      </c>
      <c r="G71" s="3" t="s">
        <v>500</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v>0.7</v>
      </c>
      <c r="H75" s="16">
        <f>+G75+0.001</f>
        <v>0.70099999999999996</v>
      </c>
      <c r="I75" s="16">
        <v>0.9</v>
      </c>
      <c r="J75" s="16">
        <f>+I75+0.001</f>
        <v>0.90100000000000002</v>
      </c>
      <c r="K75" s="16">
        <f>+M75-0.001</f>
        <v>0.999</v>
      </c>
      <c r="L75" s="16" t="s">
        <v>500</v>
      </c>
      <c r="M75" s="16">
        <v>1</v>
      </c>
      <c r="O75" s="2"/>
      <c r="AE75" s="3" t="s">
        <v>46</v>
      </c>
      <c r="AF75" s="3">
        <v>1</v>
      </c>
      <c r="AG75" s="3">
        <f>+IF(AE75&gt;=$G$71,1,0)</f>
        <v>1</v>
      </c>
      <c r="AH75" s="3">
        <f>+IF(AG75=0,0,IF(AG75=1,(SUM($AG$75:AG75)-1),1))</f>
        <v>0</v>
      </c>
      <c r="AI75" s="3">
        <f>+IF(AH75=0,0,IF(MOD(AH75,$U$69)=0,1,0))</f>
        <v>0</v>
      </c>
      <c r="AJ75" s="3">
        <f>+IF(AE75=$F$71,1,0)</f>
        <v>1</v>
      </c>
      <c r="AK75" s="3">
        <f>+MAX(AI75:AJ75)</f>
        <v>1</v>
      </c>
    </row>
    <row r="76" spans="2:37" x14ac:dyDescent="0.25">
      <c r="B76" s="2"/>
      <c r="D76" s="360" t="s">
        <v>40</v>
      </c>
      <c r="E76" s="360"/>
      <c r="F76" s="16" t="s">
        <v>500</v>
      </c>
      <c r="G76" s="16">
        <v>0.7</v>
      </c>
      <c r="H76" s="16">
        <f t="shared" ref="H76:J79" si="0">+G76+0.001</f>
        <v>0.70099999999999996</v>
      </c>
      <c r="I76" s="16">
        <v>0.9</v>
      </c>
      <c r="J76" s="16">
        <f t="shared" si="0"/>
        <v>0.90100000000000002</v>
      </c>
      <c r="K76" s="16">
        <f t="shared" ref="K76:K79" si="1">+M76-0.001</f>
        <v>0.999</v>
      </c>
      <c r="L76" s="16" t="s">
        <v>500</v>
      </c>
      <c r="M76" s="16">
        <v>1</v>
      </c>
      <c r="O76" s="2"/>
      <c r="AE76" s="3" t="s">
        <v>40</v>
      </c>
      <c r="AF76" s="3">
        <v>2</v>
      </c>
      <c r="AG76" s="3">
        <f t="shared" ref="AG76:AG86" si="2">+IF(AE76&gt;=$G$71,1,0)</f>
        <v>1</v>
      </c>
      <c r="AH76" s="3">
        <f>+IF(AG76=0,0,IF(AG76=1,(SUM($AG$75:AG76)-1),1))</f>
        <v>1</v>
      </c>
      <c r="AI76" s="3">
        <f t="shared" ref="AI76:AI86" si="3">+IF(AH76=0,0,IF(MOD(AH76,$U$69)=0,1,0))</f>
        <v>1</v>
      </c>
      <c r="AJ76" s="3">
        <f t="shared" ref="AJ76:AJ86" si="4">+IF(AE76=$F$71,1,0)</f>
        <v>0</v>
      </c>
      <c r="AK76" s="3">
        <f t="shared" ref="AK76:AK86" si="5">+MAX(AI76:AJ76)</f>
        <v>1</v>
      </c>
    </row>
    <row r="77" spans="2:37" x14ac:dyDescent="0.25">
      <c r="B77" s="2"/>
      <c r="D77" s="360" t="s">
        <v>47</v>
      </c>
      <c r="E77" s="360"/>
      <c r="F77" s="16" t="s">
        <v>500</v>
      </c>
      <c r="G77" s="16">
        <v>0.7</v>
      </c>
      <c r="H77" s="16">
        <f t="shared" si="0"/>
        <v>0.70099999999999996</v>
      </c>
      <c r="I77" s="16">
        <v>0.9</v>
      </c>
      <c r="J77" s="16">
        <f t="shared" si="0"/>
        <v>0.90100000000000002</v>
      </c>
      <c r="K77" s="16">
        <f t="shared" si="1"/>
        <v>0.999</v>
      </c>
      <c r="L77" s="16" t="s">
        <v>500</v>
      </c>
      <c r="M77" s="16">
        <v>1</v>
      </c>
      <c r="O77" s="2"/>
      <c r="AE77" s="3" t="s">
        <v>47</v>
      </c>
      <c r="AF77" s="3">
        <v>3</v>
      </c>
      <c r="AG77" s="3">
        <f t="shared" si="2"/>
        <v>1</v>
      </c>
      <c r="AH77" s="3">
        <f>+IF(AG77=0,0,IF(AG77=1,(SUM($AG$75:AG77)-1),1))</f>
        <v>2</v>
      </c>
      <c r="AI77" s="3">
        <f t="shared" si="3"/>
        <v>1</v>
      </c>
      <c r="AJ77" s="3">
        <f t="shared" si="4"/>
        <v>0</v>
      </c>
      <c r="AK77" s="3">
        <f t="shared" si="5"/>
        <v>1</v>
      </c>
    </row>
    <row r="78" spans="2:37" x14ac:dyDescent="0.25">
      <c r="B78" s="2"/>
      <c r="D78" s="360" t="s">
        <v>48</v>
      </c>
      <c r="E78" s="360"/>
      <c r="F78" s="16" t="s">
        <v>500</v>
      </c>
      <c r="G78" s="16">
        <v>0.7</v>
      </c>
      <c r="H78" s="16">
        <f t="shared" si="0"/>
        <v>0.70099999999999996</v>
      </c>
      <c r="I78" s="16">
        <v>0.9</v>
      </c>
      <c r="J78" s="16">
        <f t="shared" si="0"/>
        <v>0.90100000000000002</v>
      </c>
      <c r="K78" s="16">
        <f t="shared" si="1"/>
        <v>0.999</v>
      </c>
      <c r="L78" s="16" t="s">
        <v>500</v>
      </c>
      <c r="M78" s="16">
        <v>1</v>
      </c>
      <c r="O78" s="2"/>
      <c r="AE78" s="3" t="s">
        <v>48</v>
      </c>
      <c r="AF78" s="3">
        <v>4</v>
      </c>
      <c r="AG78" s="3">
        <f t="shared" si="2"/>
        <v>1</v>
      </c>
      <c r="AH78" s="3">
        <f>+IF(AG78=0,0,IF(AG78=1,(SUM($AG$75:AG78)-1),1))</f>
        <v>3</v>
      </c>
      <c r="AI78" s="3">
        <f t="shared" si="3"/>
        <v>1</v>
      </c>
      <c r="AJ78" s="3">
        <f t="shared" si="4"/>
        <v>0</v>
      </c>
      <c r="AK78" s="3">
        <f t="shared" si="5"/>
        <v>1</v>
      </c>
    </row>
    <row r="79" spans="2:37" x14ac:dyDescent="0.25">
      <c r="B79" s="2"/>
      <c r="D79" s="360" t="s">
        <v>49</v>
      </c>
      <c r="E79" s="360"/>
      <c r="F79" s="16" t="s">
        <v>500</v>
      </c>
      <c r="G79" s="16">
        <v>0.7</v>
      </c>
      <c r="H79" s="16">
        <f t="shared" si="0"/>
        <v>0.70099999999999996</v>
      </c>
      <c r="I79" s="16">
        <v>0.9</v>
      </c>
      <c r="J79" s="16">
        <f t="shared" si="0"/>
        <v>0.90100000000000002</v>
      </c>
      <c r="K79" s="16">
        <f t="shared" si="1"/>
        <v>0.999</v>
      </c>
      <c r="L79" s="16" t="s">
        <v>500</v>
      </c>
      <c r="M79" s="16">
        <v>1</v>
      </c>
      <c r="O79" s="2"/>
      <c r="AE79" s="3" t="s">
        <v>49</v>
      </c>
      <c r="AF79" s="3">
        <v>5</v>
      </c>
      <c r="AG79" s="3">
        <f t="shared" si="2"/>
        <v>1</v>
      </c>
      <c r="AH79" s="3">
        <f>+IF(AG79=0,0,IF(AG79=1,(SUM($AG$75:AG79)-1),1))</f>
        <v>4</v>
      </c>
      <c r="AI79" s="3">
        <f t="shared" si="3"/>
        <v>1</v>
      </c>
      <c r="AJ79" s="3">
        <f t="shared" si="4"/>
        <v>0</v>
      </c>
      <c r="AK79" s="3">
        <f t="shared" si="5"/>
        <v>1</v>
      </c>
    </row>
    <row r="80" spans="2:37" x14ac:dyDescent="0.25">
      <c r="B80" s="2"/>
      <c r="D80" s="360" t="s">
        <v>50</v>
      </c>
      <c r="E80" s="360"/>
      <c r="F80" s="16" t="s">
        <v>500</v>
      </c>
      <c r="G80" s="16">
        <v>0.6</v>
      </c>
      <c r="H80" s="16">
        <v>0.60099999999999998</v>
      </c>
      <c r="I80" s="16">
        <v>0.8</v>
      </c>
      <c r="J80" s="16">
        <v>0.80100000000000005</v>
      </c>
      <c r="K80" s="16">
        <v>0.95</v>
      </c>
      <c r="L80" s="16">
        <v>0.95099999999999996</v>
      </c>
      <c r="M80" s="16"/>
      <c r="O80" s="2"/>
      <c r="AE80" s="3" t="s">
        <v>50</v>
      </c>
      <c r="AF80" s="3">
        <v>6</v>
      </c>
      <c r="AG80" s="3">
        <f t="shared" si="2"/>
        <v>1</v>
      </c>
      <c r="AH80" s="3">
        <f>+IF(AG80=0,0,IF(AG80=1,(SUM($AG$75:AG80)-1),1))</f>
        <v>5</v>
      </c>
      <c r="AI80" s="3">
        <f t="shared" si="3"/>
        <v>1</v>
      </c>
      <c r="AJ80" s="3">
        <f t="shared" si="4"/>
        <v>0</v>
      </c>
      <c r="AK80" s="3">
        <f t="shared" si="5"/>
        <v>1</v>
      </c>
    </row>
    <row r="81" spans="2:37" x14ac:dyDescent="0.25">
      <c r="B81" s="2"/>
      <c r="D81" s="360" t="s">
        <v>53</v>
      </c>
      <c r="E81" s="360"/>
      <c r="F81" s="16" t="s">
        <v>500</v>
      </c>
      <c r="G81" s="16">
        <v>0.6</v>
      </c>
      <c r="H81" s="16">
        <v>0.60099999999999998</v>
      </c>
      <c r="I81" s="16">
        <v>0.8</v>
      </c>
      <c r="J81" s="16">
        <v>0.80100000000000005</v>
      </c>
      <c r="K81" s="16">
        <v>0.95</v>
      </c>
      <c r="L81" s="16">
        <v>0.95099999999999996</v>
      </c>
      <c r="M81" s="16"/>
      <c r="O81" s="2"/>
      <c r="AE81" s="3" t="s">
        <v>53</v>
      </c>
      <c r="AF81" s="3">
        <v>7</v>
      </c>
      <c r="AG81" s="3">
        <f t="shared" si="2"/>
        <v>1</v>
      </c>
      <c r="AH81" s="3">
        <f>+IF(AG81=0,0,IF(AG81=1,(SUM($AG$75:AG81)-1),1))</f>
        <v>6</v>
      </c>
      <c r="AI81" s="3">
        <f t="shared" si="3"/>
        <v>1</v>
      </c>
      <c r="AJ81" s="3">
        <f t="shared" si="4"/>
        <v>0</v>
      </c>
      <c r="AK81" s="3">
        <f t="shared" si="5"/>
        <v>1</v>
      </c>
    </row>
    <row r="82" spans="2:37" x14ac:dyDescent="0.25">
      <c r="B82" s="2"/>
      <c r="D82" s="360" t="s">
        <v>54</v>
      </c>
      <c r="E82" s="360"/>
      <c r="F82" s="16" t="s">
        <v>500</v>
      </c>
      <c r="G82" s="16">
        <v>0.6</v>
      </c>
      <c r="H82" s="16">
        <v>0.60099999999999998</v>
      </c>
      <c r="I82" s="16">
        <v>0.8</v>
      </c>
      <c r="J82" s="16">
        <v>0.80100000000000005</v>
      </c>
      <c r="K82" s="16">
        <v>0.95</v>
      </c>
      <c r="L82" s="16">
        <v>0.95099999999999996</v>
      </c>
      <c r="M82" s="16"/>
      <c r="O82" s="2"/>
      <c r="AE82" s="3" t="s">
        <v>54</v>
      </c>
      <c r="AF82" s="3">
        <v>8</v>
      </c>
      <c r="AG82" s="3">
        <f t="shared" si="2"/>
        <v>1</v>
      </c>
      <c r="AH82" s="3">
        <f>+IF(AG82=0,0,IF(AG82=1,(SUM($AG$75:AG82)-1),1))</f>
        <v>7</v>
      </c>
      <c r="AI82" s="3">
        <f t="shared" si="3"/>
        <v>1</v>
      </c>
      <c r="AJ82" s="3">
        <f t="shared" si="4"/>
        <v>0</v>
      </c>
      <c r="AK82" s="3">
        <f t="shared" si="5"/>
        <v>1</v>
      </c>
    </row>
    <row r="83" spans="2:37" x14ac:dyDescent="0.25">
      <c r="B83" s="2"/>
      <c r="D83" s="360" t="s">
        <v>55</v>
      </c>
      <c r="E83" s="360"/>
      <c r="F83" s="16" t="s">
        <v>500</v>
      </c>
      <c r="G83" s="16">
        <v>0.65</v>
      </c>
      <c r="H83" s="16">
        <v>0.65100000000000002</v>
      </c>
      <c r="I83" s="16">
        <v>0.83</v>
      </c>
      <c r="J83" s="16">
        <v>0.83099999999999996</v>
      </c>
      <c r="K83" s="16">
        <v>0.98</v>
      </c>
      <c r="L83" s="16">
        <v>0.98099999999999998</v>
      </c>
      <c r="M83" s="16"/>
      <c r="O83" s="2"/>
      <c r="AE83" s="3" t="s">
        <v>55</v>
      </c>
      <c r="AF83" s="3">
        <v>9</v>
      </c>
      <c r="AG83" s="3">
        <f t="shared" si="2"/>
        <v>1</v>
      </c>
      <c r="AH83" s="3">
        <f>+IF(AG83=0,0,IF(AG83=1,(SUM($AG$75:AG83)-1),1))</f>
        <v>8</v>
      </c>
      <c r="AI83" s="3">
        <f t="shared" si="3"/>
        <v>1</v>
      </c>
      <c r="AJ83" s="3">
        <f t="shared" si="4"/>
        <v>0</v>
      </c>
      <c r="AK83" s="3">
        <f t="shared" si="5"/>
        <v>1</v>
      </c>
    </row>
    <row r="84" spans="2:37" x14ac:dyDescent="0.25">
      <c r="B84" s="2"/>
      <c r="D84" s="360" t="s">
        <v>56</v>
      </c>
      <c r="E84" s="360"/>
      <c r="F84" s="16" t="s">
        <v>500</v>
      </c>
      <c r="G84" s="16">
        <v>0.65</v>
      </c>
      <c r="H84" s="16">
        <v>0.65100000000000002</v>
      </c>
      <c r="I84" s="16">
        <v>0.83</v>
      </c>
      <c r="J84" s="16">
        <v>0.83099999999999996</v>
      </c>
      <c r="K84" s="16">
        <v>0.98</v>
      </c>
      <c r="L84" s="16">
        <v>0.98099999999999998</v>
      </c>
      <c r="M84" s="16"/>
      <c r="O84" s="2"/>
      <c r="AE84" s="3" t="s">
        <v>56</v>
      </c>
      <c r="AF84" s="3">
        <v>10</v>
      </c>
      <c r="AG84" s="3">
        <f t="shared" si="2"/>
        <v>1</v>
      </c>
      <c r="AH84" s="3">
        <f>+IF(AG84=0,0,IF(AG84=1,(SUM($AG$75:AG84)-1),1))</f>
        <v>9</v>
      </c>
      <c r="AI84" s="3">
        <f t="shared" si="3"/>
        <v>1</v>
      </c>
      <c r="AJ84" s="3">
        <f t="shared" si="4"/>
        <v>0</v>
      </c>
      <c r="AK84" s="3">
        <f t="shared" si="5"/>
        <v>1</v>
      </c>
    </row>
    <row r="85" spans="2:37" x14ac:dyDescent="0.25">
      <c r="B85" s="2"/>
      <c r="D85" s="360" t="s">
        <v>57</v>
      </c>
      <c r="E85" s="360"/>
      <c r="F85" s="16" t="s">
        <v>500</v>
      </c>
      <c r="G85" s="16">
        <v>0.65</v>
      </c>
      <c r="H85" s="16">
        <v>0.65100000000000002</v>
      </c>
      <c r="I85" s="16">
        <v>0.83</v>
      </c>
      <c r="J85" s="16">
        <v>0.83099999999999996</v>
      </c>
      <c r="K85" s="16">
        <v>0.98</v>
      </c>
      <c r="L85" s="16">
        <v>0.98099999999999998</v>
      </c>
      <c r="M85" s="16"/>
      <c r="O85" s="2"/>
      <c r="AE85" s="3" t="s">
        <v>57</v>
      </c>
      <c r="AF85" s="3">
        <v>11</v>
      </c>
      <c r="AG85" s="3">
        <f t="shared" si="2"/>
        <v>1</v>
      </c>
      <c r="AH85" s="3">
        <f>+IF(AG85=0,0,IF(AG85=1,(SUM($AG$75:AG85)-1),1))</f>
        <v>10</v>
      </c>
      <c r="AI85" s="3">
        <f t="shared" si="3"/>
        <v>1</v>
      </c>
      <c r="AJ85" s="3">
        <f t="shared" si="4"/>
        <v>0</v>
      </c>
      <c r="AK85" s="3">
        <f t="shared" si="5"/>
        <v>1</v>
      </c>
    </row>
    <row r="86" spans="2:37" x14ac:dyDescent="0.25">
      <c r="B86" s="2"/>
      <c r="D86" s="360" t="s">
        <v>58</v>
      </c>
      <c r="E86" s="360"/>
      <c r="F86" s="16" t="s">
        <v>500</v>
      </c>
      <c r="G86" s="16">
        <v>0.7</v>
      </c>
      <c r="H86" s="16">
        <v>0.70099999999999996</v>
      </c>
      <c r="I86" s="16">
        <v>0.85</v>
      </c>
      <c r="J86" s="16">
        <v>0.85099999999999998</v>
      </c>
      <c r="K86" s="16">
        <v>0.999</v>
      </c>
      <c r="L86" s="16"/>
      <c r="M86" s="16">
        <v>1</v>
      </c>
      <c r="O86" s="2"/>
      <c r="AE86" s="3" t="s">
        <v>58</v>
      </c>
      <c r="AF86" s="65">
        <v>12</v>
      </c>
      <c r="AG86" s="3">
        <f t="shared" si="2"/>
        <v>1</v>
      </c>
      <c r="AH86" s="3">
        <f>+IF(AG86=0,0,IF(AG86=1,(SUM($AG$75:AG86)-1),1))</f>
        <v>11</v>
      </c>
      <c r="AI86" s="3">
        <f t="shared" si="3"/>
        <v>1</v>
      </c>
      <c r="AJ86" s="3">
        <f t="shared" si="4"/>
        <v>0</v>
      </c>
      <c r="AK86" s="3">
        <f t="shared" si="5"/>
        <v>1</v>
      </c>
    </row>
    <row r="87" spans="2:37" ht="3.75" customHeight="1" x14ac:dyDescent="0.25">
      <c r="B87" s="2"/>
      <c r="O87" s="2"/>
    </row>
    <row r="88" spans="2:37" ht="66" customHeight="1" x14ac:dyDescent="0.25">
      <c r="B88" s="2"/>
      <c r="D88" s="338" t="s">
        <v>59</v>
      </c>
      <c r="E88" s="339"/>
      <c r="F88" s="340" t="s">
        <v>2153</v>
      </c>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2" customHeight="1" x14ac:dyDescent="0.25">
      <c r="B97" s="2"/>
      <c r="D97" s="359" t="s">
        <v>35</v>
      </c>
      <c r="E97" s="359"/>
      <c r="F97" s="344" t="s">
        <v>1657</v>
      </c>
      <c r="G97" s="344"/>
      <c r="H97" s="344"/>
      <c r="I97" s="344"/>
      <c r="J97" s="344"/>
      <c r="K97" s="344"/>
      <c r="L97" s="344"/>
      <c r="M97" s="344"/>
      <c r="O97" s="2"/>
    </row>
    <row r="98" spans="2:15" ht="42" customHeight="1" x14ac:dyDescent="0.25">
      <c r="B98" s="2"/>
      <c r="D98" s="359" t="s">
        <v>36</v>
      </c>
      <c r="E98" s="359"/>
      <c r="F98" s="344" t="s">
        <v>1657</v>
      </c>
      <c r="G98" s="344"/>
      <c r="H98" s="344"/>
      <c r="I98" s="344"/>
      <c r="J98" s="344"/>
      <c r="K98" s="344"/>
      <c r="L98" s="344"/>
      <c r="M98" s="344"/>
      <c r="O98" s="2"/>
    </row>
    <row r="99" spans="2:15" ht="3.95" customHeight="1" x14ac:dyDescent="0.25">
      <c r="B99" s="2"/>
      <c r="O99" s="2"/>
    </row>
    <row r="100" spans="2:15" ht="123" customHeight="1" x14ac:dyDescent="0.25">
      <c r="B100" s="2"/>
      <c r="D100" s="338" t="s">
        <v>62</v>
      </c>
      <c r="E100" s="339"/>
      <c r="F100" s="365" t="s">
        <v>1922</v>
      </c>
      <c r="G100" s="428"/>
      <c r="H100" s="428"/>
      <c r="I100" s="428"/>
      <c r="J100" s="428"/>
      <c r="K100" s="428"/>
      <c r="L100" s="428"/>
      <c r="M100" s="429"/>
      <c r="O100" s="2"/>
    </row>
    <row r="101" spans="2:15" ht="3.95" customHeight="1" x14ac:dyDescent="0.25">
      <c r="B101" s="2"/>
      <c r="O101" s="2"/>
    </row>
    <row r="102" spans="2:15" ht="19.5" customHeight="1" x14ac:dyDescent="0.25">
      <c r="B102" s="2"/>
      <c r="D102" s="329" t="s">
        <v>64</v>
      </c>
      <c r="E102" s="330"/>
      <c r="F102" s="19" t="s">
        <v>65</v>
      </c>
      <c r="G102" s="4" t="s">
        <v>2</v>
      </c>
      <c r="K102" s="20"/>
      <c r="O102" s="2"/>
    </row>
    <row r="103" spans="2:15" ht="19.5" customHeight="1" x14ac:dyDescent="0.25">
      <c r="B103" s="2"/>
      <c r="D103" s="331"/>
      <c r="E103" s="332"/>
      <c r="F103" s="19" t="s">
        <v>66</v>
      </c>
      <c r="G103" s="4"/>
      <c r="K103" s="21"/>
      <c r="O103" s="2"/>
    </row>
    <row r="104" spans="2:15" ht="27.75" customHeight="1" x14ac:dyDescent="0.25">
      <c r="B104" s="2"/>
      <c r="D104" s="331"/>
      <c r="E104" s="332"/>
      <c r="F104" s="19" t="s">
        <v>67</v>
      </c>
      <c r="G104" s="333"/>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 xml:space="preserve">Director(a) anciera </v>
      </c>
      <c r="H108" s="334"/>
      <c r="I108" s="334"/>
      <c r="J108" s="334"/>
      <c r="K108" s="334"/>
      <c r="L108" s="334"/>
      <c r="M108" s="335"/>
      <c r="O108" s="2"/>
    </row>
    <row r="109" spans="2:15" ht="17.25" customHeight="1" x14ac:dyDescent="0.25">
      <c r="B109" s="2"/>
      <c r="D109" s="331"/>
      <c r="E109" s="332"/>
      <c r="F109" s="19" t="s">
        <v>2042</v>
      </c>
      <c r="G109" s="333" t="str">
        <f>+IF(M23="Si","Coordinador(a) Planeación y Sistemas","")</f>
        <v>Coordinador(a) Planeación y Sistemas</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833" priority="31">
      <formula>+IF($F$43="no",1,0)</formula>
    </cfRule>
  </conditionalFormatting>
  <conditionalFormatting sqref="F32:M33">
    <cfRule type="expression" dxfId="1832" priority="30">
      <formula>+IF($Q$30="NA",1,0)</formula>
    </cfRule>
  </conditionalFormatting>
  <conditionalFormatting sqref="F33:M33">
    <cfRule type="expression" dxfId="1831" priority="29">
      <formula>+IF($Q$33=0,1,0)</formula>
    </cfRule>
  </conditionalFormatting>
  <conditionalFormatting sqref="F47:M47">
    <cfRule type="expression" dxfId="1830" priority="28">
      <formula>+IF($Q$47=0,1,0)</formula>
    </cfRule>
  </conditionalFormatting>
  <conditionalFormatting sqref="F73:G73">
    <cfRule type="cellIs" dxfId="1829" priority="14" operator="equal">
      <formula>"optimo"</formula>
    </cfRule>
    <cfRule type="cellIs" dxfId="1828" priority="15" operator="equal">
      <formula>"critico"</formula>
    </cfRule>
  </conditionalFormatting>
  <conditionalFormatting sqref="H73:I73">
    <cfRule type="cellIs" dxfId="1827" priority="12" operator="equal">
      <formula>"Adecuado"</formula>
    </cfRule>
    <cfRule type="cellIs" dxfId="1826" priority="13" operator="equal">
      <formula>"en riesgo"</formula>
    </cfRule>
  </conditionalFormatting>
  <conditionalFormatting sqref="J73:K73">
    <cfRule type="cellIs" dxfId="1825" priority="10" operator="equal">
      <formula>"Adecuado"</formula>
    </cfRule>
    <cfRule type="cellIs" dxfId="1824" priority="11" operator="equal">
      <formula>"en riesgo"</formula>
    </cfRule>
  </conditionalFormatting>
  <conditionalFormatting sqref="L73:M73">
    <cfRule type="cellIs" dxfId="1823" priority="8" operator="equal">
      <formula>"optimo"</formula>
    </cfRule>
    <cfRule type="cellIs" dxfId="1822" priority="9" operator="equal">
      <formula>"critico"</formula>
    </cfRule>
  </conditionalFormatting>
  <conditionalFormatting sqref="F103:G104">
    <cfRule type="expression" dxfId="1821" priority="6">
      <formula>+IF($G$102="No",1,0)</formula>
    </cfRule>
  </conditionalFormatting>
  <conditionalFormatting sqref="F51">
    <cfRule type="expression" dxfId="1820" priority="5">
      <formula>+IF($F$43="no",1,0)</formula>
    </cfRule>
  </conditionalFormatting>
  <conditionalFormatting sqref="I51">
    <cfRule type="expression" dxfId="1819"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6">
    <tabColor rgb="FF0070C0"/>
  </sheetPr>
  <dimension ref="B1:AV113"/>
  <sheetViews>
    <sheetView zoomScaleNormal="100" workbookViewId="0">
      <selection activeCell="P1" sqref="P1"/>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337</v>
      </c>
      <c r="O10" s="2"/>
    </row>
    <row r="11" spans="2:24" ht="3.95" customHeight="1" x14ac:dyDescent="0.25">
      <c r="B11" s="2"/>
      <c r="D11" s="6"/>
      <c r="O11" s="2"/>
    </row>
    <row r="12" spans="2:24" ht="36" customHeight="1" x14ac:dyDescent="0.25">
      <c r="B12" s="2"/>
      <c r="D12" s="338" t="s">
        <v>5</v>
      </c>
      <c r="E12" s="339"/>
      <c r="F12" s="340" t="s">
        <v>338</v>
      </c>
      <c r="G12" s="341"/>
      <c r="H12" s="341"/>
      <c r="I12" s="341"/>
      <c r="J12" s="341"/>
      <c r="K12" s="341"/>
      <c r="L12" s="341"/>
      <c r="M12" s="342"/>
      <c r="O12" s="2"/>
      <c r="W12" s="3" t="str">
        <f>+F23</f>
        <v>Mensual</v>
      </c>
      <c r="X12" s="3" t="str">
        <f>+F71</f>
        <v>Enero</v>
      </c>
    </row>
    <row r="13" spans="2:24" ht="3.95" customHeight="1" x14ac:dyDescent="0.25">
      <c r="B13" s="2"/>
      <c r="O13" s="2"/>
    </row>
    <row r="14" spans="2:24" ht="38.25" customHeight="1" x14ac:dyDescent="0.25">
      <c r="B14" s="2"/>
      <c r="D14" s="338" t="s">
        <v>6</v>
      </c>
      <c r="E14" s="339"/>
      <c r="F14" s="340" t="s">
        <v>1653</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17" t="s">
        <v>512</v>
      </c>
      <c r="G22" s="337" t="s">
        <v>9</v>
      </c>
      <c r="H22" s="337"/>
      <c r="I22" s="17">
        <v>1</v>
      </c>
      <c r="K22" s="337" t="s">
        <v>10</v>
      </c>
      <c r="L22" s="337"/>
      <c r="M22" s="9" t="s">
        <v>496</v>
      </c>
      <c r="O22" s="2"/>
    </row>
    <row r="23" spans="2:17" ht="19.5" customHeight="1" x14ac:dyDescent="0.25">
      <c r="B23" s="2"/>
      <c r="D23" s="337" t="s">
        <v>11</v>
      </c>
      <c r="E23" s="337"/>
      <c r="F23" s="4" t="s">
        <v>84</v>
      </c>
      <c r="G23" s="337" t="s">
        <v>12</v>
      </c>
      <c r="H23" s="337"/>
      <c r="I23" s="4" t="s">
        <v>497</v>
      </c>
      <c r="K23" s="337" t="s">
        <v>13</v>
      </c>
      <c r="L23" s="337"/>
      <c r="M23" s="9" t="s">
        <v>496</v>
      </c>
      <c r="O23" s="2"/>
    </row>
    <row r="24" spans="2:17" ht="20.100000000000001" customHeight="1" x14ac:dyDescent="0.25">
      <c r="B24" s="2"/>
      <c r="D24" s="337" t="s">
        <v>14</v>
      </c>
      <c r="E24" s="337"/>
      <c r="F24" s="4" t="s">
        <v>498</v>
      </c>
      <c r="G24" s="337" t="s">
        <v>15</v>
      </c>
      <c r="H24" s="337"/>
      <c r="I24" s="4" t="s">
        <v>533</v>
      </c>
      <c r="K24" s="337" t="s">
        <v>16</v>
      </c>
      <c r="L24" s="337"/>
      <c r="M24" s="9" t="s">
        <v>2</v>
      </c>
      <c r="O24" s="2"/>
    </row>
    <row r="25" spans="2:17" ht="20.100000000000001" customHeight="1" x14ac:dyDescent="0.25">
      <c r="B25" s="2"/>
      <c r="D25" s="337" t="s">
        <v>17</v>
      </c>
      <c r="E25" s="337"/>
      <c r="F25" s="4" t="s">
        <v>683</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soporte</v>
      </c>
    </row>
    <row r="31" spans="2:17" ht="24" customHeight="1" x14ac:dyDescent="0.25">
      <c r="B31" s="2"/>
      <c r="D31" s="347"/>
      <c r="E31" s="348"/>
      <c r="F31" s="4" t="s">
        <v>257</v>
      </c>
      <c r="G31" s="340" t="s">
        <v>258</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1600</v>
      </c>
      <c r="G33" s="340" t="s">
        <v>991</v>
      </c>
      <c r="H33" s="341"/>
      <c r="I33" s="341"/>
      <c r="J33" s="341"/>
      <c r="K33" s="341"/>
      <c r="L33" s="341"/>
      <c r="M33" s="342"/>
      <c r="O33" s="2"/>
      <c r="Q33" s="3">
        <f>+IFERROR(IF(VLOOKUP(G33,base!$A$26:$C$40,3,FALSE)=F31,1,0),"")</f>
        <v>1</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1716</v>
      </c>
      <c r="G35" s="340" t="s">
        <v>1592</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1328</v>
      </c>
      <c r="G45" s="340" t="s">
        <v>991</v>
      </c>
      <c r="H45" s="341"/>
      <c r="I45" s="341"/>
      <c r="J45" s="341"/>
      <c r="K45" s="341"/>
      <c r="L45" s="341"/>
      <c r="M45" s="342"/>
      <c r="O45" s="2"/>
      <c r="Q45" s="3" t="str">
        <f>+IFERROR(VLOOKUP(G45,base!$A$41:$C$45,3,FALSE),"")</f>
        <v>financiera</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1621</v>
      </c>
      <c r="G47" s="340" t="s">
        <v>992</v>
      </c>
      <c r="H47" s="341"/>
      <c r="I47" s="341"/>
      <c r="J47" s="341"/>
      <c r="K47" s="341"/>
      <c r="L47" s="341"/>
      <c r="M47" s="342"/>
      <c r="O47" s="2"/>
      <c r="Q47" s="3">
        <f>+IF(VLOOKUP(G47,base!$A$46:$C$66,3,FALSE)=F45,1,0)</f>
        <v>1</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920</v>
      </c>
      <c r="G49" s="340" t="s">
        <v>899</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496</v>
      </c>
      <c r="G51" s="337" t="s">
        <v>32</v>
      </c>
      <c r="H51" s="337"/>
      <c r="I51" s="17">
        <v>1</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 customHeight="1" x14ac:dyDescent="0.25">
      <c r="B59" s="2"/>
      <c r="D59" s="337" t="s">
        <v>34</v>
      </c>
      <c r="E59" s="337"/>
      <c r="F59" s="344" t="s">
        <v>1654</v>
      </c>
      <c r="G59" s="344"/>
      <c r="H59" s="344"/>
      <c r="I59" s="344"/>
      <c r="J59" s="344"/>
      <c r="K59" s="344"/>
      <c r="L59" s="344"/>
      <c r="M59" s="344"/>
      <c r="O59" s="2"/>
    </row>
    <row r="60" spans="2:15" ht="27.75" customHeight="1" x14ac:dyDescent="0.25">
      <c r="B60" s="2"/>
      <c r="D60" s="359" t="s">
        <v>35</v>
      </c>
      <c r="E60" s="359"/>
      <c r="F60" s="344" t="s">
        <v>1655</v>
      </c>
      <c r="G60" s="344"/>
      <c r="H60" s="344"/>
      <c r="I60" s="344"/>
      <c r="J60" s="344"/>
      <c r="K60" s="344"/>
      <c r="L60" s="344"/>
      <c r="M60" s="344"/>
      <c r="O60" s="2"/>
    </row>
    <row r="61" spans="2:15" ht="27.75" customHeight="1" x14ac:dyDescent="0.25">
      <c r="B61" s="2"/>
      <c r="D61" s="359" t="s">
        <v>36</v>
      </c>
      <c r="E61" s="359"/>
      <c r="F61" s="344" t="s">
        <v>1656</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43" t="s">
        <v>39</v>
      </c>
      <c r="E71" s="343"/>
      <c r="F71" s="4" t="s">
        <v>46</v>
      </c>
      <c r="G71" s="3" t="s">
        <v>500</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v>0.2</v>
      </c>
      <c r="H75" s="16">
        <f>+G75+0.001</f>
        <v>0.20100000000000001</v>
      </c>
      <c r="I75" s="16">
        <v>0.3</v>
      </c>
      <c r="J75" s="16">
        <f>+I75+0.001</f>
        <v>0.30099999999999999</v>
      </c>
      <c r="K75" s="16">
        <f>+M75-0.001</f>
        <v>0.999</v>
      </c>
      <c r="L75" s="16" t="s">
        <v>500</v>
      </c>
      <c r="M75" s="16">
        <v>1</v>
      </c>
      <c r="O75" s="2"/>
      <c r="AE75" s="3" t="s">
        <v>46</v>
      </c>
      <c r="AF75" s="3">
        <v>1</v>
      </c>
      <c r="AG75" s="3">
        <f>+IF(AE75&gt;=$G$71,1,0)</f>
        <v>1</v>
      </c>
      <c r="AH75" s="3">
        <f>+IF(AG75=0,0,IF(AG75=1,(SUM($AG$75:AG75)-1),1))</f>
        <v>0</v>
      </c>
      <c r="AI75" s="3">
        <f>+IF(AH75=0,0,IF(MOD(AH75,$U$69)=0,1,0))</f>
        <v>0</v>
      </c>
      <c r="AJ75" s="3">
        <f>+IF(AE75=$F$71,1,0)</f>
        <v>1</v>
      </c>
      <c r="AK75" s="3">
        <f>+MAX(AI75:AJ75)</f>
        <v>1</v>
      </c>
    </row>
    <row r="76" spans="2:37" x14ac:dyDescent="0.25">
      <c r="B76" s="2"/>
      <c r="D76" s="360" t="s">
        <v>40</v>
      </c>
      <c r="E76" s="360"/>
      <c r="F76" s="16" t="s">
        <v>500</v>
      </c>
      <c r="G76" s="16">
        <v>0.3</v>
      </c>
      <c r="H76" s="16">
        <f t="shared" ref="H76:J79" si="0">+G76+0.001</f>
        <v>0.30099999999999999</v>
      </c>
      <c r="I76" s="16">
        <v>0.4</v>
      </c>
      <c r="J76" s="16">
        <f t="shared" si="0"/>
        <v>0.40100000000000002</v>
      </c>
      <c r="K76" s="16">
        <f t="shared" ref="K76:K79" si="1">+M76-0.001</f>
        <v>0.999</v>
      </c>
      <c r="L76" s="16" t="s">
        <v>500</v>
      </c>
      <c r="M76" s="16">
        <v>1</v>
      </c>
      <c r="O76" s="2"/>
      <c r="AE76" s="3" t="s">
        <v>40</v>
      </c>
      <c r="AF76" s="3">
        <v>2</v>
      </c>
      <c r="AG76" s="3">
        <f t="shared" ref="AG76:AG86" si="2">+IF(AE76&gt;=$G$71,1,0)</f>
        <v>1</v>
      </c>
      <c r="AH76" s="3">
        <f>+IF(AG76=0,0,IF(AG76=1,(SUM($AG$75:AG76)-1),1))</f>
        <v>1</v>
      </c>
      <c r="AI76" s="3">
        <f t="shared" ref="AI76:AI86" si="3">+IF(AH76=0,0,IF(MOD(AH76,$U$69)=0,1,0))</f>
        <v>1</v>
      </c>
      <c r="AJ76" s="3">
        <f t="shared" ref="AJ76:AJ86" si="4">+IF(AE76=$F$71,1,0)</f>
        <v>0</v>
      </c>
      <c r="AK76" s="3">
        <f t="shared" ref="AK76:AK86" si="5">+MAX(AI76:AJ76)</f>
        <v>1</v>
      </c>
    </row>
    <row r="77" spans="2:37" x14ac:dyDescent="0.25">
      <c r="B77" s="2"/>
      <c r="D77" s="360" t="s">
        <v>47</v>
      </c>
      <c r="E77" s="360"/>
      <c r="F77" s="16" t="s">
        <v>500</v>
      </c>
      <c r="G77" s="16">
        <v>0.4</v>
      </c>
      <c r="H77" s="16">
        <f t="shared" si="0"/>
        <v>0.40100000000000002</v>
      </c>
      <c r="I77" s="16">
        <v>0.5</v>
      </c>
      <c r="J77" s="16">
        <f t="shared" si="0"/>
        <v>0.501</v>
      </c>
      <c r="K77" s="16">
        <f t="shared" si="1"/>
        <v>0.999</v>
      </c>
      <c r="L77" s="16" t="s">
        <v>500</v>
      </c>
      <c r="M77" s="16">
        <v>1</v>
      </c>
      <c r="O77" s="2"/>
      <c r="AE77" s="3" t="s">
        <v>47</v>
      </c>
      <c r="AF77" s="3">
        <v>3</v>
      </c>
      <c r="AG77" s="3">
        <f t="shared" si="2"/>
        <v>1</v>
      </c>
      <c r="AH77" s="3">
        <f>+IF(AG77=0,0,IF(AG77=1,(SUM($AG$75:AG77)-1),1))</f>
        <v>2</v>
      </c>
      <c r="AI77" s="3">
        <f t="shared" si="3"/>
        <v>1</v>
      </c>
      <c r="AJ77" s="3">
        <f t="shared" si="4"/>
        <v>0</v>
      </c>
      <c r="AK77" s="3">
        <f t="shared" si="5"/>
        <v>1</v>
      </c>
    </row>
    <row r="78" spans="2:37" x14ac:dyDescent="0.25">
      <c r="B78" s="2"/>
      <c r="D78" s="360" t="s">
        <v>48</v>
      </c>
      <c r="E78" s="360"/>
      <c r="F78" s="16" t="s">
        <v>500</v>
      </c>
      <c r="G78" s="16">
        <v>0.5</v>
      </c>
      <c r="H78" s="16">
        <f t="shared" si="0"/>
        <v>0.501</v>
      </c>
      <c r="I78" s="16">
        <v>0.8</v>
      </c>
      <c r="J78" s="16">
        <f t="shared" si="0"/>
        <v>0.80100000000000005</v>
      </c>
      <c r="K78" s="16">
        <f t="shared" si="1"/>
        <v>0.999</v>
      </c>
      <c r="L78" s="16" t="s">
        <v>500</v>
      </c>
      <c r="M78" s="16">
        <v>1</v>
      </c>
      <c r="O78" s="2"/>
      <c r="AE78" s="3" t="s">
        <v>48</v>
      </c>
      <c r="AF78" s="3">
        <v>4</v>
      </c>
      <c r="AG78" s="3">
        <f t="shared" si="2"/>
        <v>1</v>
      </c>
      <c r="AH78" s="3">
        <f>+IF(AG78=0,0,IF(AG78=1,(SUM($AG$75:AG78)-1),1))</f>
        <v>3</v>
      </c>
      <c r="AI78" s="3">
        <f t="shared" si="3"/>
        <v>1</v>
      </c>
      <c r="AJ78" s="3">
        <f t="shared" si="4"/>
        <v>0</v>
      </c>
      <c r="AK78" s="3">
        <f t="shared" si="5"/>
        <v>1</v>
      </c>
    </row>
    <row r="79" spans="2:37" x14ac:dyDescent="0.25">
      <c r="B79" s="2"/>
      <c r="D79" s="360" t="s">
        <v>49</v>
      </c>
      <c r="E79" s="360"/>
      <c r="F79" s="16" t="s">
        <v>500</v>
      </c>
      <c r="G79" s="16">
        <v>0.8</v>
      </c>
      <c r="H79" s="16">
        <f t="shared" si="0"/>
        <v>0.80100000000000005</v>
      </c>
      <c r="I79" s="16">
        <v>0.9</v>
      </c>
      <c r="J79" s="16">
        <f t="shared" si="0"/>
        <v>0.90100000000000002</v>
      </c>
      <c r="K79" s="16">
        <f t="shared" si="1"/>
        <v>0.999</v>
      </c>
      <c r="L79" s="16" t="s">
        <v>500</v>
      </c>
      <c r="M79" s="16">
        <v>1</v>
      </c>
      <c r="O79" s="2"/>
      <c r="AE79" s="3" t="s">
        <v>49</v>
      </c>
      <c r="AF79" s="3">
        <v>5</v>
      </c>
      <c r="AG79" s="3">
        <f t="shared" si="2"/>
        <v>1</v>
      </c>
      <c r="AH79" s="3">
        <f>+IF(AG79=0,0,IF(AG79=1,(SUM($AG$75:AG79)-1),1))</f>
        <v>4</v>
      </c>
      <c r="AI79" s="3">
        <f t="shared" si="3"/>
        <v>1</v>
      </c>
      <c r="AJ79" s="3">
        <f t="shared" si="4"/>
        <v>0</v>
      </c>
      <c r="AK79" s="3">
        <f t="shared" si="5"/>
        <v>1</v>
      </c>
    </row>
    <row r="80" spans="2:37" x14ac:dyDescent="0.25">
      <c r="B80" s="2"/>
      <c r="D80" s="360" t="s">
        <v>50</v>
      </c>
      <c r="E80" s="360"/>
      <c r="F80" s="16" t="s">
        <v>500</v>
      </c>
      <c r="G80" s="16">
        <v>0.6</v>
      </c>
      <c r="H80" s="16">
        <v>0.60099999999999998</v>
      </c>
      <c r="I80" s="16">
        <v>0.8</v>
      </c>
      <c r="J80" s="16">
        <v>0.80100000000000005</v>
      </c>
      <c r="K80" s="16">
        <v>0.95</v>
      </c>
      <c r="L80" s="16">
        <v>0.95099999999999996</v>
      </c>
      <c r="M80" s="16"/>
      <c r="O80" s="2"/>
      <c r="AE80" s="3" t="s">
        <v>50</v>
      </c>
      <c r="AF80" s="3">
        <v>6</v>
      </c>
      <c r="AG80" s="3">
        <f t="shared" si="2"/>
        <v>1</v>
      </c>
      <c r="AH80" s="3">
        <f>+IF(AG80=0,0,IF(AG80=1,(SUM($AG$75:AG80)-1),1))</f>
        <v>5</v>
      </c>
      <c r="AI80" s="3">
        <f t="shared" si="3"/>
        <v>1</v>
      </c>
      <c r="AJ80" s="3">
        <f t="shared" si="4"/>
        <v>0</v>
      </c>
      <c r="AK80" s="3">
        <f t="shared" si="5"/>
        <v>1</v>
      </c>
    </row>
    <row r="81" spans="2:37" x14ac:dyDescent="0.25">
      <c r="B81" s="2"/>
      <c r="D81" s="360" t="s">
        <v>53</v>
      </c>
      <c r="E81" s="360"/>
      <c r="F81" s="16" t="s">
        <v>500</v>
      </c>
      <c r="G81" s="16">
        <v>0.6</v>
      </c>
      <c r="H81" s="16">
        <v>0.60099999999999998</v>
      </c>
      <c r="I81" s="16">
        <v>0.8</v>
      </c>
      <c r="J81" s="16">
        <v>0.80100000000000005</v>
      </c>
      <c r="K81" s="16">
        <v>0.95</v>
      </c>
      <c r="L81" s="16">
        <v>0.95099999999999996</v>
      </c>
      <c r="M81" s="16"/>
      <c r="O81" s="2"/>
      <c r="AE81" s="3" t="s">
        <v>53</v>
      </c>
      <c r="AF81" s="3">
        <v>7</v>
      </c>
      <c r="AG81" s="3">
        <f t="shared" si="2"/>
        <v>1</v>
      </c>
      <c r="AH81" s="3">
        <f>+IF(AG81=0,0,IF(AG81=1,(SUM($AG$75:AG81)-1),1))</f>
        <v>6</v>
      </c>
      <c r="AI81" s="3">
        <f t="shared" si="3"/>
        <v>1</v>
      </c>
      <c r="AJ81" s="3">
        <f t="shared" si="4"/>
        <v>0</v>
      </c>
      <c r="AK81" s="3">
        <f t="shared" si="5"/>
        <v>1</v>
      </c>
    </row>
    <row r="82" spans="2:37" x14ac:dyDescent="0.25">
      <c r="B82" s="2"/>
      <c r="D82" s="360" t="s">
        <v>54</v>
      </c>
      <c r="E82" s="360"/>
      <c r="F82" s="16" t="s">
        <v>500</v>
      </c>
      <c r="G82" s="16">
        <v>0.6</v>
      </c>
      <c r="H82" s="16">
        <v>0.60099999999999998</v>
      </c>
      <c r="I82" s="16">
        <v>0.8</v>
      </c>
      <c r="J82" s="16">
        <v>0.80100000000000005</v>
      </c>
      <c r="K82" s="16">
        <v>0.95</v>
      </c>
      <c r="L82" s="16">
        <v>0.95099999999999996</v>
      </c>
      <c r="M82" s="16"/>
      <c r="O82" s="2"/>
      <c r="AE82" s="3" t="s">
        <v>54</v>
      </c>
      <c r="AF82" s="3">
        <v>8</v>
      </c>
      <c r="AG82" s="3">
        <f t="shared" si="2"/>
        <v>1</v>
      </c>
      <c r="AH82" s="3">
        <f>+IF(AG82=0,0,IF(AG82=1,(SUM($AG$75:AG82)-1),1))</f>
        <v>7</v>
      </c>
      <c r="AI82" s="3">
        <f t="shared" si="3"/>
        <v>1</v>
      </c>
      <c r="AJ82" s="3">
        <f t="shared" si="4"/>
        <v>0</v>
      </c>
      <c r="AK82" s="3">
        <f t="shared" si="5"/>
        <v>1</v>
      </c>
    </row>
    <row r="83" spans="2:37" x14ac:dyDescent="0.25">
      <c r="B83" s="2"/>
      <c r="D83" s="360" t="s">
        <v>55</v>
      </c>
      <c r="E83" s="360"/>
      <c r="F83" s="16" t="s">
        <v>500</v>
      </c>
      <c r="G83" s="16">
        <v>0.65</v>
      </c>
      <c r="H83" s="16">
        <v>0.65100000000000002</v>
      </c>
      <c r="I83" s="16">
        <v>0.83</v>
      </c>
      <c r="J83" s="16">
        <v>0.83099999999999996</v>
      </c>
      <c r="K83" s="16">
        <v>0.98</v>
      </c>
      <c r="L83" s="16">
        <v>0.98099999999999998</v>
      </c>
      <c r="M83" s="16"/>
      <c r="O83" s="2"/>
      <c r="AE83" s="3" t="s">
        <v>55</v>
      </c>
      <c r="AF83" s="3">
        <v>9</v>
      </c>
      <c r="AG83" s="3">
        <f t="shared" si="2"/>
        <v>1</v>
      </c>
      <c r="AH83" s="3">
        <f>+IF(AG83=0,0,IF(AG83=1,(SUM($AG$75:AG83)-1),1))</f>
        <v>8</v>
      </c>
      <c r="AI83" s="3">
        <f t="shared" si="3"/>
        <v>1</v>
      </c>
      <c r="AJ83" s="3">
        <f t="shared" si="4"/>
        <v>0</v>
      </c>
      <c r="AK83" s="3">
        <f t="shared" si="5"/>
        <v>1</v>
      </c>
    </row>
    <row r="84" spans="2:37" x14ac:dyDescent="0.25">
      <c r="B84" s="2"/>
      <c r="D84" s="360" t="s">
        <v>56</v>
      </c>
      <c r="E84" s="360"/>
      <c r="F84" s="16" t="s">
        <v>500</v>
      </c>
      <c r="G84" s="16">
        <v>0.65</v>
      </c>
      <c r="H84" s="16">
        <v>0.65100000000000002</v>
      </c>
      <c r="I84" s="16">
        <v>0.83</v>
      </c>
      <c r="J84" s="16">
        <v>0.83099999999999996</v>
      </c>
      <c r="K84" s="16">
        <v>0.98</v>
      </c>
      <c r="L84" s="16">
        <v>0.98099999999999998</v>
      </c>
      <c r="M84" s="16"/>
      <c r="O84" s="2"/>
      <c r="AE84" s="3" t="s">
        <v>56</v>
      </c>
      <c r="AF84" s="3">
        <v>10</v>
      </c>
      <c r="AG84" s="3">
        <f t="shared" si="2"/>
        <v>1</v>
      </c>
      <c r="AH84" s="3">
        <f>+IF(AG84=0,0,IF(AG84=1,(SUM($AG$75:AG84)-1),1))</f>
        <v>9</v>
      </c>
      <c r="AI84" s="3">
        <f t="shared" si="3"/>
        <v>1</v>
      </c>
      <c r="AJ84" s="3">
        <f t="shared" si="4"/>
        <v>0</v>
      </c>
      <c r="AK84" s="3">
        <f t="shared" si="5"/>
        <v>1</v>
      </c>
    </row>
    <row r="85" spans="2:37" x14ac:dyDescent="0.25">
      <c r="B85" s="2"/>
      <c r="D85" s="360" t="s">
        <v>57</v>
      </c>
      <c r="E85" s="360"/>
      <c r="F85" s="16" t="s">
        <v>500</v>
      </c>
      <c r="G85" s="16">
        <v>0.65</v>
      </c>
      <c r="H85" s="16">
        <v>0.65100000000000002</v>
      </c>
      <c r="I85" s="16">
        <v>0.83</v>
      </c>
      <c r="J85" s="16">
        <v>0.83099999999999996</v>
      </c>
      <c r="K85" s="16">
        <v>0.98</v>
      </c>
      <c r="L85" s="16">
        <v>0.98099999999999998</v>
      </c>
      <c r="M85" s="16"/>
      <c r="O85" s="2"/>
      <c r="AE85" s="3" t="s">
        <v>57</v>
      </c>
      <c r="AF85" s="3">
        <v>11</v>
      </c>
      <c r="AG85" s="3">
        <f t="shared" si="2"/>
        <v>1</v>
      </c>
      <c r="AH85" s="3">
        <f>+IF(AG85=0,0,IF(AG85=1,(SUM($AG$75:AG85)-1),1))</f>
        <v>10</v>
      </c>
      <c r="AI85" s="3">
        <f t="shared" si="3"/>
        <v>1</v>
      </c>
      <c r="AJ85" s="3">
        <f t="shared" si="4"/>
        <v>0</v>
      </c>
      <c r="AK85" s="3">
        <f t="shared" si="5"/>
        <v>1</v>
      </c>
    </row>
    <row r="86" spans="2:37" x14ac:dyDescent="0.25">
      <c r="B86" s="2"/>
      <c r="D86" s="360" t="s">
        <v>58</v>
      </c>
      <c r="E86" s="360"/>
      <c r="F86" s="16" t="s">
        <v>500</v>
      </c>
      <c r="G86" s="16">
        <v>0.7</v>
      </c>
      <c r="H86" s="16">
        <v>0.70099999999999996</v>
      </c>
      <c r="I86" s="16">
        <v>0.85</v>
      </c>
      <c r="J86" s="16">
        <v>0.85099999999999998</v>
      </c>
      <c r="K86" s="16">
        <v>0.999</v>
      </c>
      <c r="L86" s="16"/>
      <c r="M86" s="16">
        <v>1</v>
      </c>
      <c r="O86" s="2"/>
      <c r="AE86" s="3" t="s">
        <v>58</v>
      </c>
      <c r="AF86" s="65">
        <v>12</v>
      </c>
      <c r="AG86" s="3">
        <f t="shared" si="2"/>
        <v>1</v>
      </c>
      <c r="AH86" s="3">
        <f>+IF(AG86=0,0,IF(AG86=1,(SUM($AG$75:AG86)-1),1))</f>
        <v>11</v>
      </c>
      <c r="AI86" s="3">
        <f t="shared" si="3"/>
        <v>1</v>
      </c>
      <c r="AJ86" s="3">
        <f t="shared" si="4"/>
        <v>0</v>
      </c>
      <c r="AK86" s="3">
        <f t="shared" si="5"/>
        <v>1</v>
      </c>
    </row>
    <row r="87" spans="2:37" ht="3.75" customHeight="1" x14ac:dyDescent="0.25">
      <c r="B87" s="2"/>
      <c r="O87" s="2"/>
    </row>
    <row r="88" spans="2:37" ht="66" customHeight="1" x14ac:dyDescent="0.25">
      <c r="B88" s="2"/>
      <c r="D88" s="338" t="s">
        <v>59</v>
      </c>
      <c r="E88" s="339"/>
      <c r="F88" s="340" t="s">
        <v>2154</v>
      </c>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2" customHeight="1" x14ac:dyDescent="0.25">
      <c r="B97" s="2"/>
      <c r="D97" s="359" t="s">
        <v>35</v>
      </c>
      <c r="E97" s="359"/>
      <c r="F97" s="344" t="s">
        <v>1657</v>
      </c>
      <c r="G97" s="344"/>
      <c r="H97" s="344"/>
      <c r="I97" s="344"/>
      <c r="J97" s="344"/>
      <c r="K97" s="344"/>
      <c r="L97" s="344"/>
      <c r="M97" s="344"/>
      <c r="O97" s="2"/>
    </row>
    <row r="98" spans="2:15" ht="42" customHeight="1" x14ac:dyDescent="0.25">
      <c r="B98" s="2"/>
      <c r="D98" s="359" t="s">
        <v>36</v>
      </c>
      <c r="E98" s="359"/>
      <c r="F98" s="344" t="s">
        <v>1657</v>
      </c>
      <c r="G98" s="344"/>
      <c r="H98" s="344"/>
      <c r="I98" s="344"/>
      <c r="J98" s="344"/>
      <c r="K98" s="344"/>
      <c r="L98" s="344"/>
      <c r="M98" s="344"/>
      <c r="O98" s="2"/>
    </row>
    <row r="99" spans="2:15" ht="3.95" customHeight="1" x14ac:dyDescent="0.25">
      <c r="B99" s="2"/>
      <c r="O99" s="2"/>
    </row>
    <row r="100" spans="2:15" ht="123" customHeight="1" x14ac:dyDescent="0.25">
      <c r="B100" s="2"/>
      <c r="D100" s="338" t="s">
        <v>62</v>
      </c>
      <c r="E100" s="339"/>
      <c r="F100" s="365" t="s">
        <v>1922</v>
      </c>
      <c r="G100" s="428"/>
      <c r="H100" s="428"/>
      <c r="I100" s="428"/>
      <c r="J100" s="428"/>
      <c r="K100" s="428"/>
      <c r="L100" s="428"/>
      <c r="M100" s="429"/>
      <c r="O100" s="2"/>
    </row>
    <row r="101" spans="2:15" ht="3.95" customHeight="1" x14ac:dyDescent="0.25">
      <c r="B101" s="2"/>
      <c r="O101" s="2"/>
    </row>
    <row r="102" spans="2:15" ht="19.5" customHeight="1" x14ac:dyDescent="0.25">
      <c r="B102" s="2"/>
      <c r="D102" s="329" t="s">
        <v>64</v>
      </c>
      <c r="E102" s="330"/>
      <c r="F102" s="19" t="s">
        <v>65</v>
      </c>
      <c r="G102" s="4" t="s">
        <v>2</v>
      </c>
      <c r="K102" s="20"/>
      <c r="O102" s="2"/>
    </row>
    <row r="103" spans="2:15" ht="19.5" customHeight="1" x14ac:dyDescent="0.25">
      <c r="B103" s="2"/>
      <c r="D103" s="331"/>
      <c r="E103" s="332"/>
      <c r="F103" s="19" t="s">
        <v>66</v>
      </c>
      <c r="G103" s="4"/>
      <c r="K103" s="21"/>
      <c r="O103" s="2"/>
    </row>
    <row r="104" spans="2:15" ht="27.75" customHeight="1" x14ac:dyDescent="0.25">
      <c r="B104" s="2"/>
      <c r="D104" s="331"/>
      <c r="E104" s="332"/>
      <c r="F104" s="19" t="s">
        <v>67</v>
      </c>
      <c r="G104" s="333"/>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 xml:space="preserve">Director(a) anciera </v>
      </c>
      <c r="H108" s="334"/>
      <c r="I108" s="334"/>
      <c r="J108" s="334"/>
      <c r="K108" s="334"/>
      <c r="L108" s="334"/>
      <c r="M108" s="335"/>
      <c r="O108" s="2"/>
    </row>
    <row r="109" spans="2:15" ht="17.25" customHeight="1" x14ac:dyDescent="0.25">
      <c r="B109" s="2"/>
      <c r="D109" s="331"/>
      <c r="E109" s="332"/>
      <c r="F109" s="19" t="s">
        <v>2042</v>
      </c>
      <c r="G109" s="333" t="str">
        <f>+IF(M23="Si","Coordinador(a) Planeación y Sistemas","")</f>
        <v>Coordinador(a) Planeación y Sistemas</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818" priority="42">
      <formula>+IF($F$43="no",1,0)</formula>
    </cfRule>
  </conditionalFormatting>
  <conditionalFormatting sqref="F32:M33">
    <cfRule type="expression" dxfId="1817" priority="41">
      <formula>+IF($Q$30="NA",1,0)</formula>
    </cfRule>
  </conditionalFormatting>
  <conditionalFormatting sqref="F33:M33">
    <cfRule type="expression" dxfId="1816" priority="40">
      <formula>+IF($Q$33=0,1,0)</formula>
    </cfRule>
  </conditionalFormatting>
  <conditionalFormatting sqref="F47:M47">
    <cfRule type="expression" dxfId="1815" priority="39">
      <formula>+IF($Q$47=0,1,0)</formula>
    </cfRule>
  </conditionalFormatting>
  <conditionalFormatting sqref="F73:G73">
    <cfRule type="cellIs" dxfId="1814" priority="25" operator="equal">
      <formula>"optimo"</formula>
    </cfRule>
    <cfRule type="cellIs" dxfId="1813" priority="26" operator="equal">
      <formula>"critico"</formula>
    </cfRule>
  </conditionalFormatting>
  <conditionalFormatting sqref="H73:I73">
    <cfRule type="cellIs" dxfId="1812" priority="23" operator="equal">
      <formula>"Adecuado"</formula>
    </cfRule>
    <cfRule type="cellIs" dxfId="1811" priority="24" operator="equal">
      <formula>"en riesgo"</formula>
    </cfRule>
  </conditionalFormatting>
  <conditionalFormatting sqref="J73:K73">
    <cfRule type="cellIs" dxfId="1810" priority="21" operator="equal">
      <formula>"Adecuado"</formula>
    </cfRule>
    <cfRule type="cellIs" dxfId="1809" priority="22" operator="equal">
      <formula>"en riesgo"</formula>
    </cfRule>
  </conditionalFormatting>
  <conditionalFormatting sqref="L73:M73">
    <cfRule type="cellIs" dxfId="1808" priority="19" operator="equal">
      <formula>"optimo"</formula>
    </cfRule>
    <cfRule type="cellIs" dxfId="1807" priority="20" operator="equal">
      <formula>"critico"</formula>
    </cfRule>
  </conditionalFormatting>
  <conditionalFormatting sqref="L75:M80 F75:G80 I75:I80 I83 F83:G83 F81:F82 L83:M83 M81:M82 L86:M86 M84:M85 F86:G86 F84:F85 I86">
    <cfRule type="expression" dxfId="1806" priority="18">
      <formula>+IF($AK75=0,1)</formula>
    </cfRule>
  </conditionalFormatting>
  <conditionalFormatting sqref="F103:G104">
    <cfRule type="expression" dxfId="1805" priority="17">
      <formula>+IF($G$102="No",1,0)</formula>
    </cfRule>
  </conditionalFormatting>
  <conditionalFormatting sqref="F51">
    <cfRule type="expression" dxfId="1804" priority="16">
      <formula>+IF($F$43="no",1,0)</formula>
    </cfRule>
  </conditionalFormatting>
  <conditionalFormatting sqref="I51">
    <cfRule type="expression" dxfId="1803" priority="15">
      <formula>+IF($F$51="no",1,0)</formula>
    </cfRule>
  </conditionalFormatting>
  <conditionalFormatting sqref="K75:K80 K83 K86">
    <cfRule type="expression" dxfId="1802" priority="14">
      <formula>+IF($AK75=0,1)</formula>
    </cfRule>
  </conditionalFormatting>
  <conditionalFormatting sqref="J75:J80 J83 J86">
    <cfRule type="expression" dxfId="1801" priority="13">
      <formula>+IF($AK75=0,1)</formula>
    </cfRule>
  </conditionalFormatting>
  <conditionalFormatting sqref="H75:H80 H83 H86">
    <cfRule type="expression" dxfId="1800" priority="12">
      <formula>+IF($AK75=0,1)</formula>
    </cfRule>
  </conditionalFormatting>
  <conditionalFormatting sqref="L81:L82 G81:G82 I81:I82">
    <cfRule type="expression" dxfId="1799" priority="8">
      <formula>+IF($AK81=0,1)</formula>
    </cfRule>
  </conditionalFormatting>
  <conditionalFormatting sqref="K81:K82">
    <cfRule type="expression" dxfId="1798" priority="7">
      <formula>+IF($AK81=0,1)</formula>
    </cfRule>
  </conditionalFormatting>
  <conditionalFormatting sqref="J81:J82">
    <cfRule type="expression" dxfId="1797" priority="6">
      <formula>+IF($AK81=0,1)</formula>
    </cfRule>
  </conditionalFormatting>
  <conditionalFormatting sqref="H81:H82">
    <cfRule type="expression" dxfId="1796" priority="5">
      <formula>+IF($AK81=0,1)</formula>
    </cfRule>
  </conditionalFormatting>
  <conditionalFormatting sqref="I84:I85 G84:G85 L84:L85">
    <cfRule type="expression" dxfId="1795" priority="4">
      <formula>+IF($AK84=0,1)</formula>
    </cfRule>
  </conditionalFormatting>
  <conditionalFormatting sqref="K84:K85">
    <cfRule type="expression" dxfId="1794" priority="3">
      <formula>+IF($AK84=0,1)</formula>
    </cfRule>
  </conditionalFormatting>
  <conditionalFormatting sqref="J84:J85">
    <cfRule type="expression" dxfId="1793" priority="2">
      <formula>+IF($AK84=0,1)</formula>
    </cfRule>
  </conditionalFormatting>
  <conditionalFormatting sqref="H84:H85">
    <cfRule type="expression" dxfId="1792" priority="1">
      <formula>+IF($AK84=0,1)</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7">
    <tabColor rgb="FF0070C0"/>
  </sheetPr>
  <dimension ref="B1:AV113"/>
  <sheetViews>
    <sheetView zoomScaleNormal="100" workbookViewId="0">
      <selection activeCell="P1" sqref="P1"/>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339</v>
      </c>
      <c r="O10" s="2"/>
    </row>
    <row r="11" spans="2:24" ht="3.95" customHeight="1" x14ac:dyDescent="0.25">
      <c r="B11" s="2"/>
      <c r="D11" s="6"/>
      <c r="O11" s="2"/>
    </row>
    <row r="12" spans="2:24" ht="36" customHeight="1" x14ac:dyDescent="0.25">
      <c r="B12" s="2"/>
      <c r="D12" s="338" t="s">
        <v>5</v>
      </c>
      <c r="E12" s="339"/>
      <c r="F12" s="340" t="s">
        <v>341</v>
      </c>
      <c r="G12" s="341"/>
      <c r="H12" s="341"/>
      <c r="I12" s="341"/>
      <c r="J12" s="341"/>
      <c r="K12" s="341"/>
      <c r="L12" s="341"/>
      <c r="M12" s="342"/>
      <c r="O12" s="2"/>
      <c r="W12" s="3" t="str">
        <f>+F23</f>
        <v>Mensual</v>
      </c>
      <c r="X12" s="3" t="str">
        <f>+F71</f>
        <v>Enero</v>
      </c>
    </row>
    <row r="13" spans="2:24" ht="3.95" customHeight="1" x14ac:dyDescent="0.25">
      <c r="B13" s="2"/>
      <c r="O13" s="2"/>
    </row>
    <row r="14" spans="2:24" ht="38.25" customHeight="1" x14ac:dyDescent="0.25">
      <c r="B14" s="2"/>
      <c r="D14" s="338" t="s">
        <v>6</v>
      </c>
      <c r="E14" s="339"/>
      <c r="F14" s="340" t="s">
        <v>1648</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17" t="s">
        <v>512</v>
      </c>
      <c r="G22" s="337" t="s">
        <v>9</v>
      </c>
      <c r="H22" s="337"/>
      <c r="I22" s="17">
        <v>1</v>
      </c>
      <c r="K22" s="337" t="s">
        <v>10</v>
      </c>
      <c r="L22" s="337"/>
      <c r="M22" s="9" t="s">
        <v>496</v>
      </c>
      <c r="O22" s="2"/>
    </row>
    <row r="23" spans="2:17" ht="19.5" customHeight="1" x14ac:dyDescent="0.25">
      <c r="B23" s="2"/>
      <c r="D23" s="337" t="s">
        <v>11</v>
      </c>
      <c r="E23" s="337"/>
      <c r="F23" s="4" t="s">
        <v>84</v>
      </c>
      <c r="G23" s="337" t="s">
        <v>12</v>
      </c>
      <c r="H23" s="337"/>
      <c r="I23" s="4" t="s">
        <v>497</v>
      </c>
      <c r="K23" s="337" t="s">
        <v>13</v>
      </c>
      <c r="L23" s="337"/>
      <c r="M23" s="9" t="s">
        <v>496</v>
      </c>
      <c r="O23" s="2"/>
    </row>
    <row r="24" spans="2:17" ht="20.100000000000001" customHeight="1" x14ac:dyDescent="0.25">
      <c r="B24" s="2"/>
      <c r="D24" s="337" t="s">
        <v>14</v>
      </c>
      <c r="E24" s="337"/>
      <c r="F24" s="4" t="s">
        <v>498</v>
      </c>
      <c r="G24" s="337" t="s">
        <v>15</v>
      </c>
      <c r="H24" s="337"/>
      <c r="I24" s="4" t="s">
        <v>533</v>
      </c>
      <c r="K24" s="337" t="s">
        <v>16</v>
      </c>
      <c r="L24" s="337"/>
      <c r="M24" s="9" t="s">
        <v>2</v>
      </c>
      <c r="O24" s="2"/>
    </row>
    <row r="25" spans="2:17" ht="20.100000000000001" customHeight="1" x14ac:dyDescent="0.25">
      <c r="B25" s="2"/>
      <c r="D25" s="337" t="s">
        <v>17</v>
      </c>
      <c r="E25" s="337"/>
      <c r="F25" s="4" t="s">
        <v>683</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soporte</v>
      </c>
    </row>
    <row r="31" spans="2:17" ht="24" customHeight="1" x14ac:dyDescent="0.25">
      <c r="B31" s="2"/>
      <c r="D31" s="347"/>
      <c r="E31" s="348"/>
      <c r="F31" s="4" t="s">
        <v>257</v>
      </c>
      <c r="G31" s="340" t="s">
        <v>258</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1600</v>
      </c>
      <c r="G33" s="340" t="s">
        <v>991</v>
      </c>
      <c r="H33" s="341"/>
      <c r="I33" s="341"/>
      <c r="J33" s="341"/>
      <c r="K33" s="341"/>
      <c r="L33" s="341"/>
      <c r="M33" s="342"/>
      <c r="O33" s="2"/>
      <c r="Q33" s="3">
        <f>+IFERROR(IF(VLOOKUP(G33,base!$A$26:$C$40,3,FALSE)=F31,1,0),"")</f>
        <v>1</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1716</v>
      </c>
      <c r="G35" s="340" t="s">
        <v>1592</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2</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500</v>
      </c>
      <c r="G45" s="340" t="s">
        <v>512</v>
      </c>
      <c r="H45" s="341"/>
      <c r="I45" s="341"/>
      <c r="J45" s="341"/>
      <c r="K45" s="341"/>
      <c r="L45" s="341"/>
      <c r="M45" s="342"/>
      <c r="O45" s="2"/>
      <c r="Q45" s="3" t="str">
        <f>+IFERROR(VLOOKUP(G45,base!$A$41:$C$45,3,FALSE),"")</f>
        <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500</v>
      </c>
      <c r="G47" s="340"/>
      <c r="H47" s="341"/>
      <c r="I47" s="341"/>
      <c r="J47" s="341"/>
      <c r="K47" s="341"/>
      <c r="L47" s="341"/>
      <c r="M47" s="342"/>
      <c r="O47" s="2"/>
      <c r="Q47" s="3" t="e">
        <f>+IF(VLOOKUP(G47,base!$A$46:$C$66,3,FALSE)=F45,1,0)</f>
        <v>#N/A</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920</v>
      </c>
      <c r="G49" s="340" t="s">
        <v>899</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17"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 customHeight="1" x14ac:dyDescent="0.25">
      <c r="B59" s="2"/>
      <c r="D59" s="337" t="s">
        <v>34</v>
      </c>
      <c r="E59" s="337"/>
      <c r="F59" s="344" t="s">
        <v>1649</v>
      </c>
      <c r="G59" s="344"/>
      <c r="H59" s="344"/>
      <c r="I59" s="344"/>
      <c r="J59" s="344"/>
      <c r="K59" s="344"/>
      <c r="L59" s="344"/>
      <c r="M59" s="344"/>
      <c r="O59" s="2"/>
    </row>
    <row r="60" spans="2:15" ht="27.75" customHeight="1" x14ac:dyDescent="0.25">
      <c r="B60" s="2"/>
      <c r="D60" s="359" t="s">
        <v>35</v>
      </c>
      <c r="E60" s="359"/>
      <c r="F60" s="344" t="s">
        <v>1650</v>
      </c>
      <c r="G60" s="344"/>
      <c r="H60" s="344"/>
      <c r="I60" s="344"/>
      <c r="J60" s="344"/>
      <c r="K60" s="344"/>
      <c r="L60" s="344"/>
      <c r="M60" s="344"/>
      <c r="O60" s="2"/>
    </row>
    <row r="61" spans="2:15" ht="27.75" customHeight="1" x14ac:dyDescent="0.25">
      <c r="B61" s="2"/>
      <c r="D61" s="359" t="s">
        <v>36</v>
      </c>
      <c r="E61" s="359"/>
      <c r="F61" s="344" t="s">
        <v>1651</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43" t="s">
        <v>39</v>
      </c>
      <c r="E71" s="343"/>
      <c r="F71" s="4" t="s">
        <v>46</v>
      </c>
      <c r="G71" s="3" t="s">
        <v>500</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f>+L75-0.001</f>
        <v>0.746</v>
      </c>
      <c r="H75" s="16" t="s">
        <v>500</v>
      </c>
      <c r="I75" s="16" t="s">
        <v>500</v>
      </c>
      <c r="J75" s="16" t="s">
        <v>500</v>
      </c>
      <c r="K75" s="16" t="s">
        <v>500</v>
      </c>
      <c r="L75" s="16">
        <v>0.747</v>
      </c>
      <c r="M75" s="16" t="s">
        <v>500</v>
      </c>
      <c r="O75" s="2"/>
      <c r="AE75" s="3" t="s">
        <v>46</v>
      </c>
      <c r="AF75" s="3">
        <v>1</v>
      </c>
      <c r="AG75" s="3">
        <f>+IF(AE75&gt;=$G$71,1,0)</f>
        <v>1</v>
      </c>
      <c r="AH75" s="3">
        <f>+IF(AG75=0,0,IF(AG75=1,(SUM($AG$75:AG75)-1),1))</f>
        <v>0</v>
      </c>
      <c r="AI75" s="3">
        <f>+IF(AH75=0,0,IF(MOD(AH75,$U$69)=0,1,0))</f>
        <v>0</v>
      </c>
      <c r="AJ75" s="3">
        <f>+IF(AE75=$F$71,1,0)</f>
        <v>1</v>
      </c>
      <c r="AK75" s="3">
        <f>+MAX(AI75:AJ75)</f>
        <v>1</v>
      </c>
    </row>
    <row r="76" spans="2:37" x14ac:dyDescent="0.25">
      <c r="B76" s="2"/>
      <c r="D76" s="360" t="s">
        <v>40</v>
      </c>
      <c r="E76" s="360"/>
      <c r="F76" s="16" t="s">
        <v>500</v>
      </c>
      <c r="G76" s="16">
        <f t="shared" ref="G76:G79" si="0">+L76-0.001</f>
        <v>0.82499999999999996</v>
      </c>
      <c r="H76" s="16" t="s">
        <v>500</v>
      </c>
      <c r="I76" s="16" t="s">
        <v>500</v>
      </c>
      <c r="J76" s="16" t="s">
        <v>500</v>
      </c>
      <c r="K76" s="16" t="s">
        <v>500</v>
      </c>
      <c r="L76" s="16">
        <v>0.82599999999999996</v>
      </c>
      <c r="M76" s="16" t="s">
        <v>500</v>
      </c>
      <c r="O76" s="2"/>
      <c r="AE76" s="3" t="s">
        <v>40</v>
      </c>
      <c r="AF76" s="3">
        <v>2</v>
      </c>
      <c r="AG76" s="3">
        <f t="shared" ref="AG76:AG86" si="1">+IF(AE76&gt;=$G$71,1,0)</f>
        <v>1</v>
      </c>
      <c r="AH76" s="3">
        <f>+IF(AG76=0,0,IF(AG76=1,(SUM($AG$75:AG76)-1),1))</f>
        <v>1</v>
      </c>
      <c r="AI76" s="3">
        <f t="shared" ref="AI76:AI86" si="2">+IF(AH76=0,0,IF(MOD(AH76,$U$69)=0,1,0))</f>
        <v>1</v>
      </c>
      <c r="AJ76" s="3">
        <f t="shared" ref="AJ76:AJ86" si="3">+IF(AE76=$F$71,1,0)</f>
        <v>0</v>
      </c>
      <c r="AK76" s="3">
        <f t="shared" ref="AK76:AK86" si="4">+MAX(AI76:AJ76)</f>
        <v>1</v>
      </c>
    </row>
    <row r="77" spans="2:37" x14ac:dyDescent="0.25">
      <c r="B77" s="2"/>
      <c r="D77" s="360" t="s">
        <v>47</v>
      </c>
      <c r="E77" s="360"/>
      <c r="F77" s="16" t="s">
        <v>500</v>
      </c>
      <c r="G77" s="16">
        <f t="shared" si="0"/>
        <v>0.83220000000000005</v>
      </c>
      <c r="H77" s="16" t="s">
        <v>500</v>
      </c>
      <c r="I77" s="16" t="s">
        <v>500</v>
      </c>
      <c r="J77" s="16" t="s">
        <v>500</v>
      </c>
      <c r="K77" s="16" t="s">
        <v>500</v>
      </c>
      <c r="L77" s="16">
        <v>0.83320000000000005</v>
      </c>
      <c r="M77" s="16" t="s">
        <v>500</v>
      </c>
      <c r="O77" s="2"/>
      <c r="AE77" s="3" t="s">
        <v>47</v>
      </c>
      <c r="AF77" s="3">
        <v>3</v>
      </c>
      <c r="AG77" s="3">
        <f t="shared" si="1"/>
        <v>1</v>
      </c>
      <c r="AH77" s="3">
        <f>+IF(AG77=0,0,IF(AG77=1,(SUM($AG$75:AG77)-1),1))</f>
        <v>2</v>
      </c>
      <c r="AI77" s="3">
        <f t="shared" si="2"/>
        <v>1</v>
      </c>
      <c r="AJ77" s="3">
        <f t="shared" si="3"/>
        <v>0</v>
      </c>
      <c r="AK77" s="3">
        <f t="shared" si="4"/>
        <v>1</v>
      </c>
    </row>
    <row r="78" spans="2:37" x14ac:dyDescent="0.25">
      <c r="B78" s="2"/>
      <c r="D78" s="360" t="s">
        <v>48</v>
      </c>
      <c r="E78" s="360"/>
      <c r="F78" s="16" t="s">
        <v>500</v>
      </c>
      <c r="G78" s="16">
        <f t="shared" si="0"/>
        <v>0.85070000000000001</v>
      </c>
      <c r="H78" s="16" t="s">
        <v>500</v>
      </c>
      <c r="I78" s="16" t="s">
        <v>500</v>
      </c>
      <c r="J78" s="16" t="s">
        <v>500</v>
      </c>
      <c r="K78" s="16" t="s">
        <v>500</v>
      </c>
      <c r="L78" s="16">
        <v>0.85170000000000001</v>
      </c>
      <c r="M78" s="16" t="s">
        <v>500</v>
      </c>
      <c r="O78" s="2"/>
      <c r="AE78" s="3" t="s">
        <v>48</v>
      </c>
      <c r="AF78" s="3">
        <v>4</v>
      </c>
      <c r="AG78" s="3">
        <f t="shared" si="1"/>
        <v>1</v>
      </c>
      <c r="AH78" s="3">
        <f>+IF(AG78=0,0,IF(AG78=1,(SUM($AG$75:AG78)-1),1))</f>
        <v>3</v>
      </c>
      <c r="AI78" s="3">
        <f t="shared" si="2"/>
        <v>1</v>
      </c>
      <c r="AJ78" s="3">
        <f t="shared" si="3"/>
        <v>0</v>
      </c>
      <c r="AK78" s="3">
        <f t="shared" si="4"/>
        <v>1</v>
      </c>
    </row>
    <row r="79" spans="2:37" x14ac:dyDescent="0.25">
      <c r="B79" s="2"/>
      <c r="D79" s="360" t="s">
        <v>49</v>
      </c>
      <c r="E79" s="360"/>
      <c r="F79" s="16" t="s">
        <v>500</v>
      </c>
      <c r="G79" s="16">
        <f t="shared" si="0"/>
        <v>0.86919999999999997</v>
      </c>
      <c r="H79" s="16" t="s">
        <v>500</v>
      </c>
      <c r="I79" s="16" t="s">
        <v>500</v>
      </c>
      <c r="J79" s="16" t="s">
        <v>500</v>
      </c>
      <c r="K79" s="16" t="s">
        <v>500</v>
      </c>
      <c r="L79" s="16">
        <v>0.87019999999999997</v>
      </c>
      <c r="M79" s="16" t="s">
        <v>500</v>
      </c>
      <c r="O79" s="2"/>
      <c r="AE79" s="3" t="s">
        <v>49</v>
      </c>
      <c r="AF79" s="3">
        <v>5</v>
      </c>
      <c r="AG79" s="3">
        <f t="shared" si="1"/>
        <v>1</v>
      </c>
      <c r="AH79" s="3">
        <f>+IF(AG79=0,0,IF(AG79=1,(SUM($AG$75:AG79)-1),1))</f>
        <v>4</v>
      </c>
      <c r="AI79" s="3">
        <f t="shared" si="2"/>
        <v>1</v>
      </c>
      <c r="AJ79" s="3">
        <f t="shared" si="3"/>
        <v>0</v>
      </c>
      <c r="AK79" s="3">
        <f t="shared" si="4"/>
        <v>1</v>
      </c>
    </row>
    <row r="80" spans="2:37" x14ac:dyDescent="0.25">
      <c r="B80" s="2"/>
      <c r="D80" s="360" t="s">
        <v>50</v>
      </c>
      <c r="E80" s="360"/>
      <c r="F80" s="16" t="s">
        <v>500</v>
      </c>
      <c r="G80" s="16">
        <v>0.879</v>
      </c>
      <c r="H80" s="16" t="s">
        <v>500</v>
      </c>
      <c r="I80" s="16" t="s">
        <v>500</v>
      </c>
      <c r="J80" s="16" t="s">
        <v>500</v>
      </c>
      <c r="K80" s="16" t="s">
        <v>500</v>
      </c>
      <c r="L80" s="16">
        <v>0.88</v>
      </c>
      <c r="M80" s="16" t="s">
        <v>500</v>
      </c>
      <c r="O80" s="2"/>
      <c r="AE80" s="3" t="s">
        <v>50</v>
      </c>
      <c r="AF80" s="3">
        <v>6</v>
      </c>
      <c r="AG80" s="3">
        <f t="shared" si="1"/>
        <v>1</v>
      </c>
      <c r="AH80" s="3">
        <f>+IF(AG80=0,0,IF(AG80=1,(SUM($AG$75:AG80)-1),1))</f>
        <v>5</v>
      </c>
      <c r="AI80" s="3">
        <f t="shared" si="2"/>
        <v>1</v>
      </c>
      <c r="AJ80" s="3">
        <f t="shared" si="3"/>
        <v>0</v>
      </c>
      <c r="AK80" s="3">
        <f t="shared" si="4"/>
        <v>1</v>
      </c>
    </row>
    <row r="81" spans="2:37" x14ac:dyDescent="0.25">
      <c r="B81" s="2"/>
      <c r="D81" s="360" t="s">
        <v>53</v>
      </c>
      <c r="E81" s="360"/>
      <c r="F81" s="16" t="s">
        <v>500</v>
      </c>
      <c r="G81" s="16">
        <v>0.90900000000000003</v>
      </c>
      <c r="H81" s="16" t="s">
        <v>500</v>
      </c>
      <c r="I81" s="16" t="s">
        <v>500</v>
      </c>
      <c r="J81" s="16" t="s">
        <v>500</v>
      </c>
      <c r="K81" s="16" t="s">
        <v>500</v>
      </c>
      <c r="L81" s="16">
        <v>0.91</v>
      </c>
      <c r="M81" s="16" t="s">
        <v>500</v>
      </c>
      <c r="O81" s="2"/>
      <c r="AE81" s="3" t="s">
        <v>53</v>
      </c>
      <c r="AF81" s="3">
        <v>7</v>
      </c>
      <c r="AG81" s="3">
        <f t="shared" si="1"/>
        <v>1</v>
      </c>
      <c r="AH81" s="3">
        <f>+IF(AG81=0,0,IF(AG81=1,(SUM($AG$75:AG81)-1),1))</f>
        <v>6</v>
      </c>
      <c r="AI81" s="3">
        <f t="shared" si="2"/>
        <v>1</v>
      </c>
      <c r="AJ81" s="3">
        <f t="shared" si="3"/>
        <v>0</v>
      </c>
      <c r="AK81" s="3">
        <f t="shared" si="4"/>
        <v>1</v>
      </c>
    </row>
    <row r="82" spans="2:37" x14ac:dyDescent="0.25">
      <c r="B82" s="2"/>
      <c r="D82" s="360" t="s">
        <v>54</v>
      </c>
      <c r="E82" s="360"/>
      <c r="F82" s="16" t="s">
        <v>500</v>
      </c>
      <c r="G82" s="16">
        <v>0.91900000000000004</v>
      </c>
      <c r="H82" s="16" t="s">
        <v>500</v>
      </c>
      <c r="I82" s="16" t="s">
        <v>500</v>
      </c>
      <c r="J82" s="16" t="s">
        <v>500</v>
      </c>
      <c r="K82" s="16" t="s">
        <v>500</v>
      </c>
      <c r="L82" s="16">
        <v>0.92</v>
      </c>
      <c r="M82" s="16" t="s">
        <v>500</v>
      </c>
      <c r="O82" s="2"/>
      <c r="AE82" s="3" t="s">
        <v>54</v>
      </c>
      <c r="AF82" s="3">
        <v>8</v>
      </c>
      <c r="AG82" s="3">
        <f t="shared" si="1"/>
        <v>1</v>
      </c>
      <c r="AH82" s="3">
        <f>+IF(AG82=0,0,IF(AG82=1,(SUM($AG$75:AG82)-1),1))</f>
        <v>7</v>
      </c>
      <c r="AI82" s="3">
        <f t="shared" si="2"/>
        <v>1</v>
      </c>
      <c r="AJ82" s="3">
        <f t="shared" si="3"/>
        <v>0</v>
      </c>
      <c r="AK82" s="3">
        <f t="shared" si="4"/>
        <v>1</v>
      </c>
    </row>
    <row r="83" spans="2:37" x14ac:dyDescent="0.25">
      <c r="B83" s="2"/>
      <c r="D83" s="360" t="s">
        <v>55</v>
      </c>
      <c r="E83" s="360"/>
      <c r="F83" s="16" t="s">
        <v>500</v>
      </c>
      <c r="G83" s="16">
        <v>0.93899999999999995</v>
      </c>
      <c r="H83" s="16" t="s">
        <v>500</v>
      </c>
      <c r="I83" s="16" t="s">
        <v>500</v>
      </c>
      <c r="J83" s="16" t="s">
        <v>500</v>
      </c>
      <c r="K83" s="16" t="s">
        <v>500</v>
      </c>
      <c r="L83" s="16">
        <v>0.94</v>
      </c>
      <c r="M83" s="16" t="s">
        <v>500</v>
      </c>
      <c r="O83" s="2"/>
      <c r="AE83" s="3" t="s">
        <v>55</v>
      </c>
      <c r="AF83" s="3">
        <v>9</v>
      </c>
      <c r="AG83" s="3">
        <f t="shared" si="1"/>
        <v>1</v>
      </c>
      <c r="AH83" s="3">
        <f>+IF(AG83=0,0,IF(AG83=1,(SUM($AG$75:AG83)-1),1))</f>
        <v>8</v>
      </c>
      <c r="AI83" s="3">
        <f t="shared" si="2"/>
        <v>1</v>
      </c>
      <c r="AJ83" s="3">
        <f t="shared" si="3"/>
        <v>0</v>
      </c>
      <c r="AK83" s="3">
        <f t="shared" si="4"/>
        <v>1</v>
      </c>
    </row>
    <row r="84" spans="2:37" x14ac:dyDescent="0.25">
      <c r="B84" s="2"/>
      <c r="D84" s="360" t="s">
        <v>56</v>
      </c>
      <c r="E84" s="360"/>
      <c r="F84" s="16" t="s">
        <v>500</v>
      </c>
      <c r="G84" s="16">
        <v>0.96899999999999997</v>
      </c>
      <c r="H84" s="16" t="s">
        <v>500</v>
      </c>
      <c r="I84" s="16" t="s">
        <v>500</v>
      </c>
      <c r="J84" s="16" t="s">
        <v>500</v>
      </c>
      <c r="K84" s="16" t="s">
        <v>500</v>
      </c>
      <c r="L84" s="16">
        <v>0.97</v>
      </c>
      <c r="M84" s="16" t="s">
        <v>500</v>
      </c>
      <c r="O84" s="2"/>
      <c r="AE84" s="3" t="s">
        <v>56</v>
      </c>
      <c r="AF84" s="3">
        <v>10</v>
      </c>
      <c r="AG84" s="3">
        <f t="shared" si="1"/>
        <v>1</v>
      </c>
      <c r="AH84" s="3">
        <f>+IF(AG84=0,0,IF(AG84=1,(SUM($AG$75:AG84)-1),1))</f>
        <v>9</v>
      </c>
      <c r="AI84" s="3">
        <f t="shared" si="2"/>
        <v>1</v>
      </c>
      <c r="AJ84" s="3">
        <f t="shared" si="3"/>
        <v>0</v>
      </c>
      <c r="AK84" s="3">
        <f t="shared" si="4"/>
        <v>1</v>
      </c>
    </row>
    <row r="85" spans="2:37" x14ac:dyDescent="0.25">
      <c r="B85" s="2"/>
      <c r="D85" s="360" t="s">
        <v>57</v>
      </c>
      <c r="E85" s="360"/>
      <c r="F85" s="16" t="s">
        <v>500</v>
      </c>
      <c r="G85" s="16">
        <v>0.97899999999999998</v>
      </c>
      <c r="H85" s="16" t="s">
        <v>500</v>
      </c>
      <c r="I85" s="16" t="s">
        <v>500</v>
      </c>
      <c r="J85" s="16" t="s">
        <v>500</v>
      </c>
      <c r="K85" s="16" t="s">
        <v>500</v>
      </c>
      <c r="L85" s="16">
        <v>0.98</v>
      </c>
      <c r="M85" s="16" t="s">
        <v>500</v>
      </c>
      <c r="O85" s="2"/>
      <c r="AE85" s="3" t="s">
        <v>57</v>
      </c>
      <c r="AF85" s="3">
        <v>11</v>
      </c>
      <c r="AG85" s="3">
        <f t="shared" si="1"/>
        <v>1</v>
      </c>
      <c r="AH85" s="3">
        <f>+IF(AG85=0,0,IF(AG85=1,(SUM($AG$75:AG85)-1),1))</f>
        <v>10</v>
      </c>
      <c r="AI85" s="3">
        <f t="shared" si="2"/>
        <v>1</v>
      </c>
      <c r="AJ85" s="3">
        <f t="shared" si="3"/>
        <v>0</v>
      </c>
      <c r="AK85" s="3">
        <f t="shared" si="4"/>
        <v>1</v>
      </c>
    </row>
    <row r="86" spans="2:37" x14ac:dyDescent="0.25">
      <c r="B86" s="2"/>
      <c r="D86" s="360" t="s">
        <v>58</v>
      </c>
      <c r="E86" s="360"/>
      <c r="F86" s="16" t="s">
        <v>500</v>
      </c>
      <c r="G86" s="16">
        <v>0.999</v>
      </c>
      <c r="H86" s="16" t="s">
        <v>500</v>
      </c>
      <c r="I86" s="16" t="s">
        <v>500</v>
      </c>
      <c r="J86" s="16" t="s">
        <v>500</v>
      </c>
      <c r="K86" s="16" t="s">
        <v>500</v>
      </c>
      <c r="L86" s="16"/>
      <c r="M86" s="16">
        <v>1</v>
      </c>
      <c r="O86" s="2"/>
      <c r="AE86" s="3" t="s">
        <v>58</v>
      </c>
      <c r="AF86" s="65">
        <v>12</v>
      </c>
      <c r="AG86" s="3">
        <f t="shared" si="1"/>
        <v>1</v>
      </c>
      <c r="AH86" s="3">
        <f>+IF(AG86=0,0,IF(AG86=1,(SUM($AG$75:AG86)-1),1))</f>
        <v>11</v>
      </c>
      <c r="AI86" s="3">
        <f t="shared" si="2"/>
        <v>1</v>
      </c>
      <c r="AJ86" s="3">
        <f t="shared" si="3"/>
        <v>0</v>
      </c>
      <c r="AK86" s="3">
        <f t="shared" si="4"/>
        <v>1</v>
      </c>
    </row>
    <row r="87" spans="2:37" ht="3.75" customHeight="1" x14ac:dyDescent="0.25">
      <c r="B87" s="2"/>
      <c r="O87" s="2"/>
    </row>
    <row r="88" spans="2:37" ht="66" customHeight="1" x14ac:dyDescent="0.25">
      <c r="B88" s="2"/>
      <c r="D88" s="338" t="s">
        <v>59</v>
      </c>
      <c r="E88" s="339"/>
      <c r="F88" s="340" t="s">
        <v>2151</v>
      </c>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2" customHeight="1" x14ac:dyDescent="0.25">
      <c r="B97" s="2"/>
      <c r="D97" s="359" t="s">
        <v>35</v>
      </c>
      <c r="E97" s="359"/>
      <c r="F97" s="344" t="s">
        <v>1652</v>
      </c>
      <c r="G97" s="344"/>
      <c r="H97" s="344"/>
      <c r="I97" s="344"/>
      <c r="J97" s="344"/>
      <c r="K97" s="344"/>
      <c r="L97" s="344"/>
      <c r="M97" s="344"/>
      <c r="O97" s="2"/>
    </row>
    <row r="98" spans="2:15" ht="42" customHeight="1" x14ac:dyDescent="0.25">
      <c r="B98" s="2"/>
      <c r="D98" s="359" t="s">
        <v>36</v>
      </c>
      <c r="E98" s="359"/>
      <c r="F98" s="344" t="s">
        <v>1652</v>
      </c>
      <c r="G98" s="344"/>
      <c r="H98" s="344"/>
      <c r="I98" s="344"/>
      <c r="J98" s="344"/>
      <c r="K98" s="344"/>
      <c r="L98" s="344"/>
      <c r="M98" s="344"/>
      <c r="O98" s="2"/>
    </row>
    <row r="99" spans="2:15" ht="3.95" customHeight="1" x14ac:dyDescent="0.25">
      <c r="B99" s="2"/>
      <c r="O99" s="2"/>
    </row>
    <row r="100" spans="2:15" ht="204" customHeight="1" x14ac:dyDescent="0.25">
      <c r="B100" s="2"/>
      <c r="D100" s="338" t="s">
        <v>62</v>
      </c>
      <c r="E100" s="339"/>
      <c r="F100" s="420" t="s">
        <v>1923</v>
      </c>
      <c r="G100" s="421"/>
      <c r="H100" s="421"/>
      <c r="I100" s="421"/>
      <c r="J100" s="421"/>
      <c r="K100" s="421"/>
      <c r="L100" s="421"/>
      <c r="M100" s="422"/>
      <c r="O100" s="2"/>
    </row>
    <row r="101" spans="2:15" ht="3.95" customHeight="1" x14ac:dyDescent="0.25">
      <c r="B101" s="2"/>
      <c r="O101" s="2"/>
    </row>
    <row r="102" spans="2:15" ht="19.5" customHeight="1" x14ac:dyDescent="0.25">
      <c r="B102" s="2"/>
      <c r="D102" s="329" t="s">
        <v>64</v>
      </c>
      <c r="E102" s="330"/>
      <c r="F102" s="19" t="s">
        <v>65</v>
      </c>
      <c r="G102" s="4" t="s">
        <v>496</v>
      </c>
      <c r="K102" s="20"/>
      <c r="O102" s="2"/>
    </row>
    <row r="103" spans="2:15" ht="19.5" customHeight="1" x14ac:dyDescent="0.25">
      <c r="B103" s="2"/>
      <c r="D103" s="331"/>
      <c r="E103" s="332"/>
      <c r="F103" s="19" t="s">
        <v>66</v>
      </c>
      <c r="G103" s="4" t="s">
        <v>342</v>
      </c>
      <c r="K103" s="21"/>
      <c r="O103" s="2"/>
    </row>
    <row r="104" spans="2:15" ht="27.75" customHeight="1" x14ac:dyDescent="0.25">
      <c r="B104" s="2"/>
      <c r="D104" s="331"/>
      <c r="E104" s="332"/>
      <c r="F104" s="19" t="s">
        <v>67</v>
      </c>
      <c r="G104" s="333" t="s">
        <v>1924</v>
      </c>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 xml:space="preserve">Director(a) anciera </v>
      </c>
      <c r="H108" s="334"/>
      <c r="I108" s="334"/>
      <c r="J108" s="334"/>
      <c r="K108" s="334"/>
      <c r="L108" s="334"/>
      <c r="M108" s="335"/>
      <c r="O108" s="2"/>
    </row>
    <row r="109" spans="2:15" ht="17.25" customHeight="1" x14ac:dyDescent="0.25">
      <c r="B109" s="2"/>
      <c r="D109" s="331"/>
      <c r="E109" s="332"/>
      <c r="F109" s="19" t="s">
        <v>2042</v>
      </c>
      <c r="G109" s="333" t="str">
        <f>+IF(M23="Si","Coordinador(a) Planeación y Sistemas","")</f>
        <v>Coordinador(a) Planeación y Sistemas</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791" priority="31">
      <formula>+IF($F$43="no",1,0)</formula>
    </cfRule>
  </conditionalFormatting>
  <conditionalFormatting sqref="F32:M33">
    <cfRule type="expression" dxfId="1790" priority="30">
      <formula>+IF($Q$30="NA",1,0)</formula>
    </cfRule>
  </conditionalFormatting>
  <conditionalFormatting sqref="F33:M33">
    <cfRule type="expression" dxfId="1789" priority="29">
      <formula>+IF($Q$33=0,1,0)</formula>
    </cfRule>
  </conditionalFormatting>
  <conditionalFormatting sqref="F47:M47">
    <cfRule type="expression" dxfId="1788" priority="28">
      <formula>+IF($Q$47=0,1,0)</formula>
    </cfRule>
  </conditionalFormatting>
  <conditionalFormatting sqref="F73:G73">
    <cfRule type="cellIs" dxfId="1787" priority="14" operator="equal">
      <formula>"optimo"</formula>
    </cfRule>
    <cfRule type="cellIs" dxfId="1786" priority="15" operator="equal">
      <formula>"critico"</formula>
    </cfRule>
  </conditionalFormatting>
  <conditionalFormatting sqref="H73:I73">
    <cfRule type="cellIs" dxfId="1785" priority="12" operator="equal">
      <formula>"Adecuado"</formula>
    </cfRule>
    <cfRule type="cellIs" dxfId="1784" priority="13" operator="equal">
      <formula>"en riesgo"</formula>
    </cfRule>
  </conditionalFormatting>
  <conditionalFormatting sqref="J73:K73">
    <cfRule type="cellIs" dxfId="1783" priority="10" operator="equal">
      <formula>"Adecuado"</formula>
    </cfRule>
    <cfRule type="cellIs" dxfId="1782" priority="11" operator="equal">
      <formula>"en riesgo"</formula>
    </cfRule>
  </conditionalFormatting>
  <conditionalFormatting sqref="L73:M73">
    <cfRule type="cellIs" dxfId="1781" priority="8" operator="equal">
      <formula>"optimo"</formula>
    </cfRule>
    <cfRule type="cellIs" dxfId="1780" priority="9" operator="equal">
      <formula>"critico"</formula>
    </cfRule>
  </conditionalFormatting>
  <conditionalFormatting sqref="F75:M86">
    <cfRule type="expression" dxfId="1779" priority="7">
      <formula>+IF($AK75=0,1)</formula>
    </cfRule>
  </conditionalFormatting>
  <conditionalFormatting sqref="F103:G104">
    <cfRule type="expression" dxfId="1778" priority="6">
      <formula>+IF($G$102="No",1,0)</formula>
    </cfRule>
  </conditionalFormatting>
  <conditionalFormatting sqref="F51">
    <cfRule type="expression" dxfId="1777" priority="5">
      <formula>+IF($F$43="no",1,0)</formula>
    </cfRule>
  </conditionalFormatting>
  <conditionalFormatting sqref="I51">
    <cfRule type="expression" dxfId="1776"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8">
    <tabColor rgb="FF0070C0"/>
  </sheetPr>
  <dimension ref="B1:AV113"/>
  <sheetViews>
    <sheetView zoomScaleNormal="100" workbookViewId="0">
      <selection activeCell="P1" sqref="P1"/>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340</v>
      </c>
      <c r="O10" s="2"/>
    </row>
    <row r="11" spans="2:24" ht="3.95" customHeight="1" x14ac:dyDescent="0.25">
      <c r="B11" s="2"/>
      <c r="D11" s="6"/>
      <c r="O11" s="2"/>
    </row>
    <row r="12" spans="2:24" ht="36" customHeight="1" x14ac:dyDescent="0.25">
      <c r="B12" s="2"/>
      <c r="D12" s="338" t="s">
        <v>5</v>
      </c>
      <c r="E12" s="339"/>
      <c r="F12" s="340" t="s">
        <v>993</v>
      </c>
      <c r="G12" s="341"/>
      <c r="H12" s="341"/>
      <c r="I12" s="341"/>
      <c r="J12" s="341"/>
      <c r="K12" s="341"/>
      <c r="L12" s="341"/>
      <c r="M12" s="342"/>
      <c r="O12" s="2"/>
      <c r="W12" s="3" t="str">
        <f>+F23</f>
        <v>Mensual</v>
      </c>
      <c r="X12" s="3" t="str">
        <f>+F71</f>
        <v>Enero</v>
      </c>
    </row>
    <row r="13" spans="2:24" ht="3.95" customHeight="1" x14ac:dyDescent="0.25">
      <c r="B13" s="2"/>
      <c r="O13" s="2"/>
    </row>
    <row r="14" spans="2:24" ht="38.25" customHeight="1" x14ac:dyDescent="0.25">
      <c r="B14" s="2"/>
      <c r="D14" s="338" t="s">
        <v>6</v>
      </c>
      <c r="E14" s="339"/>
      <c r="F14" s="340" t="s">
        <v>1929</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17">
        <v>0.98</v>
      </c>
      <c r="G22" s="337" t="s">
        <v>9</v>
      </c>
      <c r="H22" s="337"/>
      <c r="I22" s="17">
        <v>0.99</v>
      </c>
      <c r="K22" s="337" t="s">
        <v>10</v>
      </c>
      <c r="L22" s="337"/>
      <c r="M22" s="9" t="s">
        <v>496</v>
      </c>
      <c r="O22" s="2"/>
    </row>
    <row r="23" spans="2:17" ht="19.5" customHeight="1" x14ac:dyDescent="0.25">
      <c r="B23" s="2"/>
      <c r="D23" s="337" t="s">
        <v>11</v>
      </c>
      <c r="E23" s="337"/>
      <c r="F23" s="4" t="s">
        <v>84</v>
      </c>
      <c r="G23" s="337" t="s">
        <v>12</v>
      </c>
      <c r="H23" s="337"/>
      <c r="I23" s="4" t="s">
        <v>497</v>
      </c>
      <c r="K23" s="337" t="s">
        <v>13</v>
      </c>
      <c r="L23" s="337"/>
      <c r="M23" s="9" t="s">
        <v>496</v>
      </c>
      <c r="O23" s="2"/>
    </row>
    <row r="24" spans="2:17" ht="20.100000000000001" customHeight="1" x14ac:dyDescent="0.25">
      <c r="B24" s="2"/>
      <c r="D24" s="337" t="s">
        <v>14</v>
      </c>
      <c r="E24" s="337"/>
      <c r="F24" s="4" t="s">
        <v>498</v>
      </c>
      <c r="G24" s="337" t="s">
        <v>15</v>
      </c>
      <c r="H24" s="337"/>
      <c r="I24" s="4" t="s">
        <v>533</v>
      </c>
      <c r="K24" s="337" t="s">
        <v>16</v>
      </c>
      <c r="L24" s="337"/>
      <c r="M24" s="9" t="s">
        <v>2</v>
      </c>
      <c r="O24" s="2"/>
    </row>
    <row r="25" spans="2:17" ht="20.100000000000001" customHeight="1" x14ac:dyDescent="0.25">
      <c r="B25" s="2"/>
      <c r="D25" s="337" t="s">
        <v>17</v>
      </c>
      <c r="E25" s="337"/>
      <c r="F25" s="4" t="s">
        <v>683</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soporte</v>
      </c>
    </row>
    <row r="31" spans="2:17" ht="24" customHeight="1" x14ac:dyDescent="0.25">
      <c r="B31" s="2"/>
      <c r="D31" s="347"/>
      <c r="E31" s="348"/>
      <c r="F31" s="4" t="s">
        <v>257</v>
      </c>
      <c r="G31" s="340" t="s">
        <v>258</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1600</v>
      </c>
      <c r="G33" s="340" t="s">
        <v>991</v>
      </c>
      <c r="H33" s="341"/>
      <c r="I33" s="341"/>
      <c r="J33" s="341"/>
      <c r="K33" s="341"/>
      <c r="L33" s="341"/>
      <c r="M33" s="342"/>
      <c r="O33" s="2"/>
      <c r="Q33" s="3">
        <f>+IFERROR(IF(VLOOKUP(G33,base!$A$26:$C$40,3,FALSE)=F31,1,0),"")</f>
        <v>1</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1716</v>
      </c>
      <c r="G35" s="340" t="s">
        <v>1592</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2</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500</v>
      </c>
      <c r="G45" s="340" t="s">
        <v>512</v>
      </c>
      <c r="H45" s="341"/>
      <c r="I45" s="341"/>
      <c r="J45" s="341"/>
      <c r="K45" s="341"/>
      <c r="L45" s="341"/>
      <c r="M45" s="342"/>
      <c r="O45" s="2"/>
      <c r="Q45" s="3" t="str">
        <f>+IFERROR(VLOOKUP(G45,base!$A$41:$C$45,3,FALSE),"")</f>
        <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500</v>
      </c>
      <c r="G47" s="340" t="s">
        <v>512</v>
      </c>
      <c r="H47" s="341"/>
      <c r="I47" s="341"/>
      <c r="J47" s="341"/>
      <c r="K47" s="341"/>
      <c r="L47" s="341"/>
      <c r="M47" s="342"/>
      <c r="O47" s="2"/>
      <c r="Q47" s="3" t="e">
        <f>+IF(VLOOKUP(G47,base!$A$46:$C$66,3,FALSE)=F45,1,0)</f>
        <v>#N/A</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920</v>
      </c>
      <c r="G49" s="340" t="s">
        <v>899</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17"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 customHeight="1" x14ac:dyDescent="0.25">
      <c r="B59" s="2"/>
      <c r="D59" s="337" t="s">
        <v>34</v>
      </c>
      <c r="E59" s="337"/>
      <c r="F59" s="340" t="s">
        <v>1932</v>
      </c>
      <c r="G59" s="341"/>
      <c r="H59" s="341"/>
      <c r="I59" s="341"/>
      <c r="J59" s="341"/>
      <c r="K59" s="341"/>
      <c r="L59" s="341"/>
      <c r="M59" s="342"/>
      <c r="O59" s="2"/>
    </row>
    <row r="60" spans="2:15" ht="27.75" customHeight="1" x14ac:dyDescent="0.25">
      <c r="B60" s="2"/>
      <c r="D60" s="359" t="s">
        <v>35</v>
      </c>
      <c r="E60" s="359"/>
      <c r="F60" s="344" t="s">
        <v>1930</v>
      </c>
      <c r="G60" s="344"/>
      <c r="H60" s="344"/>
      <c r="I60" s="344"/>
      <c r="J60" s="344"/>
      <c r="K60" s="344"/>
      <c r="L60" s="344"/>
      <c r="M60" s="344"/>
      <c r="O60" s="2"/>
    </row>
    <row r="61" spans="2:15" ht="27.75" customHeight="1" x14ac:dyDescent="0.25">
      <c r="B61" s="2"/>
      <c r="D61" s="359" t="s">
        <v>36</v>
      </c>
      <c r="E61" s="359"/>
      <c r="F61" s="344" t="s">
        <v>1931</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43" t="s">
        <v>39</v>
      </c>
      <c r="E71" s="343"/>
      <c r="F71" s="4" t="s">
        <v>46</v>
      </c>
      <c r="G71" s="3">
        <v>2</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f>+L75-0.001</f>
        <v>8.4000000000000005E-2</v>
      </c>
      <c r="H75" s="16" t="s">
        <v>500</v>
      </c>
      <c r="I75" s="16" t="s">
        <v>500</v>
      </c>
      <c r="J75" s="16" t="s">
        <v>500</v>
      </c>
      <c r="K75" s="16" t="s">
        <v>500</v>
      </c>
      <c r="L75" s="16">
        <v>8.5000000000000006E-2</v>
      </c>
      <c r="M75" s="16" t="s">
        <v>500</v>
      </c>
      <c r="O75" s="2"/>
      <c r="AE75" s="3" t="s">
        <v>46</v>
      </c>
      <c r="AF75" s="3">
        <v>1</v>
      </c>
      <c r="AG75" s="3">
        <f>+IF(AE75&gt;=$G$71,1,0)</f>
        <v>1</v>
      </c>
      <c r="AH75" s="3">
        <f>+IF(AG75=0,0,IF(AG75=1,(SUM($AG$75:AG75)-1),1))</f>
        <v>0</v>
      </c>
      <c r="AI75" s="3">
        <f>+IF(AH75=0,0,IF(MOD(AH75,$U$69)=0,1,0))</f>
        <v>0</v>
      </c>
      <c r="AJ75" s="3">
        <f>+IF(AE75=$F$71,1,0)</f>
        <v>1</v>
      </c>
      <c r="AK75" s="3">
        <f>+MAX(AI75:AJ75)</f>
        <v>1</v>
      </c>
    </row>
    <row r="76" spans="2:37" x14ac:dyDescent="0.25">
      <c r="B76" s="2"/>
      <c r="D76" s="360" t="s">
        <v>40</v>
      </c>
      <c r="E76" s="360"/>
      <c r="F76" s="16" t="s">
        <v>500</v>
      </c>
      <c r="G76" s="16">
        <f t="shared" ref="G76:G79" si="0">+L76-0.001</f>
        <v>0.22700000000000001</v>
      </c>
      <c r="H76" s="16"/>
      <c r="I76" s="16"/>
      <c r="J76" s="16"/>
      <c r="K76" s="16"/>
      <c r="L76" s="16">
        <v>0.22800000000000001</v>
      </c>
      <c r="M76" s="16" t="s">
        <v>500</v>
      </c>
      <c r="O76" s="2"/>
      <c r="AE76" s="3" t="s">
        <v>40</v>
      </c>
      <c r="AF76" s="3">
        <v>2</v>
      </c>
      <c r="AG76" s="3">
        <f t="shared" ref="AG76:AG86" si="1">+IF(AE76&gt;=$G$71,1,0)</f>
        <v>1</v>
      </c>
      <c r="AH76" s="3">
        <f>+IF(AG76=0,0,IF(AG76=1,(SUM($AG$75:AG76)-1),1))</f>
        <v>1</v>
      </c>
      <c r="AI76" s="3">
        <f t="shared" ref="AI76:AI86" si="2">+IF(AH76=0,0,IF(MOD(AH76,$U$69)=0,1,0))</f>
        <v>1</v>
      </c>
      <c r="AJ76" s="3">
        <f t="shared" ref="AJ76:AJ86" si="3">+IF(AE76=$F$71,1,0)</f>
        <v>0</v>
      </c>
      <c r="AK76" s="3">
        <f t="shared" ref="AK76:AK86" si="4">+MAX(AI76:AJ76)</f>
        <v>1</v>
      </c>
    </row>
    <row r="77" spans="2:37" x14ac:dyDescent="0.25">
      <c r="B77" s="2"/>
      <c r="D77" s="360" t="s">
        <v>47</v>
      </c>
      <c r="E77" s="360"/>
      <c r="F77" s="16" t="s">
        <v>500</v>
      </c>
      <c r="G77" s="16">
        <f t="shared" si="0"/>
        <v>0.31900000000000001</v>
      </c>
      <c r="H77" s="16" t="s">
        <v>500</v>
      </c>
      <c r="I77" s="16" t="s">
        <v>500</v>
      </c>
      <c r="J77" s="16" t="s">
        <v>500</v>
      </c>
      <c r="K77" s="16" t="s">
        <v>500</v>
      </c>
      <c r="L77" s="16">
        <v>0.32</v>
      </c>
      <c r="M77" s="16" t="s">
        <v>500</v>
      </c>
      <c r="O77" s="2"/>
      <c r="AE77" s="3" t="s">
        <v>47</v>
      </c>
      <c r="AF77" s="3">
        <v>3</v>
      </c>
      <c r="AG77" s="3">
        <f t="shared" si="1"/>
        <v>1</v>
      </c>
      <c r="AH77" s="3">
        <f>+IF(AG77=0,0,IF(AG77=1,(SUM($AG$75:AG77)-1),1))</f>
        <v>2</v>
      </c>
      <c r="AI77" s="3">
        <f t="shared" si="2"/>
        <v>1</v>
      </c>
      <c r="AJ77" s="3">
        <f t="shared" si="3"/>
        <v>0</v>
      </c>
      <c r="AK77" s="3">
        <f t="shared" si="4"/>
        <v>1</v>
      </c>
    </row>
    <row r="78" spans="2:37" x14ac:dyDescent="0.25">
      <c r="B78" s="2"/>
      <c r="D78" s="360" t="s">
        <v>48</v>
      </c>
      <c r="E78" s="360"/>
      <c r="F78" s="16" t="s">
        <v>500</v>
      </c>
      <c r="G78" s="16">
        <f t="shared" si="0"/>
        <v>0.373</v>
      </c>
      <c r="H78" s="16" t="s">
        <v>500</v>
      </c>
      <c r="I78" s="16" t="s">
        <v>500</v>
      </c>
      <c r="J78" s="16" t="s">
        <v>500</v>
      </c>
      <c r="K78" s="16" t="s">
        <v>500</v>
      </c>
      <c r="L78" s="16">
        <v>0.374</v>
      </c>
      <c r="M78" s="16" t="s">
        <v>500</v>
      </c>
      <c r="O78" s="2"/>
      <c r="AE78" s="3" t="s">
        <v>48</v>
      </c>
      <c r="AF78" s="3">
        <v>4</v>
      </c>
      <c r="AG78" s="3">
        <f t="shared" si="1"/>
        <v>1</v>
      </c>
      <c r="AH78" s="3">
        <f>+IF(AG78=0,0,IF(AG78=1,(SUM($AG$75:AG78)-1),1))</f>
        <v>3</v>
      </c>
      <c r="AI78" s="3">
        <f t="shared" si="2"/>
        <v>1</v>
      </c>
      <c r="AJ78" s="3">
        <f t="shared" si="3"/>
        <v>0</v>
      </c>
      <c r="AK78" s="3">
        <f t="shared" si="4"/>
        <v>1</v>
      </c>
    </row>
    <row r="79" spans="2:37" x14ac:dyDescent="0.25">
      <c r="B79" s="2"/>
      <c r="D79" s="360" t="s">
        <v>49</v>
      </c>
      <c r="E79" s="360"/>
      <c r="F79" s="16" t="s">
        <v>500</v>
      </c>
      <c r="G79" s="16">
        <f t="shared" si="0"/>
        <v>0.439</v>
      </c>
      <c r="H79" s="16" t="s">
        <v>500</v>
      </c>
      <c r="I79" s="16" t="s">
        <v>500</v>
      </c>
      <c r="J79" s="16" t="s">
        <v>500</v>
      </c>
      <c r="K79" s="16" t="s">
        <v>500</v>
      </c>
      <c r="L79" s="16">
        <v>0.44</v>
      </c>
      <c r="M79" s="16" t="s">
        <v>500</v>
      </c>
      <c r="O79" s="2"/>
      <c r="AE79" s="3" t="s">
        <v>49</v>
      </c>
      <c r="AF79" s="3">
        <v>5</v>
      </c>
      <c r="AG79" s="3">
        <f t="shared" si="1"/>
        <v>1</v>
      </c>
      <c r="AH79" s="3">
        <f>+IF(AG79=0,0,IF(AG79=1,(SUM($AG$75:AG79)-1),1))</f>
        <v>4</v>
      </c>
      <c r="AI79" s="3">
        <f t="shared" si="2"/>
        <v>1</v>
      </c>
      <c r="AJ79" s="3">
        <f t="shared" si="3"/>
        <v>0</v>
      </c>
      <c r="AK79" s="3">
        <f t="shared" si="4"/>
        <v>1</v>
      </c>
    </row>
    <row r="80" spans="2:37" x14ac:dyDescent="0.25">
      <c r="B80" s="2"/>
      <c r="D80" s="360" t="s">
        <v>50</v>
      </c>
      <c r="E80" s="360"/>
      <c r="F80" s="16" t="s">
        <v>500</v>
      </c>
      <c r="G80" s="16">
        <v>0.441</v>
      </c>
      <c r="H80" s="16" t="s">
        <v>500</v>
      </c>
      <c r="I80" s="16" t="s">
        <v>500</v>
      </c>
      <c r="J80" s="16" t="s">
        <v>500</v>
      </c>
      <c r="K80" s="16" t="s">
        <v>500</v>
      </c>
      <c r="L80" s="16">
        <v>0.442</v>
      </c>
      <c r="M80" s="16" t="s">
        <v>500</v>
      </c>
      <c r="O80" s="2"/>
      <c r="AE80" s="3" t="s">
        <v>50</v>
      </c>
      <c r="AF80" s="3">
        <v>6</v>
      </c>
      <c r="AG80" s="3">
        <f t="shared" si="1"/>
        <v>1</v>
      </c>
      <c r="AH80" s="3">
        <f>+IF(AG80=0,0,IF(AG80=1,(SUM($AG$75:AG80)-1),1))</f>
        <v>5</v>
      </c>
      <c r="AI80" s="3">
        <f t="shared" si="2"/>
        <v>1</v>
      </c>
      <c r="AJ80" s="3">
        <f t="shared" si="3"/>
        <v>0</v>
      </c>
      <c r="AK80" s="3">
        <f t="shared" si="4"/>
        <v>1</v>
      </c>
    </row>
    <row r="81" spans="2:37" x14ac:dyDescent="0.25">
      <c r="B81" s="2"/>
      <c r="D81" s="360" t="s">
        <v>53</v>
      </c>
      <c r="E81" s="360"/>
      <c r="F81" s="16" t="s">
        <v>500</v>
      </c>
      <c r="G81" s="16">
        <v>0.499</v>
      </c>
      <c r="H81" s="16" t="s">
        <v>500</v>
      </c>
      <c r="I81" s="16" t="s">
        <v>500</v>
      </c>
      <c r="J81" s="16" t="s">
        <v>500</v>
      </c>
      <c r="K81" s="16" t="s">
        <v>500</v>
      </c>
      <c r="L81" s="16">
        <v>0.5</v>
      </c>
      <c r="M81" s="16" t="s">
        <v>500</v>
      </c>
      <c r="O81" s="2"/>
      <c r="AE81" s="3" t="s">
        <v>53</v>
      </c>
      <c r="AF81" s="3">
        <v>7</v>
      </c>
      <c r="AG81" s="3">
        <f t="shared" si="1"/>
        <v>1</v>
      </c>
      <c r="AH81" s="3">
        <f>+IF(AG81=0,0,IF(AG81=1,(SUM($AG$75:AG81)-1),1))</f>
        <v>6</v>
      </c>
      <c r="AI81" s="3">
        <f t="shared" si="2"/>
        <v>1</v>
      </c>
      <c r="AJ81" s="3">
        <f t="shared" si="3"/>
        <v>0</v>
      </c>
      <c r="AK81" s="3">
        <f t="shared" si="4"/>
        <v>1</v>
      </c>
    </row>
    <row r="82" spans="2:37" x14ac:dyDescent="0.25">
      <c r="B82" s="2"/>
      <c r="D82" s="360" t="s">
        <v>54</v>
      </c>
      <c r="E82" s="360"/>
      <c r="F82" s="16" t="s">
        <v>500</v>
      </c>
      <c r="G82" s="16">
        <v>0.63900000000000001</v>
      </c>
      <c r="H82" s="16" t="s">
        <v>500</v>
      </c>
      <c r="I82" s="16" t="s">
        <v>500</v>
      </c>
      <c r="J82" s="16" t="s">
        <v>500</v>
      </c>
      <c r="K82" s="16" t="s">
        <v>500</v>
      </c>
      <c r="L82" s="16">
        <v>0.64</v>
      </c>
      <c r="M82" s="16" t="s">
        <v>500</v>
      </c>
      <c r="O82" s="2"/>
      <c r="AE82" s="3" t="s">
        <v>54</v>
      </c>
      <c r="AF82" s="3">
        <v>8</v>
      </c>
      <c r="AG82" s="3">
        <f t="shared" si="1"/>
        <v>1</v>
      </c>
      <c r="AH82" s="3">
        <f>+IF(AG82=0,0,IF(AG82=1,(SUM($AG$75:AG82)-1),1))</f>
        <v>7</v>
      </c>
      <c r="AI82" s="3">
        <f t="shared" si="2"/>
        <v>1</v>
      </c>
      <c r="AJ82" s="3">
        <f t="shared" si="3"/>
        <v>0</v>
      </c>
      <c r="AK82" s="3">
        <f t="shared" si="4"/>
        <v>1</v>
      </c>
    </row>
    <row r="83" spans="2:37" x14ac:dyDescent="0.25">
      <c r="B83" s="2"/>
      <c r="D83" s="360" t="s">
        <v>55</v>
      </c>
      <c r="E83" s="360"/>
      <c r="F83" s="16" t="s">
        <v>500</v>
      </c>
      <c r="G83" s="16">
        <v>0.69899999999999995</v>
      </c>
      <c r="H83" s="16" t="s">
        <v>500</v>
      </c>
      <c r="I83" s="16" t="s">
        <v>500</v>
      </c>
      <c r="J83" s="16" t="s">
        <v>500</v>
      </c>
      <c r="K83" s="16" t="s">
        <v>500</v>
      </c>
      <c r="L83" s="16">
        <v>0.7</v>
      </c>
      <c r="M83" s="16" t="s">
        <v>500</v>
      </c>
      <c r="O83" s="2"/>
      <c r="AE83" s="3" t="s">
        <v>55</v>
      </c>
      <c r="AF83" s="3">
        <v>9</v>
      </c>
      <c r="AG83" s="3">
        <f t="shared" si="1"/>
        <v>1</v>
      </c>
      <c r="AH83" s="3">
        <f>+IF(AG83=0,0,IF(AG83=1,(SUM($AG$75:AG83)-1),1))</f>
        <v>8</v>
      </c>
      <c r="AI83" s="3">
        <f t="shared" si="2"/>
        <v>1</v>
      </c>
      <c r="AJ83" s="3">
        <f t="shared" si="3"/>
        <v>0</v>
      </c>
      <c r="AK83" s="3">
        <f t="shared" si="4"/>
        <v>1</v>
      </c>
    </row>
    <row r="84" spans="2:37" x14ac:dyDescent="0.25">
      <c r="B84" s="2"/>
      <c r="D84" s="360" t="s">
        <v>56</v>
      </c>
      <c r="E84" s="360"/>
      <c r="F84" s="16" t="s">
        <v>500</v>
      </c>
      <c r="G84" s="16">
        <v>0.749</v>
      </c>
      <c r="H84" s="16" t="s">
        <v>500</v>
      </c>
      <c r="I84" s="16" t="s">
        <v>500</v>
      </c>
      <c r="J84" s="16" t="s">
        <v>500</v>
      </c>
      <c r="K84" s="16" t="s">
        <v>500</v>
      </c>
      <c r="L84" s="16">
        <v>0.75</v>
      </c>
      <c r="M84" s="16" t="s">
        <v>500</v>
      </c>
      <c r="O84" s="2"/>
      <c r="AE84" s="3" t="s">
        <v>56</v>
      </c>
      <c r="AF84" s="3">
        <v>10</v>
      </c>
      <c r="AG84" s="3">
        <f t="shared" si="1"/>
        <v>1</v>
      </c>
      <c r="AH84" s="3">
        <f>+IF(AG84=0,0,IF(AG84=1,(SUM($AG$75:AG84)-1),1))</f>
        <v>9</v>
      </c>
      <c r="AI84" s="3">
        <f t="shared" si="2"/>
        <v>1</v>
      </c>
      <c r="AJ84" s="3">
        <f t="shared" si="3"/>
        <v>0</v>
      </c>
      <c r="AK84" s="3">
        <f t="shared" si="4"/>
        <v>1</v>
      </c>
    </row>
    <row r="85" spans="2:37" x14ac:dyDescent="0.25">
      <c r="B85" s="2"/>
      <c r="D85" s="360" t="s">
        <v>57</v>
      </c>
      <c r="E85" s="360"/>
      <c r="F85" s="16" t="s">
        <v>500</v>
      </c>
      <c r="G85" s="16">
        <v>0.84899999999999998</v>
      </c>
      <c r="H85" s="16" t="s">
        <v>500</v>
      </c>
      <c r="I85" s="16" t="s">
        <v>500</v>
      </c>
      <c r="J85" s="16" t="s">
        <v>500</v>
      </c>
      <c r="K85" s="16" t="s">
        <v>500</v>
      </c>
      <c r="L85" s="16">
        <v>0.85</v>
      </c>
      <c r="M85" s="16" t="s">
        <v>500</v>
      </c>
      <c r="O85" s="2"/>
      <c r="AE85" s="3" t="s">
        <v>57</v>
      </c>
      <c r="AF85" s="3">
        <v>11</v>
      </c>
      <c r="AG85" s="3">
        <f t="shared" si="1"/>
        <v>1</v>
      </c>
      <c r="AH85" s="3">
        <f>+IF(AG85=0,0,IF(AG85=1,(SUM($AG$75:AG85)-1),1))</f>
        <v>10</v>
      </c>
      <c r="AI85" s="3">
        <f t="shared" si="2"/>
        <v>1</v>
      </c>
      <c r="AJ85" s="3">
        <f t="shared" si="3"/>
        <v>0</v>
      </c>
      <c r="AK85" s="3">
        <f t="shared" si="4"/>
        <v>1</v>
      </c>
    </row>
    <row r="86" spans="2:37" x14ac:dyDescent="0.25">
      <c r="B86" s="2"/>
      <c r="D86" s="360" t="s">
        <v>58</v>
      </c>
      <c r="E86" s="360"/>
      <c r="F86" s="16" t="s">
        <v>500</v>
      </c>
      <c r="G86" s="16">
        <v>0.98899999999999999</v>
      </c>
      <c r="H86" s="16" t="s">
        <v>500</v>
      </c>
      <c r="I86" s="16" t="s">
        <v>500</v>
      </c>
      <c r="J86" s="16" t="s">
        <v>500</v>
      </c>
      <c r="K86" s="16" t="s">
        <v>500</v>
      </c>
      <c r="L86" s="16">
        <v>0.99</v>
      </c>
      <c r="M86" s="16" t="s">
        <v>500</v>
      </c>
      <c r="O86" s="2"/>
      <c r="AE86" s="3" t="s">
        <v>58</v>
      </c>
      <c r="AF86" s="65">
        <v>12</v>
      </c>
      <c r="AG86" s="3">
        <f t="shared" si="1"/>
        <v>1</v>
      </c>
      <c r="AH86" s="3">
        <f>+IF(AG86=0,0,IF(AG86=1,(SUM($AG$75:AG86)-1),1))</f>
        <v>11</v>
      </c>
      <c r="AI86" s="3">
        <f t="shared" si="2"/>
        <v>1</v>
      </c>
      <c r="AJ86" s="3">
        <f t="shared" si="3"/>
        <v>0</v>
      </c>
      <c r="AK86" s="3">
        <f t="shared" si="4"/>
        <v>1</v>
      </c>
    </row>
    <row r="87" spans="2:37" ht="3.75" customHeight="1" x14ac:dyDescent="0.25">
      <c r="B87" s="2"/>
      <c r="O87" s="2"/>
    </row>
    <row r="88" spans="2:37" ht="66" customHeight="1" x14ac:dyDescent="0.25">
      <c r="B88" s="2"/>
      <c r="D88" s="338" t="s">
        <v>59</v>
      </c>
      <c r="E88" s="339"/>
      <c r="F88" s="340" t="s">
        <v>2152</v>
      </c>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2" customHeight="1" x14ac:dyDescent="0.25">
      <c r="B97" s="2"/>
      <c r="D97" s="359" t="s">
        <v>35</v>
      </c>
      <c r="E97" s="359"/>
      <c r="F97" s="344" t="s">
        <v>1647</v>
      </c>
      <c r="G97" s="344"/>
      <c r="H97" s="344"/>
      <c r="I97" s="344"/>
      <c r="J97" s="344"/>
      <c r="K97" s="344"/>
      <c r="L97" s="344"/>
      <c r="M97" s="344"/>
      <c r="O97" s="2"/>
    </row>
    <row r="98" spans="2:15" ht="42" customHeight="1" x14ac:dyDescent="0.25">
      <c r="B98" s="2"/>
      <c r="D98" s="359" t="s">
        <v>36</v>
      </c>
      <c r="E98" s="359"/>
      <c r="F98" s="344" t="s">
        <v>1647</v>
      </c>
      <c r="G98" s="344"/>
      <c r="H98" s="344"/>
      <c r="I98" s="344"/>
      <c r="J98" s="344"/>
      <c r="K98" s="344"/>
      <c r="L98" s="344"/>
      <c r="M98" s="344"/>
      <c r="O98" s="2"/>
    </row>
    <row r="99" spans="2:15" ht="3.95" customHeight="1" x14ac:dyDescent="0.25">
      <c r="B99" s="2"/>
      <c r="O99" s="2"/>
    </row>
    <row r="100" spans="2:15" ht="204" customHeight="1" x14ac:dyDescent="0.25">
      <c r="B100" s="2"/>
      <c r="D100" s="338" t="s">
        <v>62</v>
      </c>
      <c r="E100" s="339"/>
      <c r="F100" s="420" t="s">
        <v>1923</v>
      </c>
      <c r="G100" s="421"/>
      <c r="H100" s="421"/>
      <c r="I100" s="421"/>
      <c r="J100" s="421"/>
      <c r="K100" s="421"/>
      <c r="L100" s="421"/>
      <c r="M100" s="422"/>
      <c r="O100" s="2"/>
    </row>
    <row r="101" spans="2:15" ht="3.95" customHeight="1" x14ac:dyDescent="0.25">
      <c r="B101" s="2"/>
      <c r="O101" s="2"/>
    </row>
    <row r="102" spans="2:15" ht="19.5" customHeight="1" x14ac:dyDescent="0.25">
      <c r="B102" s="2"/>
      <c r="D102" s="329" t="s">
        <v>64</v>
      </c>
      <c r="E102" s="330"/>
      <c r="F102" s="19" t="s">
        <v>65</v>
      </c>
      <c r="G102" s="4" t="s">
        <v>1</v>
      </c>
      <c r="K102" s="20"/>
      <c r="O102" s="2"/>
    </row>
    <row r="103" spans="2:15" ht="19.5" customHeight="1" x14ac:dyDescent="0.25">
      <c r="B103" s="2"/>
      <c r="D103" s="331"/>
      <c r="E103" s="332"/>
      <c r="F103" s="19" t="s">
        <v>66</v>
      </c>
      <c r="G103" s="4" t="s">
        <v>1933</v>
      </c>
      <c r="K103" s="21"/>
      <c r="O103" s="2"/>
    </row>
    <row r="104" spans="2:15" ht="27.75" customHeight="1" x14ac:dyDescent="0.25">
      <c r="B104" s="2"/>
      <c r="D104" s="331"/>
      <c r="E104" s="332"/>
      <c r="F104" s="19" t="s">
        <v>67</v>
      </c>
      <c r="G104" s="333" t="s">
        <v>1934</v>
      </c>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 xml:space="preserve">Director(a) anciera </v>
      </c>
      <c r="H108" s="334"/>
      <c r="I108" s="334"/>
      <c r="J108" s="334"/>
      <c r="K108" s="334"/>
      <c r="L108" s="334"/>
      <c r="M108" s="335"/>
      <c r="O108" s="2"/>
    </row>
    <row r="109" spans="2:15" ht="17.25" customHeight="1" x14ac:dyDescent="0.25">
      <c r="B109" s="2"/>
      <c r="D109" s="331"/>
      <c r="E109" s="332"/>
      <c r="F109" s="19" t="s">
        <v>2042</v>
      </c>
      <c r="G109" s="333" t="str">
        <f>+IF(M23="Si","Coordinador(a) Planeación y Sistemas","")</f>
        <v>Coordinador(a) Planeación y Sistemas</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775" priority="31">
      <formula>+IF($F$43="no",1,0)</formula>
    </cfRule>
  </conditionalFormatting>
  <conditionalFormatting sqref="F32:M33">
    <cfRule type="expression" dxfId="1774" priority="30">
      <formula>+IF($Q$30="NA",1,0)</formula>
    </cfRule>
  </conditionalFormatting>
  <conditionalFormatting sqref="F33:M33">
    <cfRule type="expression" dxfId="1773" priority="29">
      <formula>+IF($Q$33=0,1,0)</formula>
    </cfRule>
  </conditionalFormatting>
  <conditionalFormatting sqref="F47:M47">
    <cfRule type="expression" dxfId="1772" priority="28">
      <formula>+IF($Q$47=0,1,0)</formula>
    </cfRule>
  </conditionalFormatting>
  <conditionalFormatting sqref="F73:G73">
    <cfRule type="cellIs" dxfId="1771" priority="14" operator="equal">
      <formula>"optimo"</formula>
    </cfRule>
    <cfRule type="cellIs" dxfId="1770" priority="15" operator="equal">
      <formula>"critico"</formula>
    </cfRule>
  </conditionalFormatting>
  <conditionalFormatting sqref="H73:I73">
    <cfRule type="cellIs" dxfId="1769" priority="12" operator="equal">
      <formula>"Adecuado"</formula>
    </cfRule>
    <cfRule type="cellIs" dxfId="1768" priority="13" operator="equal">
      <formula>"en riesgo"</formula>
    </cfRule>
  </conditionalFormatting>
  <conditionalFormatting sqref="J73:K73">
    <cfRule type="cellIs" dxfId="1767" priority="10" operator="equal">
      <formula>"Adecuado"</formula>
    </cfRule>
    <cfRule type="cellIs" dxfId="1766" priority="11" operator="equal">
      <formula>"en riesgo"</formula>
    </cfRule>
  </conditionalFormatting>
  <conditionalFormatting sqref="L73:M73">
    <cfRule type="cellIs" dxfId="1765" priority="8" operator="equal">
      <formula>"optimo"</formula>
    </cfRule>
    <cfRule type="cellIs" dxfId="1764" priority="9" operator="equal">
      <formula>"critico"</formula>
    </cfRule>
  </conditionalFormatting>
  <conditionalFormatting sqref="F75:M86">
    <cfRule type="expression" dxfId="1763" priority="7">
      <formula>+IF($AK75=0,1)</formula>
    </cfRule>
  </conditionalFormatting>
  <conditionalFormatting sqref="F103:G104">
    <cfRule type="expression" dxfId="1762" priority="6">
      <formula>+IF($G$102="No",1,0)</formula>
    </cfRule>
  </conditionalFormatting>
  <conditionalFormatting sqref="F51">
    <cfRule type="expression" dxfId="1761" priority="5">
      <formula>+IF($F$43="no",1,0)</formula>
    </cfRule>
  </conditionalFormatting>
  <conditionalFormatting sqref="I51">
    <cfRule type="expression" dxfId="1760"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6">
    <tabColor rgb="FF0070C0"/>
  </sheetPr>
  <dimension ref="B1:AV113"/>
  <sheetViews>
    <sheetView topLeftCell="A64" zoomScaleNormal="100" workbookViewId="0">
      <selection activeCell="F88" sqref="F88:M88"/>
    </sheetView>
  </sheetViews>
  <sheetFormatPr baseColWidth="10" defaultRowHeight="12.75" x14ac:dyDescent="0.25"/>
  <cols>
    <col min="1" max="1" width="1.140625" style="104" customWidth="1"/>
    <col min="2" max="2" width="0.5703125" style="104" customWidth="1"/>
    <col min="3" max="3" width="1.42578125" style="104" customWidth="1"/>
    <col min="4" max="4" width="11" style="104" customWidth="1"/>
    <col min="5" max="13" width="11.42578125" style="104" customWidth="1"/>
    <col min="14" max="14" width="1.42578125" style="104" customWidth="1"/>
    <col min="15" max="15" width="0.5703125" style="104" customWidth="1"/>
    <col min="16" max="16" width="11.42578125" style="105"/>
    <col min="17" max="18" width="11.42578125" style="105" customWidth="1"/>
    <col min="19" max="19" width="11.42578125" style="105"/>
    <col min="20" max="20" width="2.7109375" style="105" customWidth="1"/>
    <col min="21" max="21" width="11.42578125" style="105"/>
    <col min="22" max="22" width="2.7109375" style="105" customWidth="1"/>
    <col min="23" max="23" width="11.42578125" style="105"/>
    <col min="24" max="24" width="2.7109375" style="105" customWidth="1"/>
    <col min="25" max="25" width="11.42578125" style="105"/>
    <col min="26" max="26" width="2.7109375" style="105" customWidth="1"/>
    <col min="27" max="27" width="11.42578125" style="105"/>
    <col min="28" max="28" width="2.7109375" style="105" customWidth="1"/>
    <col min="29" max="31" width="11.42578125" style="105"/>
    <col min="32" max="37" width="3.140625" style="105" customWidth="1"/>
    <col min="38" max="45" width="7.42578125" style="105" customWidth="1"/>
    <col min="46" max="48" width="11.42578125" style="105"/>
    <col min="49" max="16384" width="11.42578125" style="104"/>
  </cols>
  <sheetData>
    <row r="1" spans="2:19" ht="3.95" customHeight="1" x14ac:dyDescent="0.25"/>
    <row r="2" spans="2:19" ht="3.95" customHeight="1" x14ac:dyDescent="0.25">
      <c r="B2" s="106"/>
      <c r="C2" s="106"/>
      <c r="D2" s="106"/>
      <c r="E2" s="106"/>
      <c r="F2" s="106"/>
      <c r="G2" s="106"/>
      <c r="H2" s="106"/>
      <c r="I2" s="106"/>
      <c r="J2" s="106"/>
      <c r="K2" s="106"/>
      <c r="L2" s="106"/>
      <c r="M2" s="106"/>
      <c r="N2" s="106"/>
      <c r="O2" s="106"/>
    </row>
    <row r="3" spans="2:19" ht="20.25" customHeight="1" x14ac:dyDescent="0.25">
      <c r="B3" s="106"/>
      <c r="C3" s="411" t="s">
        <v>0</v>
      </c>
      <c r="D3" s="411"/>
      <c r="E3" s="411"/>
      <c r="F3" s="411"/>
      <c r="G3" s="411"/>
      <c r="H3" s="411"/>
      <c r="I3" s="411"/>
      <c r="J3" s="411"/>
      <c r="K3" s="411"/>
      <c r="L3" s="411"/>
      <c r="M3" s="411"/>
      <c r="N3" s="411"/>
      <c r="O3" s="106"/>
      <c r="Q3" s="105" t="s">
        <v>340</v>
      </c>
    </row>
    <row r="4" spans="2:19" ht="20.25" customHeight="1" x14ac:dyDescent="0.25">
      <c r="B4" s="106"/>
      <c r="C4" s="411"/>
      <c r="D4" s="411"/>
      <c r="E4" s="411"/>
      <c r="F4" s="411"/>
      <c r="G4" s="411"/>
      <c r="H4" s="411"/>
      <c r="I4" s="411"/>
      <c r="J4" s="411"/>
      <c r="K4" s="411"/>
      <c r="L4" s="411"/>
      <c r="M4" s="411"/>
      <c r="N4" s="411"/>
      <c r="O4" s="106"/>
      <c r="Q4" s="3"/>
      <c r="R4" s="3"/>
      <c r="S4" s="105" t="s">
        <v>1</v>
      </c>
    </row>
    <row r="5" spans="2:19" ht="20.25" customHeight="1" x14ac:dyDescent="0.25">
      <c r="B5" s="106"/>
      <c r="C5" s="411"/>
      <c r="D5" s="411"/>
      <c r="E5" s="411"/>
      <c r="F5" s="411"/>
      <c r="G5" s="411"/>
      <c r="H5" s="411"/>
      <c r="I5" s="411"/>
      <c r="J5" s="411"/>
      <c r="K5" s="411"/>
      <c r="L5" s="411"/>
      <c r="M5" s="411"/>
      <c r="N5" s="411"/>
      <c r="O5" s="106"/>
      <c r="S5" s="105" t="s">
        <v>2</v>
      </c>
    </row>
    <row r="6" spans="2:19" ht="3" customHeight="1" x14ac:dyDescent="0.25">
      <c r="B6" s="106"/>
      <c r="C6" s="106"/>
      <c r="D6" s="106"/>
      <c r="E6" s="106"/>
      <c r="F6" s="106"/>
      <c r="G6" s="106"/>
      <c r="H6" s="106"/>
      <c r="I6" s="106"/>
      <c r="J6" s="106"/>
      <c r="K6" s="106"/>
      <c r="L6" s="106"/>
      <c r="M6" s="106"/>
      <c r="N6" s="106"/>
      <c r="O6" s="106"/>
    </row>
    <row r="7" spans="2:19" ht="3" customHeight="1" x14ac:dyDescent="0.25"/>
    <row r="8" spans="2:19" ht="3.95" customHeight="1" x14ac:dyDescent="0.25">
      <c r="B8" s="106"/>
      <c r="C8" s="106"/>
      <c r="D8" s="106"/>
      <c r="E8" s="106"/>
      <c r="F8" s="106"/>
      <c r="G8" s="106"/>
      <c r="H8" s="106"/>
      <c r="I8" s="106"/>
      <c r="J8" s="106"/>
      <c r="K8" s="106"/>
      <c r="L8" s="106"/>
      <c r="M8" s="106"/>
      <c r="N8" s="106"/>
      <c r="O8" s="106"/>
    </row>
    <row r="9" spans="2:19" ht="3.95" customHeight="1" x14ac:dyDescent="0.25">
      <c r="B9" s="106"/>
      <c r="O9" s="106"/>
    </row>
    <row r="10" spans="2:19" ht="15.75" customHeight="1" x14ac:dyDescent="0.25">
      <c r="B10" s="106"/>
      <c r="D10" s="387" t="s">
        <v>3</v>
      </c>
      <c r="E10" s="387"/>
      <c r="F10" s="107">
        <v>2015</v>
      </c>
      <c r="G10" s="108" t="s">
        <v>4</v>
      </c>
      <c r="H10" s="107" t="s">
        <v>342</v>
      </c>
      <c r="O10" s="106"/>
    </row>
    <row r="11" spans="2:19" ht="3.95" customHeight="1" x14ac:dyDescent="0.25">
      <c r="B11" s="106"/>
      <c r="D11" s="109"/>
      <c r="O11" s="106"/>
    </row>
    <row r="12" spans="2:19" ht="36" customHeight="1" x14ac:dyDescent="0.25">
      <c r="B12" s="106"/>
      <c r="D12" s="378" t="s">
        <v>5</v>
      </c>
      <c r="E12" s="379"/>
      <c r="F12" s="389" t="s">
        <v>1355</v>
      </c>
      <c r="G12" s="390"/>
      <c r="H12" s="390"/>
      <c r="I12" s="390"/>
      <c r="J12" s="390"/>
      <c r="K12" s="390"/>
      <c r="L12" s="390"/>
      <c r="M12" s="391"/>
      <c r="O12" s="106"/>
      <c r="Q12" s="110" t="s">
        <v>1977</v>
      </c>
      <c r="S12" s="111">
        <v>154</v>
      </c>
    </row>
    <row r="13" spans="2:19" ht="3.95" customHeight="1" x14ac:dyDescent="0.25">
      <c r="B13" s="106"/>
      <c r="O13" s="106"/>
    </row>
    <row r="14" spans="2:19" ht="38.25" customHeight="1" x14ac:dyDescent="0.25">
      <c r="B14" s="106"/>
      <c r="D14" s="378" t="s">
        <v>6</v>
      </c>
      <c r="E14" s="379"/>
      <c r="F14" s="389" t="s">
        <v>1327</v>
      </c>
      <c r="G14" s="390"/>
      <c r="H14" s="390"/>
      <c r="I14" s="390"/>
      <c r="J14" s="390"/>
      <c r="K14" s="390"/>
      <c r="L14" s="390"/>
      <c r="M14" s="391"/>
      <c r="O14" s="106"/>
    </row>
    <row r="15" spans="2:19" ht="3.95" customHeight="1" x14ac:dyDescent="0.25">
      <c r="B15" s="106"/>
      <c r="O15" s="106"/>
    </row>
    <row r="16" spans="2:19" ht="3" customHeight="1" x14ac:dyDescent="0.25">
      <c r="B16" s="106"/>
      <c r="C16" s="106"/>
      <c r="D16" s="106"/>
      <c r="E16" s="106"/>
      <c r="F16" s="106"/>
      <c r="G16" s="106"/>
      <c r="H16" s="106"/>
      <c r="I16" s="106"/>
      <c r="J16" s="106"/>
      <c r="K16" s="106"/>
      <c r="L16" s="106"/>
      <c r="M16" s="106"/>
      <c r="N16" s="106"/>
      <c r="O16" s="106"/>
    </row>
    <row r="17" spans="2:17" ht="3" customHeight="1" x14ac:dyDescent="0.25"/>
    <row r="18" spans="2:17" ht="3" customHeight="1" x14ac:dyDescent="0.25">
      <c r="B18" s="106"/>
      <c r="C18" s="106"/>
      <c r="D18" s="106"/>
      <c r="E18" s="106"/>
      <c r="F18" s="106"/>
      <c r="G18" s="106"/>
      <c r="H18" s="106"/>
      <c r="I18" s="106"/>
      <c r="J18" s="106"/>
      <c r="K18" s="106"/>
      <c r="L18" s="106"/>
      <c r="M18" s="106"/>
      <c r="N18" s="106"/>
      <c r="O18" s="106"/>
    </row>
    <row r="19" spans="2:17" ht="3.95" customHeight="1" x14ac:dyDescent="0.25">
      <c r="B19" s="106"/>
      <c r="O19" s="106"/>
    </row>
    <row r="20" spans="2:17" x14ac:dyDescent="0.25">
      <c r="B20" s="106"/>
      <c r="D20" s="112" t="s">
        <v>7</v>
      </c>
      <c r="O20" s="106"/>
    </row>
    <row r="21" spans="2:17" ht="3.95" customHeight="1" x14ac:dyDescent="0.25">
      <c r="B21" s="106"/>
      <c r="O21" s="106"/>
    </row>
    <row r="22" spans="2:17" ht="18.75" customHeight="1" x14ac:dyDescent="0.25">
      <c r="B22" s="106"/>
      <c r="D22" s="387" t="s">
        <v>8</v>
      </c>
      <c r="E22" s="387"/>
      <c r="F22" s="113" t="s">
        <v>1978</v>
      </c>
      <c r="G22" s="387" t="s">
        <v>9</v>
      </c>
      <c r="H22" s="387"/>
      <c r="I22" s="114">
        <f>+IFERROR(VLOOKUP($S$12,[1]Hoja1!$B$5:$AT$190,19,FALSE),"")</f>
        <v>1</v>
      </c>
      <c r="K22" s="387" t="s">
        <v>10</v>
      </c>
      <c r="L22" s="387"/>
      <c r="M22" s="115" t="str">
        <f>+IFERROR(VLOOKUP($S$12,[1]Hoja1!$B$5:$AT$190,22,FALSE),"")</f>
        <v>Si</v>
      </c>
      <c r="O22" s="106"/>
    </row>
    <row r="23" spans="2:17" ht="19.5" customHeight="1" x14ac:dyDescent="0.25">
      <c r="B23" s="106"/>
      <c r="D23" s="387" t="s">
        <v>11</v>
      </c>
      <c r="E23" s="387"/>
      <c r="F23" s="107" t="str">
        <f>+IFERROR(VLOOKUP($S$12,[1]Hoja1!$B$5:$AT$190,33,FALSE),"")</f>
        <v>Mensual</v>
      </c>
      <c r="G23" s="387" t="s">
        <v>12</v>
      </c>
      <c r="H23" s="387"/>
      <c r="I23" s="107" t="str">
        <f>+IFERROR(VLOOKUP($S$12,[1]Hoja1!$B$5:$AT$190,21,FALSE),"")</f>
        <v>Porcentaje</v>
      </c>
      <c r="K23" s="387" t="s">
        <v>13</v>
      </c>
      <c r="L23" s="387"/>
      <c r="M23" s="115" t="str">
        <f>+IFERROR(VLOOKUP($S$12,[1]Hoja1!$B$5:$AT$190,23,FALSE),"")</f>
        <v>No</v>
      </c>
      <c r="O23" s="106"/>
    </row>
    <row r="24" spans="2:17" ht="20.100000000000001" customHeight="1" x14ac:dyDescent="0.25">
      <c r="B24" s="106"/>
      <c r="D24" s="387" t="s">
        <v>14</v>
      </c>
      <c r="E24" s="387"/>
      <c r="F24" s="107" t="s">
        <v>498</v>
      </c>
      <c r="G24" s="387" t="s">
        <v>15</v>
      </c>
      <c r="H24" s="387"/>
      <c r="I24" s="107" t="s">
        <v>103</v>
      </c>
      <c r="K24" s="387" t="s">
        <v>16</v>
      </c>
      <c r="L24" s="387"/>
      <c r="M24" s="115" t="str">
        <f>+IFERROR(VLOOKUP($S$12,[1]Hoja1!$B$5:$AT$190,24,FALSE),"")</f>
        <v>No</v>
      </c>
      <c r="O24" s="106"/>
    </row>
    <row r="25" spans="2:17" ht="20.100000000000001" customHeight="1" x14ac:dyDescent="0.25">
      <c r="B25" s="106"/>
      <c r="D25" s="387" t="s">
        <v>17</v>
      </c>
      <c r="E25" s="387"/>
      <c r="F25" s="107" t="str">
        <f>+IFERROR(VLOOKUP($S$12,[1]Hoja1!$B$5:$AT$190,18,FALSE),"")</f>
        <v>Eficiencia</v>
      </c>
      <c r="O25" s="106"/>
    </row>
    <row r="26" spans="2:17" ht="3.95" customHeight="1" x14ac:dyDescent="0.25">
      <c r="B26" s="106"/>
      <c r="O26" s="106"/>
    </row>
    <row r="27" spans="2:17" x14ac:dyDescent="0.25">
      <c r="B27" s="106"/>
      <c r="D27" s="112" t="s">
        <v>18</v>
      </c>
      <c r="O27" s="106"/>
    </row>
    <row r="28" spans="2:17" ht="3.95" customHeight="1" x14ac:dyDescent="0.25">
      <c r="B28" s="106"/>
      <c r="O28" s="106"/>
    </row>
    <row r="29" spans="2:17" ht="36" customHeight="1" x14ac:dyDescent="0.25">
      <c r="B29" s="106"/>
      <c r="D29" s="393" t="s">
        <v>19</v>
      </c>
      <c r="E29" s="393"/>
      <c r="F29" s="344" t="s">
        <v>891</v>
      </c>
      <c r="G29" s="344"/>
      <c r="H29" s="344"/>
      <c r="I29" s="344"/>
      <c r="J29" s="344"/>
      <c r="K29" s="344"/>
      <c r="L29" s="344"/>
      <c r="M29" s="344"/>
      <c r="O29" s="106"/>
      <c r="P29" s="105" t="s">
        <v>1985</v>
      </c>
    </row>
    <row r="30" spans="2:17" ht="18" customHeight="1" x14ac:dyDescent="0.25">
      <c r="B30" s="106"/>
      <c r="D30" s="404" t="s">
        <v>21</v>
      </c>
      <c r="E30" s="405"/>
      <c r="F30" s="10" t="s">
        <v>22</v>
      </c>
      <c r="G30" s="349" t="s">
        <v>5</v>
      </c>
      <c r="H30" s="350"/>
      <c r="I30" s="350"/>
      <c r="J30" s="350"/>
      <c r="K30" s="350"/>
      <c r="L30" s="350"/>
      <c r="M30" s="351"/>
      <c r="O30" s="106"/>
      <c r="Q30" s="105" t="str">
        <f>+IFERROR(VLOOKUP(G31,[1]base!$A$9:$C$25,3,FALSE),"")</f>
        <v>soporte</v>
      </c>
    </row>
    <row r="31" spans="2:17" ht="24" customHeight="1" x14ac:dyDescent="0.25">
      <c r="B31" s="106"/>
      <c r="D31" s="406"/>
      <c r="E31" s="407"/>
      <c r="F31" s="4" t="s">
        <v>257</v>
      </c>
      <c r="G31" s="340" t="s">
        <v>258</v>
      </c>
      <c r="H31" s="341"/>
      <c r="I31" s="341"/>
      <c r="J31" s="341"/>
      <c r="K31" s="341"/>
      <c r="L31" s="341"/>
      <c r="M31" s="342"/>
      <c r="O31" s="106"/>
    </row>
    <row r="32" spans="2:17" ht="18" customHeight="1" x14ac:dyDescent="0.25">
      <c r="B32" s="106"/>
      <c r="D32" s="404" t="s">
        <v>23</v>
      </c>
      <c r="E32" s="405"/>
      <c r="F32" s="10" t="s">
        <v>22</v>
      </c>
      <c r="G32" s="349" t="s">
        <v>5</v>
      </c>
      <c r="H32" s="350"/>
      <c r="I32" s="350"/>
      <c r="J32" s="350"/>
      <c r="K32" s="350"/>
      <c r="L32" s="350"/>
      <c r="M32" s="351"/>
      <c r="O32" s="106"/>
    </row>
    <row r="33" spans="2:17" ht="24" customHeight="1" x14ac:dyDescent="0.25">
      <c r="B33" s="106"/>
      <c r="D33" s="406"/>
      <c r="E33" s="407"/>
      <c r="F33" s="11" t="s">
        <v>1600</v>
      </c>
      <c r="G33" s="340" t="s">
        <v>991</v>
      </c>
      <c r="H33" s="341"/>
      <c r="I33" s="341"/>
      <c r="J33" s="341"/>
      <c r="K33" s="341"/>
      <c r="L33" s="341"/>
      <c r="M33" s="342"/>
      <c r="O33" s="106"/>
      <c r="Q33" s="105">
        <f>+IFERROR(IF(VLOOKUP(G33,[1]base!$A$26:$C$40,3,FALSE)=F31,1,0),"")</f>
        <v>1</v>
      </c>
    </row>
    <row r="34" spans="2:17" ht="18" customHeight="1" x14ac:dyDescent="0.25">
      <c r="B34" s="106"/>
      <c r="D34" s="404" t="s">
        <v>24</v>
      </c>
      <c r="E34" s="405"/>
      <c r="F34" s="116" t="s">
        <v>22</v>
      </c>
      <c r="G34" s="408" t="s">
        <v>5</v>
      </c>
      <c r="H34" s="409"/>
      <c r="I34" s="409"/>
      <c r="J34" s="409"/>
      <c r="K34" s="409"/>
      <c r="L34" s="409"/>
      <c r="M34" s="410"/>
      <c r="O34" s="106"/>
    </row>
    <row r="35" spans="2:17" ht="36" customHeight="1" x14ac:dyDescent="0.25">
      <c r="B35" s="106"/>
      <c r="D35" s="406"/>
      <c r="E35" s="407"/>
      <c r="F35" s="4" t="s">
        <v>1716</v>
      </c>
      <c r="G35" s="340" t="s">
        <v>1592</v>
      </c>
      <c r="H35" s="341"/>
      <c r="I35" s="341"/>
      <c r="J35" s="341"/>
      <c r="K35" s="341"/>
      <c r="L35" s="341"/>
      <c r="M35" s="342"/>
      <c r="O35" s="106"/>
    </row>
    <row r="36" spans="2:17" ht="3.95" customHeight="1" x14ac:dyDescent="0.25">
      <c r="B36" s="106"/>
      <c r="O36" s="106"/>
    </row>
    <row r="37" spans="2:17" ht="3" customHeight="1" x14ac:dyDescent="0.25">
      <c r="B37" s="106"/>
      <c r="C37" s="106"/>
      <c r="D37" s="106"/>
      <c r="E37" s="106"/>
      <c r="F37" s="106"/>
      <c r="G37" s="106"/>
      <c r="H37" s="106"/>
      <c r="I37" s="106"/>
      <c r="J37" s="106"/>
      <c r="K37" s="106"/>
      <c r="L37" s="106"/>
      <c r="M37" s="106"/>
      <c r="N37" s="106"/>
      <c r="O37" s="106"/>
    </row>
    <row r="38" spans="2:17" ht="3" customHeight="1" x14ac:dyDescent="0.25"/>
    <row r="39" spans="2:17" ht="3" customHeight="1" x14ac:dyDescent="0.25">
      <c r="B39" s="106"/>
      <c r="C39" s="106"/>
      <c r="D39" s="106"/>
      <c r="E39" s="106"/>
      <c r="F39" s="106"/>
      <c r="G39" s="106"/>
      <c r="H39" s="106"/>
      <c r="I39" s="106"/>
      <c r="J39" s="106"/>
      <c r="K39" s="106"/>
      <c r="L39" s="106"/>
      <c r="M39" s="106"/>
      <c r="N39" s="106"/>
      <c r="O39" s="106"/>
    </row>
    <row r="40" spans="2:17" ht="3.95" customHeight="1" x14ac:dyDescent="0.25">
      <c r="B40" s="106"/>
      <c r="D40" s="112"/>
      <c r="O40" s="106"/>
    </row>
    <row r="41" spans="2:17" x14ac:dyDescent="0.25">
      <c r="B41" s="106"/>
      <c r="D41" s="112" t="s">
        <v>25</v>
      </c>
      <c r="O41" s="106"/>
    </row>
    <row r="42" spans="2:17" ht="3.95" customHeight="1" x14ac:dyDescent="0.25">
      <c r="B42" s="106"/>
      <c r="O42" s="106"/>
    </row>
    <row r="43" spans="2:17" ht="20.100000000000001" customHeight="1" x14ac:dyDescent="0.25">
      <c r="B43" s="106"/>
      <c r="D43" s="387" t="s">
        <v>26</v>
      </c>
      <c r="E43" s="387"/>
      <c r="F43" s="107" t="s">
        <v>2</v>
      </c>
      <c r="O43" s="106"/>
    </row>
    <row r="44" spans="2:17" ht="18" customHeight="1" x14ac:dyDescent="0.25">
      <c r="B44" s="106"/>
      <c r="D44" s="397" t="s">
        <v>27</v>
      </c>
      <c r="E44" s="398"/>
      <c r="F44" s="118" t="s">
        <v>22</v>
      </c>
      <c r="G44" s="401" t="s">
        <v>5</v>
      </c>
      <c r="H44" s="402"/>
      <c r="I44" s="402"/>
      <c r="J44" s="402"/>
      <c r="K44" s="402"/>
      <c r="L44" s="402"/>
      <c r="M44" s="403"/>
      <c r="O44" s="106"/>
    </row>
    <row r="45" spans="2:17" ht="18" customHeight="1" x14ac:dyDescent="0.25">
      <c r="B45" s="106"/>
      <c r="D45" s="399"/>
      <c r="E45" s="400"/>
      <c r="F45" s="107" t="str">
        <f>+IFERROR(VLOOKUP(G45,[1]base!$A$41:$B$45,2,FALSE),"")</f>
        <v>LP5</v>
      </c>
      <c r="G45" s="389" t="str">
        <f>+IFERROR(VLOOKUP($S$12,[1]Hoja1!$B$5:$AT$190,6,FALSE),"")</f>
        <v>Gestión Financiera</v>
      </c>
      <c r="H45" s="390"/>
      <c r="I45" s="390"/>
      <c r="J45" s="390"/>
      <c r="K45" s="390"/>
      <c r="L45" s="390"/>
      <c r="M45" s="391"/>
      <c r="O45" s="106"/>
      <c r="Q45" s="105" t="str">
        <f>+IFERROR(VLOOKUP(G45,[1]base!$A$41:$C$45,3,FALSE),"")</f>
        <v>financiera</v>
      </c>
    </row>
    <row r="46" spans="2:17" ht="18" customHeight="1" x14ac:dyDescent="0.25">
      <c r="B46" s="106"/>
      <c r="D46" s="397" t="s">
        <v>28</v>
      </c>
      <c r="E46" s="398"/>
      <c r="F46" s="118" t="s">
        <v>22</v>
      </c>
      <c r="G46" s="401" t="s">
        <v>5</v>
      </c>
      <c r="H46" s="402"/>
      <c r="I46" s="402"/>
      <c r="J46" s="402"/>
      <c r="K46" s="402"/>
      <c r="L46" s="402"/>
      <c r="M46" s="403"/>
      <c r="O46" s="106"/>
    </row>
    <row r="47" spans="2:17" ht="18" customHeight="1" x14ac:dyDescent="0.25">
      <c r="B47" s="106"/>
      <c r="D47" s="399"/>
      <c r="E47" s="400"/>
      <c r="F47" s="107" t="str">
        <f>+IFERROR(VLOOKUP(G47,[1]base!$A$46:$B$66,2,FALSE),"")</f>
        <v/>
      </c>
      <c r="G47" s="389"/>
      <c r="H47" s="390"/>
      <c r="I47" s="390"/>
      <c r="J47" s="390"/>
      <c r="K47" s="390"/>
      <c r="L47" s="390"/>
      <c r="M47" s="391"/>
      <c r="O47" s="106"/>
      <c r="Q47" s="105" t="e">
        <f>+IF(VLOOKUP(G47,[1]base!$A$46:$C$66,3,FALSE)=F45,1,0)</f>
        <v>#N/A</v>
      </c>
    </row>
    <row r="48" spans="2:17" ht="18" customHeight="1" x14ac:dyDescent="0.25">
      <c r="B48" s="106"/>
      <c r="D48" s="397" t="s">
        <v>29</v>
      </c>
      <c r="E48" s="398"/>
      <c r="F48" s="118" t="s">
        <v>22</v>
      </c>
      <c r="G48" s="401" t="s">
        <v>5</v>
      </c>
      <c r="H48" s="402"/>
      <c r="I48" s="402"/>
      <c r="J48" s="402"/>
      <c r="K48" s="402"/>
      <c r="L48" s="402"/>
      <c r="M48" s="403"/>
      <c r="O48" s="106"/>
    </row>
    <row r="49" spans="2:15" ht="29.25" customHeight="1" x14ac:dyDescent="0.25">
      <c r="B49" s="106"/>
      <c r="D49" s="399"/>
      <c r="E49" s="400"/>
      <c r="F49" s="119" t="str">
        <f>+IFERROR(VLOOKUP(G49,[1]base!$G$37:$H$47,2,FALSE),"")</f>
        <v>C-310-300-2</v>
      </c>
      <c r="G49" s="389" t="s">
        <v>899</v>
      </c>
      <c r="H49" s="390"/>
      <c r="I49" s="390"/>
      <c r="J49" s="390"/>
      <c r="K49" s="390"/>
      <c r="L49" s="390"/>
      <c r="M49" s="391"/>
      <c r="O49" s="106"/>
    </row>
    <row r="50" spans="2:15" ht="3.95" customHeight="1" x14ac:dyDescent="0.25">
      <c r="B50" s="106"/>
      <c r="O50" s="106"/>
    </row>
    <row r="51" spans="2:15" ht="20.100000000000001" customHeight="1" x14ac:dyDescent="0.25">
      <c r="B51" s="106"/>
      <c r="D51" s="387" t="s">
        <v>31</v>
      </c>
      <c r="E51" s="387"/>
      <c r="F51" s="107" t="str">
        <f>+IFERROR(VLOOKUP($S$12,[1]Hoja1!$B$5:$AT$190,26,FALSE),"")</f>
        <v>No</v>
      </c>
      <c r="G51" s="387" t="s">
        <v>32</v>
      </c>
      <c r="H51" s="387"/>
      <c r="I51" s="120" t="str">
        <f>+IFERROR(IF(F51="No","",VLOOKUP($S$12,[1]Hoja1!$B$5:$AT$190,20,FALSE)),"")</f>
        <v/>
      </c>
      <c r="O51" s="106"/>
    </row>
    <row r="52" spans="2:15" ht="3.95" customHeight="1" x14ac:dyDescent="0.25">
      <c r="B52" s="106"/>
      <c r="O52" s="106"/>
    </row>
    <row r="53" spans="2:15" ht="3" customHeight="1" x14ac:dyDescent="0.25">
      <c r="B53" s="106"/>
      <c r="C53" s="106"/>
      <c r="D53" s="106"/>
      <c r="E53" s="106"/>
      <c r="F53" s="106"/>
      <c r="G53" s="106"/>
      <c r="H53" s="106"/>
      <c r="I53" s="106"/>
      <c r="J53" s="106"/>
      <c r="K53" s="106"/>
      <c r="L53" s="106"/>
      <c r="M53" s="106"/>
      <c r="N53" s="106"/>
      <c r="O53" s="106"/>
    </row>
    <row r="54" spans="2:15" ht="3" customHeight="1" x14ac:dyDescent="0.25"/>
    <row r="55" spans="2:15" ht="3.95" customHeight="1" x14ac:dyDescent="0.25">
      <c r="B55" s="106"/>
      <c r="C55" s="106"/>
      <c r="D55" s="106"/>
      <c r="E55" s="106"/>
      <c r="F55" s="106"/>
      <c r="G55" s="106"/>
      <c r="H55" s="106"/>
      <c r="I55" s="106"/>
      <c r="J55" s="106"/>
      <c r="K55" s="106"/>
      <c r="L55" s="106"/>
      <c r="M55" s="106"/>
      <c r="N55" s="106"/>
      <c r="O55" s="106"/>
    </row>
    <row r="56" spans="2:15" ht="3.95" customHeight="1" x14ac:dyDescent="0.25">
      <c r="B56" s="106"/>
      <c r="O56" s="106"/>
    </row>
    <row r="57" spans="2:15" x14ac:dyDescent="0.25">
      <c r="B57" s="106"/>
      <c r="D57" s="112" t="s">
        <v>33</v>
      </c>
      <c r="O57" s="106"/>
    </row>
    <row r="58" spans="2:15" ht="3.95" customHeight="1" x14ac:dyDescent="0.25">
      <c r="B58" s="106"/>
      <c r="O58" s="106"/>
    </row>
    <row r="59" spans="2:15" ht="30" customHeight="1" x14ac:dyDescent="0.25">
      <c r="B59" s="106"/>
      <c r="D59" s="387" t="s">
        <v>34</v>
      </c>
      <c r="E59" s="387"/>
      <c r="F59" s="370" t="str">
        <f>+IF(F60="","",F60&amp;" / "&amp;F61)</f>
        <v>Recursos Comprometidos / Meta Mensual de Compromisos</v>
      </c>
      <c r="G59" s="370"/>
      <c r="H59" s="370"/>
      <c r="I59" s="370"/>
      <c r="J59" s="370"/>
      <c r="K59" s="370"/>
      <c r="L59" s="370"/>
      <c r="M59" s="370"/>
      <c r="O59" s="106"/>
    </row>
    <row r="60" spans="2:15" ht="30" customHeight="1" x14ac:dyDescent="0.25">
      <c r="B60" s="106"/>
      <c r="D60" s="369" t="s">
        <v>35</v>
      </c>
      <c r="E60" s="369"/>
      <c r="F60" s="370" t="str">
        <f>+IFERROR(VLOOKUP($S$12,[1]Hoja1!$B$5:$AT$190,28,FALSE),"")</f>
        <v>Recursos Comprometidos</v>
      </c>
      <c r="G60" s="370"/>
      <c r="H60" s="370"/>
      <c r="I60" s="370"/>
      <c r="J60" s="370"/>
      <c r="K60" s="370"/>
      <c r="L60" s="370"/>
      <c r="M60" s="370"/>
      <c r="O60" s="106"/>
    </row>
    <row r="61" spans="2:15" ht="30" customHeight="1" x14ac:dyDescent="0.25">
      <c r="B61" s="106"/>
      <c r="D61" s="369" t="s">
        <v>36</v>
      </c>
      <c r="E61" s="369"/>
      <c r="F61" s="389" t="str">
        <f>+IFERROR(VLOOKUP($S$12,[1]Hoja1!$B$5:$AT$190,30,FALSE),"")</f>
        <v>Meta Mensual de Compromisos</v>
      </c>
      <c r="G61" s="390"/>
      <c r="H61" s="390"/>
      <c r="I61" s="390"/>
      <c r="J61" s="390"/>
      <c r="K61" s="390"/>
      <c r="L61" s="390"/>
      <c r="M61" s="391"/>
      <c r="O61" s="106"/>
    </row>
    <row r="62" spans="2:15" ht="3.95" customHeight="1" x14ac:dyDescent="0.25">
      <c r="B62" s="106"/>
      <c r="O62" s="106"/>
    </row>
    <row r="63" spans="2:15" ht="3" customHeight="1" x14ac:dyDescent="0.25">
      <c r="B63" s="106"/>
      <c r="C63" s="106"/>
      <c r="D63" s="106"/>
      <c r="E63" s="106"/>
      <c r="F63" s="106"/>
      <c r="G63" s="106"/>
      <c r="H63" s="106"/>
      <c r="I63" s="106"/>
      <c r="J63" s="106"/>
      <c r="K63" s="106"/>
      <c r="L63" s="106"/>
      <c r="M63" s="106"/>
      <c r="N63" s="106"/>
      <c r="O63" s="106"/>
    </row>
    <row r="64" spans="2:15" x14ac:dyDescent="0.25">
      <c r="M64" s="121" t="s">
        <v>37</v>
      </c>
    </row>
    <row r="65" spans="2:45" ht="3" customHeight="1" x14ac:dyDescent="0.25">
      <c r="B65" s="106"/>
      <c r="C65" s="106"/>
      <c r="D65" s="106"/>
      <c r="E65" s="106"/>
      <c r="F65" s="106"/>
      <c r="G65" s="106"/>
      <c r="H65" s="106"/>
      <c r="I65" s="106"/>
      <c r="J65" s="106"/>
      <c r="K65" s="106"/>
      <c r="L65" s="106"/>
      <c r="M65" s="106"/>
      <c r="N65" s="106"/>
      <c r="O65" s="106"/>
    </row>
    <row r="66" spans="2:45" ht="3.95" customHeight="1" x14ac:dyDescent="0.25">
      <c r="B66" s="106"/>
      <c r="O66" s="106"/>
    </row>
    <row r="67" spans="2:45" x14ac:dyDescent="0.25">
      <c r="B67" s="106"/>
      <c r="D67" s="392" t="s">
        <v>38</v>
      </c>
      <c r="E67" s="392"/>
      <c r="O67" s="106"/>
    </row>
    <row r="68" spans="2:45" ht="3.95" customHeight="1" x14ac:dyDescent="0.25">
      <c r="B68" s="106"/>
      <c r="D68" s="112"/>
      <c r="E68" s="112"/>
      <c r="O68" s="106"/>
    </row>
    <row r="69" spans="2:45" ht="18.75" customHeight="1" x14ac:dyDescent="0.25">
      <c r="B69" s="106"/>
      <c r="O69" s="106"/>
      <c r="Q69" s="122" t="s">
        <v>11</v>
      </c>
      <c r="S69" s="105" t="str">
        <f>+IF(F23=0,"",F23)</f>
        <v>Mensual</v>
      </c>
      <c r="U69" s="105">
        <f>+IFERROR(VLOOKUP(S69,[1]base!$H$23:$I$28,2,FALSE),"")</f>
        <v>1</v>
      </c>
    </row>
    <row r="70" spans="2:45" ht="3.95" customHeight="1" x14ac:dyDescent="0.25">
      <c r="B70" s="106"/>
      <c r="D70" s="112"/>
      <c r="E70" s="112"/>
      <c r="O70" s="106"/>
    </row>
    <row r="71" spans="2:45" ht="18.75" customHeight="1" x14ac:dyDescent="0.25">
      <c r="B71" s="106"/>
      <c r="D71" s="393" t="s">
        <v>39</v>
      </c>
      <c r="E71" s="393"/>
      <c r="F71" s="107" t="s">
        <v>47</v>
      </c>
      <c r="G71" s="105">
        <f>+IFERROR(VLOOKUP(F71,$AE$75:$AF$86,2,FALSE),"")</f>
        <v>3</v>
      </c>
      <c r="O71" s="106"/>
      <c r="Q71" s="122" t="s">
        <v>14</v>
      </c>
      <c r="S71" s="105" t="str">
        <f>+IF(F24=0,"",F24)</f>
        <v>Creciente</v>
      </c>
    </row>
    <row r="72" spans="2:45" ht="3.95" customHeight="1" x14ac:dyDescent="0.25">
      <c r="B72" s="106"/>
      <c r="D72" s="112"/>
      <c r="E72" s="112"/>
      <c r="O72" s="106"/>
    </row>
    <row r="73" spans="2:45" x14ac:dyDescent="0.25">
      <c r="B73" s="106"/>
      <c r="D73" s="394" t="s">
        <v>41</v>
      </c>
      <c r="E73" s="394"/>
      <c r="F73" s="395" t="s">
        <v>42</v>
      </c>
      <c r="G73" s="396"/>
      <c r="H73" s="395" t="s">
        <v>43</v>
      </c>
      <c r="I73" s="396"/>
      <c r="J73" s="395" t="s">
        <v>44</v>
      </c>
      <c r="K73" s="396"/>
      <c r="L73" s="395" t="s">
        <v>45</v>
      </c>
      <c r="M73" s="396"/>
      <c r="O73" s="106"/>
      <c r="S73" s="111">
        <f>+IFERROR(VLOOKUP(S74,$AE$75:$AK$86,7,FALSE),"")</f>
        <v>0</v>
      </c>
      <c r="U73" s="111">
        <f>+IFERROR(VLOOKUP(U74,$AE$75:$AK$86,7,FALSE),"")</f>
        <v>0</v>
      </c>
      <c r="W73" s="111">
        <f>+IFERROR(VLOOKUP(W74,$AE$75:$AK$86,7,FALSE),"")</f>
        <v>1</v>
      </c>
      <c r="Y73" s="111">
        <f>+IFERROR(VLOOKUP(Y74,$AE$75:$AK$86,7,FALSE),"")</f>
        <v>1</v>
      </c>
      <c r="AA73" s="111">
        <f>+IFERROR(VLOOKUP(AA74,$AE$75:$AK$86,7,FALSE),"")</f>
        <v>1</v>
      </c>
      <c r="AC73" s="111">
        <f>+IFERROR(VLOOKUP(AC74,$AE$75:$AK$86,7,FALSE),"")</f>
        <v>1</v>
      </c>
      <c r="AL73" s="388" t="s">
        <v>42</v>
      </c>
      <c r="AM73" s="388"/>
      <c r="AN73" s="388" t="s">
        <v>43</v>
      </c>
      <c r="AO73" s="388"/>
      <c r="AP73" s="388" t="s">
        <v>44</v>
      </c>
      <c r="AQ73" s="388"/>
      <c r="AR73" s="388" t="s">
        <v>45</v>
      </c>
      <c r="AS73" s="388"/>
    </row>
    <row r="74" spans="2:45" x14ac:dyDescent="0.25">
      <c r="B74" s="106"/>
      <c r="D74" s="394"/>
      <c r="E74" s="394"/>
      <c r="F74" s="123" t="str">
        <f>+IF($F$24="Decreciente","Max","Min")</f>
        <v>Min</v>
      </c>
      <c r="G74" s="123" t="str">
        <f>+IF($F$24="Decreciente","MIn","Max")</f>
        <v>Max</v>
      </c>
      <c r="H74" s="123" t="str">
        <f>+IF($F$24="Decreciente","Max","Min")</f>
        <v>Min</v>
      </c>
      <c r="I74" s="123" t="str">
        <f>+IF($F$24="Decreciente","MIn","Max")</f>
        <v>Max</v>
      </c>
      <c r="J74" s="123" t="str">
        <f>+IF($F$24="Decreciente","Max","Min")</f>
        <v>Min</v>
      </c>
      <c r="K74" s="123" t="str">
        <f>+IF($F$24="Decreciente","MIn","Max")</f>
        <v>Max</v>
      </c>
      <c r="L74" s="123" t="str">
        <f>+IF($F$24="Decreciente","Max","Min")</f>
        <v>Min</v>
      </c>
      <c r="M74" s="123" t="str">
        <f>+IF($F$24="Decreciente","MIn","Max")</f>
        <v>Max</v>
      </c>
      <c r="O74" s="106"/>
      <c r="S74" s="124" t="s">
        <v>46</v>
      </c>
      <c r="T74" s="124"/>
      <c r="U74" s="124" t="s">
        <v>40</v>
      </c>
      <c r="V74" s="124"/>
      <c r="W74" s="124" t="s">
        <v>47</v>
      </c>
      <c r="X74" s="124"/>
      <c r="Y74" s="124" t="s">
        <v>48</v>
      </c>
      <c r="Z74" s="124"/>
      <c r="AA74" s="124" t="s">
        <v>49</v>
      </c>
      <c r="AB74" s="124"/>
      <c r="AC74" s="124" t="s">
        <v>50</v>
      </c>
      <c r="AL74" s="125" t="s">
        <v>51</v>
      </c>
      <c r="AM74" s="125" t="s">
        <v>52</v>
      </c>
      <c r="AN74" s="125" t="s">
        <v>51</v>
      </c>
      <c r="AO74" s="125" t="s">
        <v>52</v>
      </c>
      <c r="AP74" s="125" t="s">
        <v>51</v>
      </c>
      <c r="AQ74" s="125" t="s">
        <v>52</v>
      </c>
      <c r="AR74" s="125" t="s">
        <v>51</v>
      </c>
      <c r="AS74" s="125" t="s">
        <v>52</v>
      </c>
    </row>
    <row r="75" spans="2:45" x14ac:dyDescent="0.25">
      <c r="B75" s="106"/>
      <c r="D75" s="386" t="s">
        <v>46</v>
      </c>
      <c r="E75" s="386"/>
      <c r="F75" s="126"/>
      <c r="G75" s="126"/>
      <c r="H75" s="126"/>
      <c r="I75" s="126"/>
      <c r="J75" s="126"/>
      <c r="K75" s="126"/>
      <c r="L75" s="126"/>
      <c r="M75" s="126"/>
      <c r="O75" s="106"/>
      <c r="Q75" s="122" t="s">
        <v>1980</v>
      </c>
      <c r="R75" s="111"/>
      <c r="S75" s="127"/>
      <c r="T75" s="111"/>
      <c r="U75" s="127"/>
      <c r="V75" s="111"/>
      <c r="W75" s="127"/>
      <c r="X75" s="111"/>
      <c r="Y75" s="127"/>
      <c r="Z75" s="111"/>
      <c r="AA75" s="127"/>
      <c r="AB75" s="111"/>
      <c r="AC75" s="127"/>
      <c r="AE75" s="105" t="s">
        <v>46</v>
      </c>
      <c r="AF75" s="105">
        <v>1</v>
      </c>
      <c r="AG75" s="105">
        <f>+IF(AF75&gt;=$G$71,1,0)</f>
        <v>0</v>
      </c>
      <c r="AH75" s="105">
        <f>+IF(AG75=0,0,IF(AG75=1,(SUM($AG$75:AG75)-1),1))</f>
        <v>0</v>
      </c>
      <c r="AI75" s="105">
        <f>+IF(AH75=0,0,IF(MOD(AH75,$U$69)=0,1,0))</f>
        <v>0</v>
      </c>
      <c r="AJ75" s="105">
        <f>+IF(AE75=$F$71,1,0)</f>
        <v>0</v>
      </c>
      <c r="AK75" s="105">
        <f>+MAX(AI75:AJ75)</f>
        <v>0</v>
      </c>
      <c r="AL75" s="128" t="str">
        <f>+""</f>
        <v/>
      </c>
      <c r="AM75" s="128" t="str">
        <f>+IF(AK75=0,"",IF(R78="&gt;",S78+0.001,IF(R78="&lt;",S78-0.001,S78)))</f>
        <v/>
      </c>
      <c r="AN75" s="128" t="str">
        <f>+IF(R77="NA","",IF(AK75=0,"",IF(R78="≥",S78-0.001,IF(R78="≤",S78+0.001,S78))))</f>
        <v/>
      </c>
      <c r="AO75" s="128" t="str">
        <f>IF(R77="NA","",IF(AK75=0,"",IF(R77="&gt;",S77+0.001,IF(R77="&lt;",S77-0.001,S77))))</f>
        <v/>
      </c>
      <c r="AP75" s="128" t="str">
        <f>+IF(R76="NA","",IF(AK75=0,"",IF(R77="≥",S77-0.001,IF(R77="≤",S77+0.001,S77))))</f>
        <v/>
      </c>
      <c r="AQ75" s="128" t="str">
        <f>+IF(R76="NA","",IF(AK75=0,"",IF(R76="&gt;",S76+0.001,IF(R76="&lt;",S76-0.001,S76))))</f>
        <v/>
      </c>
      <c r="AR75" s="128" t="str">
        <f>IF(AK75=0,"",IF(R76="≥",S75-0.001,IF(R76="≤",S75+0.001,"")))</f>
        <v/>
      </c>
      <c r="AS75" s="128" t="str">
        <f>+IF(AK75=0,"",IF(R75="=",S75,""))</f>
        <v/>
      </c>
    </row>
    <row r="76" spans="2:45" x14ac:dyDescent="0.25">
      <c r="B76" s="106"/>
      <c r="D76" s="386" t="s">
        <v>40</v>
      </c>
      <c r="E76" s="386"/>
      <c r="F76" s="126"/>
      <c r="G76" s="126"/>
      <c r="H76" s="126"/>
      <c r="I76" s="126"/>
      <c r="J76" s="126"/>
      <c r="K76" s="126"/>
      <c r="L76" s="126"/>
      <c r="M76" s="126"/>
      <c r="O76" s="106"/>
      <c r="Q76" s="122" t="s">
        <v>1981</v>
      </c>
      <c r="R76" s="111"/>
      <c r="S76" s="127"/>
      <c r="T76" s="111"/>
      <c r="U76" s="127"/>
      <c r="V76" s="111"/>
      <c r="W76" s="127"/>
      <c r="X76" s="111"/>
      <c r="Y76" s="127"/>
      <c r="Z76" s="111"/>
      <c r="AA76" s="127"/>
      <c r="AB76" s="111"/>
      <c r="AC76" s="127"/>
      <c r="AE76" s="105" t="s">
        <v>40</v>
      </c>
      <c r="AF76" s="105">
        <v>2</v>
      </c>
      <c r="AG76" s="105">
        <f t="shared" ref="AG76:AG86" si="0">+IF(AF76&gt;=$G$71,1,0)</f>
        <v>0</v>
      </c>
      <c r="AH76" s="105">
        <f>+IF(AG76=0,0,IF(AG76=1,(SUM($AG$75:AG76)-1),1))</f>
        <v>0</v>
      </c>
      <c r="AI76" s="105">
        <f t="shared" ref="AI76:AI86" si="1">+IF(AH76=0,0,IF(MOD(AH76,$U$69)=0,1,0))</f>
        <v>0</v>
      </c>
      <c r="AJ76" s="105">
        <f t="shared" ref="AJ76:AJ86" si="2">+IF(AE76=$F$71,1,0)</f>
        <v>0</v>
      </c>
      <c r="AK76" s="105">
        <f t="shared" ref="AK76:AK86" si="3">+MAX(AI76:AJ76)</f>
        <v>0</v>
      </c>
      <c r="AL76" s="128" t="str">
        <f>+""</f>
        <v/>
      </c>
      <c r="AM76" s="128" t="str">
        <f>+IF(AK76=0,"",IF(T78="&gt;",U78+0.001,IF(T78="&lt;",U78-0.001,U78)))</f>
        <v/>
      </c>
      <c r="AN76" s="128" t="str">
        <f>+IF(T77="NA","",IF(AK76=0,"",IF(T78="≥",U78-0.001,IF(T78="≤",U78+0.001,U78))))</f>
        <v/>
      </c>
      <c r="AO76" s="128" t="str">
        <f>IF(T77="NA","",IF(AK76=0,"",IF(T77="&gt;",U77+0.001,IF(T77="&lt;",U77-0.001,U77))))</f>
        <v/>
      </c>
      <c r="AP76" s="128" t="str">
        <f>+IF(T76="NA","",IF(AK76=0,"",IF(T77="≥",U77-0.001,IF(T77="≤",U77+0.001,U77))))</f>
        <v/>
      </c>
      <c r="AQ76" s="128" t="str">
        <f>+IF(T76="NA","",IF(AK76=0,"",IF(T76="&gt;",U76+0.001,IF(T76="&lt;",U76-0.001,U76))))</f>
        <v/>
      </c>
      <c r="AR76" s="128" t="str">
        <f>IF(AK76=0,"",IF(T76="≥",U75-0.001,IF(T76="≤",U75+0.001,"")))</f>
        <v/>
      </c>
      <c r="AS76" s="128" t="str">
        <f>+IF(AK76=0,"",IF(T75="=",U75,""))</f>
        <v/>
      </c>
    </row>
    <row r="77" spans="2:45" x14ac:dyDescent="0.25">
      <c r="B77" s="106"/>
      <c r="D77" s="386" t="s">
        <v>47</v>
      </c>
      <c r="E77" s="386"/>
      <c r="F77" s="126"/>
      <c r="G77" s="126">
        <v>0.94</v>
      </c>
      <c r="H77" s="126">
        <v>0.94099999999999995</v>
      </c>
      <c r="I77" s="126">
        <v>0.96899999999999997</v>
      </c>
      <c r="J77" s="126">
        <v>0.97</v>
      </c>
      <c r="K77" s="126">
        <v>0.999</v>
      </c>
      <c r="L77" s="126">
        <v>1</v>
      </c>
      <c r="M77" s="126"/>
      <c r="O77" s="106"/>
      <c r="Q77" s="122" t="s">
        <v>1982</v>
      </c>
      <c r="R77" s="111"/>
      <c r="S77" s="127"/>
      <c r="T77" s="111"/>
      <c r="U77" s="127"/>
      <c r="V77" s="111"/>
      <c r="W77" s="127"/>
      <c r="X77" s="111"/>
      <c r="Y77" s="127"/>
      <c r="Z77" s="111"/>
      <c r="AA77" s="127"/>
      <c r="AB77" s="111"/>
      <c r="AC77" s="127"/>
      <c r="AE77" s="105" t="s">
        <v>47</v>
      </c>
      <c r="AF77" s="105">
        <v>3</v>
      </c>
      <c r="AG77" s="105">
        <f t="shared" si="0"/>
        <v>1</v>
      </c>
      <c r="AH77" s="105">
        <f>+IF(AG77=0,0,IF(AG77=1,(SUM($AG$75:AG77)-1),1))</f>
        <v>0</v>
      </c>
      <c r="AI77" s="105">
        <f t="shared" si="1"/>
        <v>0</v>
      </c>
      <c r="AJ77" s="105">
        <f t="shared" si="2"/>
        <v>1</v>
      </c>
      <c r="AK77" s="105">
        <f t="shared" si="3"/>
        <v>1</v>
      </c>
      <c r="AL77" s="128" t="str">
        <f>+""</f>
        <v/>
      </c>
      <c r="AM77" s="128">
        <f>+IF(AK77=0,"",IF(V78="&gt;",W78+0.001,IF(V78="&lt;",W78-0.001,W78)))</f>
        <v>0</v>
      </c>
      <c r="AN77" s="128">
        <f>+IF(V77="NA","",IF(AK77=0,"",IF(V78="≥",W78-0.001,IF(V78="≤",W78+0.001,W78))))</f>
        <v>0</v>
      </c>
      <c r="AO77" s="128">
        <f>IF(V77="NA","",IF(AK77=0,"",IF(V77="&gt;",W77+0.001,IF(V77="&lt;",W77-0.001,W77))))</f>
        <v>0</v>
      </c>
      <c r="AP77" s="128">
        <f>+IF(V76="NA","",IF(AK77=0,"",IF(V77="≥",W77-0.001,IF(V77="≤",W77+0.001,W77))))</f>
        <v>0</v>
      </c>
      <c r="AQ77" s="128">
        <f>+IF(V76="NA","",IF(AK77=0,"",IF(V76="&gt;",W76+0.001,IF(V76="&lt;",W76-0.001,W76))))</f>
        <v>0</v>
      </c>
      <c r="AR77" s="128" t="str">
        <f>IF(AK77=0,"",IF(V76="≥",W75-0.001,IF(V76="≤",W75+0.001,"")))</f>
        <v/>
      </c>
      <c r="AS77" s="128" t="str">
        <f>+IF(AK77=0,"",IF(V75="=",W75,""))</f>
        <v/>
      </c>
    </row>
    <row r="78" spans="2:45" x14ac:dyDescent="0.25">
      <c r="B78" s="106"/>
      <c r="D78" s="386" t="s">
        <v>48</v>
      </c>
      <c r="E78" s="386"/>
      <c r="F78" s="126"/>
      <c r="G78" s="126">
        <v>0.94</v>
      </c>
      <c r="H78" s="126">
        <v>0.94099999999999995</v>
      </c>
      <c r="I78" s="126">
        <v>0.96899999999999997</v>
      </c>
      <c r="J78" s="126">
        <v>0.97</v>
      </c>
      <c r="K78" s="126">
        <v>0.999</v>
      </c>
      <c r="L78" s="126">
        <v>1</v>
      </c>
      <c r="M78" s="126"/>
      <c r="O78" s="106"/>
      <c r="Q78" s="122" t="s">
        <v>1983</v>
      </c>
      <c r="R78" s="111"/>
      <c r="S78" s="127"/>
      <c r="T78" s="111"/>
      <c r="U78" s="127"/>
      <c r="V78" s="111"/>
      <c r="W78" s="127"/>
      <c r="X78" s="111"/>
      <c r="Y78" s="127"/>
      <c r="Z78" s="111"/>
      <c r="AA78" s="127"/>
      <c r="AB78" s="111"/>
      <c r="AC78" s="127"/>
      <c r="AE78" s="105" t="s">
        <v>48</v>
      </c>
      <c r="AF78" s="105">
        <v>4</v>
      </c>
      <c r="AG78" s="105">
        <f t="shared" si="0"/>
        <v>1</v>
      </c>
      <c r="AH78" s="105">
        <f>+IF(AG78=0,0,IF(AG78=1,(SUM($AG$75:AG78)-1),1))</f>
        <v>1</v>
      </c>
      <c r="AI78" s="105">
        <f t="shared" si="1"/>
        <v>1</v>
      </c>
      <c r="AJ78" s="105">
        <f t="shared" si="2"/>
        <v>0</v>
      </c>
      <c r="AK78" s="105">
        <f t="shared" si="3"/>
        <v>1</v>
      </c>
      <c r="AL78" s="128" t="str">
        <f>+""</f>
        <v/>
      </c>
      <c r="AM78" s="128">
        <f>+IF(AK78=0,"",IF(X78="&gt;",Y78+0.001,IF(X78="&lt;",Y78-0.001,Y78)))</f>
        <v>0</v>
      </c>
      <c r="AN78" s="128">
        <f>+IF(X77="NA","",IF(AK78=0,"",IF(X78="≥",Y78-0.001,IF(X78="≤",Y78+0.001,Y78))))</f>
        <v>0</v>
      </c>
      <c r="AO78" s="128">
        <f>IF(X77="NA","",IF(AK78=0,"",IF(X77="&gt;",Y77+0.001,IF(X77="&lt;",Y77-0.001,Y77))))</f>
        <v>0</v>
      </c>
      <c r="AP78" s="128">
        <f>+IF(X76="NA","",IF(AK78=0,"",IF(X77="≥",Y77-0.001,IF(X77="≤",Y77+0.001,Y77))))</f>
        <v>0</v>
      </c>
      <c r="AQ78" s="128">
        <f>+IF(X76="NA","",IF(AK78=0,"",IF(X76="&gt;",Y76+0.001,IF(X76="&lt;",Y76-0.001,Y76))))</f>
        <v>0</v>
      </c>
      <c r="AR78" s="128" t="str">
        <f>IF(AK78=0,"",IF(X76="≥",Y75-0.001,IF(X76="≤",Y75+0.001,"")))</f>
        <v/>
      </c>
      <c r="AS78" s="128" t="str">
        <f>+IF(AK78=0,"",IF(X75="=",Y75,""))</f>
        <v/>
      </c>
    </row>
    <row r="79" spans="2:45" x14ac:dyDescent="0.25">
      <c r="B79" s="106"/>
      <c r="D79" s="386" t="s">
        <v>49</v>
      </c>
      <c r="E79" s="386"/>
      <c r="F79" s="126"/>
      <c r="G79" s="126">
        <v>0.94</v>
      </c>
      <c r="H79" s="126">
        <v>0.94099999999999995</v>
      </c>
      <c r="I79" s="126">
        <v>0.96899999999999997</v>
      </c>
      <c r="J79" s="126">
        <v>0.97</v>
      </c>
      <c r="K79" s="126">
        <v>0.999</v>
      </c>
      <c r="L79" s="126">
        <v>1</v>
      </c>
      <c r="M79" s="126"/>
      <c r="O79" s="106"/>
      <c r="R79" s="111"/>
      <c r="S79" s="111">
        <f>+IFERROR(VLOOKUP(S80,$AE$75:$AK$86,7,FALSE),"")</f>
        <v>1</v>
      </c>
      <c r="U79" s="111">
        <f>+IFERROR(VLOOKUP(U80,$AE$75:$AK$86,7,FALSE),"")</f>
        <v>1</v>
      </c>
      <c r="W79" s="111">
        <f>+IFERROR(VLOOKUP(W80,$AE$75:$AK$86,7,FALSE),"")</f>
        <v>1</v>
      </c>
      <c r="Y79" s="111">
        <f>+IFERROR(VLOOKUP(Y80,$AE$75:$AK$86,7,FALSE),"")</f>
        <v>1</v>
      </c>
      <c r="AA79" s="111">
        <f>+IFERROR(VLOOKUP(AA80,$AE$75:$AK$86,7,FALSE),"")</f>
        <v>1</v>
      </c>
      <c r="AC79" s="111">
        <f>+IFERROR(VLOOKUP(AC80,$AE$75:$AK$86,7,FALSE),"")</f>
        <v>1</v>
      </c>
      <c r="AE79" s="105" t="s">
        <v>49</v>
      </c>
      <c r="AF79" s="105">
        <v>5</v>
      </c>
      <c r="AG79" s="105">
        <f t="shared" si="0"/>
        <v>1</v>
      </c>
      <c r="AH79" s="105">
        <f>+IF(AG79=0,0,IF(AG79=1,(SUM($AG$75:AG79)-1),1))</f>
        <v>2</v>
      </c>
      <c r="AI79" s="105">
        <f t="shared" si="1"/>
        <v>1</v>
      </c>
      <c r="AJ79" s="105">
        <f t="shared" si="2"/>
        <v>0</v>
      </c>
      <c r="AK79" s="105">
        <f t="shared" si="3"/>
        <v>1</v>
      </c>
      <c r="AL79" s="128" t="str">
        <f>+""</f>
        <v/>
      </c>
      <c r="AM79" s="128">
        <f>+IF(AK79=0,"",IF(Z78="&gt;",AA78+0.001,IF(Z78="&lt;",AA78-0.001,AA78)))</f>
        <v>0</v>
      </c>
      <c r="AN79" s="128">
        <f>+IF(Z77="NA","",IF(AK79=0,"",IF(Z78="≥",AA78-0.001,IF(Z78="≤",AA78+0.001,AA78))))</f>
        <v>0</v>
      </c>
      <c r="AO79" s="128">
        <f>IF(Z77="NA","",IF(AK79=0,"",IF(Z77="&gt;",AA77+0.001,IF(Z77="&lt;",AA77-0.001,AA77))))</f>
        <v>0</v>
      </c>
      <c r="AP79" s="128">
        <f>+IF(Z76="NA","",IF(AK79=0,"",IF(Z77="≥",AA77-0.001,IF(Z77="≤",AA77+0.001,AA77))))</f>
        <v>0</v>
      </c>
      <c r="AQ79" s="128">
        <f>+IF(Z76="NA","",IF(AK79=0,"",IF(Z76="&gt;",AA76+0.001,IF(Z76="&lt;",AA76-0.001,AA76))))</f>
        <v>0</v>
      </c>
      <c r="AR79" s="128" t="str">
        <f>IF(AK79=0,"",IF(Z76="≥",AA75-0.001,IF(Z76="≤",AA75+0.001,"")))</f>
        <v/>
      </c>
      <c r="AS79" s="128" t="str">
        <f>+IF(AK79=0,"",IF(Z75="=",AA75,""))</f>
        <v/>
      </c>
    </row>
    <row r="80" spans="2:45" x14ac:dyDescent="0.25">
      <c r="B80" s="106"/>
      <c r="D80" s="386" t="s">
        <v>50</v>
      </c>
      <c r="E80" s="386"/>
      <c r="F80" s="126"/>
      <c r="G80" s="126">
        <v>0.94</v>
      </c>
      <c r="H80" s="126">
        <v>0.94099999999999995</v>
      </c>
      <c r="I80" s="126">
        <v>0.96899999999999997</v>
      </c>
      <c r="J80" s="126">
        <v>0.97</v>
      </c>
      <c r="K80" s="126">
        <v>0.999</v>
      </c>
      <c r="L80" s="126">
        <v>1</v>
      </c>
      <c r="M80" s="126"/>
      <c r="O80" s="106"/>
      <c r="R80" s="111"/>
      <c r="S80" s="124" t="s">
        <v>53</v>
      </c>
      <c r="T80" s="124"/>
      <c r="U80" s="124" t="s">
        <v>54</v>
      </c>
      <c r="V80" s="124"/>
      <c r="W80" s="124" t="s">
        <v>55</v>
      </c>
      <c r="X80" s="124"/>
      <c r="Y80" s="124" t="s">
        <v>56</v>
      </c>
      <c r="Z80" s="124"/>
      <c r="AA80" s="124" t="s">
        <v>57</v>
      </c>
      <c r="AB80" s="124"/>
      <c r="AC80" s="124" t="s">
        <v>58</v>
      </c>
      <c r="AE80" s="105" t="s">
        <v>50</v>
      </c>
      <c r="AF80" s="105">
        <v>6</v>
      </c>
      <c r="AG80" s="105">
        <f t="shared" si="0"/>
        <v>1</v>
      </c>
      <c r="AH80" s="105">
        <f>+IF(AG80=0,0,IF(AG80=1,(SUM($AG$75:AG80)-1),1))</f>
        <v>3</v>
      </c>
      <c r="AI80" s="105">
        <f t="shared" si="1"/>
        <v>1</v>
      </c>
      <c r="AJ80" s="105">
        <f t="shared" si="2"/>
        <v>0</v>
      </c>
      <c r="AK80" s="105">
        <f t="shared" si="3"/>
        <v>1</v>
      </c>
      <c r="AL80" s="128" t="str">
        <f>+""</f>
        <v/>
      </c>
      <c r="AM80" s="128">
        <f>+IF(AK80=0,"",IF(AB78="&gt;",AC78+0.001,IF(AB78="&lt;",AC78-0.001,AC78)))</f>
        <v>0</v>
      </c>
      <c r="AN80" s="128">
        <f>+IF(AB77="NA","",IF(AK80=0,"",IF(AB78="≥",AC78-0.001,IF(AB78="≤",AC78+0.001,AC78))))</f>
        <v>0</v>
      </c>
      <c r="AO80" s="128">
        <f>IF(AB77="NA","",IF(AK80=0,"",IF(AB77="&gt;",AC77+0.001,IF(AB77="&lt;",AC77-0.001,AC77))))</f>
        <v>0</v>
      </c>
      <c r="AP80" s="128">
        <f>+IF(AB76="NA","",IF(AK80=0,"",IF(AB77="≥",AC77-0.001,IF(AB77="≤",AC77+0.001,AC77))))</f>
        <v>0</v>
      </c>
      <c r="AQ80" s="128">
        <f>+IF(AB76="NA","",IF(AK80=0,"",IF(AB76="&gt;",AC76+0.001,IF(AB76="&lt;",AC76-0.001,AC76))))</f>
        <v>0</v>
      </c>
      <c r="AR80" s="128" t="str">
        <f>IF(AK80=0,"",IF(AB76="≥",AC75-0.001,IF(AB76="≤",AC75+0.001,"")))</f>
        <v/>
      </c>
      <c r="AS80" s="128" t="str">
        <f>+IF(AK80=0,"",IF(AB75="=",AC75,""))</f>
        <v/>
      </c>
    </row>
    <row r="81" spans="2:45" x14ac:dyDescent="0.25">
      <c r="B81" s="106"/>
      <c r="D81" s="386" t="s">
        <v>53</v>
      </c>
      <c r="E81" s="386"/>
      <c r="F81" s="126"/>
      <c r="G81" s="126">
        <v>0.94</v>
      </c>
      <c r="H81" s="126">
        <v>0.94099999999999995</v>
      </c>
      <c r="I81" s="126">
        <v>0.96899999999999997</v>
      </c>
      <c r="J81" s="126">
        <v>0.97</v>
      </c>
      <c r="K81" s="126">
        <v>0.999</v>
      </c>
      <c r="L81" s="126">
        <v>1</v>
      </c>
      <c r="M81" s="126"/>
      <c r="O81" s="106"/>
      <c r="Q81" s="122" t="s">
        <v>1980</v>
      </c>
      <c r="R81" s="111"/>
      <c r="S81" s="127"/>
      <c r="T81" s="111"/>
      <c r="U81" s="127"/>
      <c r="V81" s="111"/>
      <c r="W81" s="127"/>
      <c r="X81" s="111"/>
      <c r="Y81" s="127"/>
      <c r="Z81" s="111"/>
      <c r="AA81" s="127"/>
      <c r="AB81" s="111"/>
      <c r="AC81" s="127"/>
      <c r="AE81" s="105" t="s">
        <v>53</v>
      </c>
      <c r="AF81" s="105">
        <v>7</v>
      </c>
      <c r="AG81" s="105">
        <f t="shared" si="0"/>
        <v>1</v>
      </c>
      <c r="AH81" s="105">
        <f>+IF(AG81=0,0,IF(AG81=1,(SUM($AG$75:AG81)-1),1))</f>
        <v>4</v>
      </c>
      <c r="AI81" s="105">
        <f t="shared" si="1"/>
        <v>1</v>
      </c>
      <c r="AJ81" s="105">
        <f t="shared" si="2"/>
        <v>0</v>
      </c>
      <c r="AK81" s="105">
        <f t="shared" si="3"/>
        <v>1</v>
      </c>
      <c r="AL81" s="128" t="str">
        <f>+""</f>
        <v/>
      </c>
      <c r="AM81" s="128">
        <f>+IF(AK81=0,"",IF(R84="&gt;",S84+0.001,IF(R84="&lt;",S84-0.001,S84)))</f>
        <v>0</v>
      </c>
      <c r="AN81" s="128">
        <f>+IF(R83="NA","",IF(AK81=0,"",IF(R84="≥",S84-0.001,IF(R84="≤",S84+0.001,S84))))</f>
        <v>0</v>
      </c>
      <c r="AO81" s="128">
        <f>IF(R83="NA","",IF(AK81=0,"",IF(R83="&gt;",S83+0.001,IF(R83="&lt;",S83-0.001,S83))))</f>
        <v>0</v>
      </c>
      <c r="AP81" s="128">
        <f>+IF(R82="NA","",IF(AK81=0,"",IF(R83="≥",S83-0.001,IF(R83="≤",S83+0.001,S83))))</f>
        <v>0</v>
      </c>
      <c r="AQ81" s="128">
        <f>+IF(R82="NA","",IF(AK81=0,"",IF(R82="&gt;",S82+0.001,IF(R82="&lt;",S82-0.001,S82))))</f>
        <v>0</v>
      </c>
      <c r="AR81" s="128" t="str">
        <f>IF(AK81=0,"",IF(R82="≥",S81-0.001,IF(R82="≤",S81+0.001,"")))</f>
        <v/>
      </c>
      <c r="AS81" s="128" t="str">
        <f>+IF(AK81=0,"",IF(R81="=",S81,""))</f>
        <v/>
      </c>
    </row>
    <row r="82" spans="2:45" x14ac:dyDescent="0.25">
      <c r="B82" s="106"/>
      <c r="D82" s="386" t="s">
        <v>54</v>
      </c>
      <c r="E82" s="386"/>
      <c r="F82" s="126"/>
      <c r="G82" s="126">
        <v>0.94</v>
      </c>
      <c r="H82" s="126">
        <v>0.94099999999999995</v>
      </c>
      <c r="I82" s="126">
        <v>0.96899999999999997</v>
      </c>
      <c r="J82" s="126">
        <v>0.97</v>
      </c>
      <c r="K82" s="126">
        <v>0.999</v>
      </c>
      <c r="L82" s="126">
        <v>1</v>
      </c>
      <c r="M82" s="126"/>
      <c r="O82" s="106"/>
      <c r="Q82" s="122" t="s">
        <v>1981</v>
      </c>
      <c r="R82" s="111"/>
      <c r="S82" s="127"/>
      <c r="T82" s="111"/>
      <c r="U82" s="127"/>
      <c r="V82" s="111"/>
      <c r="W82" s="127"/>
      <c r="X82" s="111"/>
      <c r="Y82" s="127"/>
      <c r="Z82" s="111"/>
      <c r="AA82" s="127"/>
      <c r="AB82" s="111"/>
      <c r="AC82" s="127"/>
      <c r="AE82" s="105" t="s">
        <v>54</v>
      </c>
      <c r="AF82" s="105">
        <v>8</v>
      </c>
      <c r="AG82" s="105">
        <f t="shared" si="0"/>
        <v>1</v>
      </c>
      <c r="AH82" s="105">
        <f>+IF(AG82=0,0,IF(AG82=1,(SUM($AG$75:AG82)-1),1))</f>
        <v>5</v>
      </c>
      <c r="AI82" s="105">
        <f t="shared" si="1"/>
        <v>1</v>
      </c>
      <c r="AJ82" s="105">
        <f t="shared" si="2"/>
        <v>0</v>
      </c>
      <c r="AK82" s="105">
        <f t="shared" si="3"/>
        <v>1</v>
      </c>
      <c r="AL82" s="128" t="str">
        <f>+""</f>
        <v/>
      </c>
      <c r="AM82" s="128">
        <f>+IF(AK82=0,"",IF(T84="&gt;",U84+0.001,IF(T84="&lt;",U84-0.001,U84)))</f>
        <v>0</v>
      </c>
      <c r="AN82" s="128">
        <f>+IF(T83="NA","",IF(AK82=0,"",IF(T84="≥",U84-0.001,IF(T84="≤",U84+0.001,U84))))</f>
        <v>0</v>
      </c>
      <c r="AO82" s="128">
        <f>IF(T83="NA","",IF(AK82=0,"",IF(T83="&gt;",U83+0.001,IF(T83="&lt;",U83-0.001,U83))))</f>
        <v>0</v>
      </c>
      <c r="AP82" s="128">
        <f>+IF(T82="NA","",IF(AK82=0,"",IF(T83="≥",U83-0.001,IF(T83="≤",U83+0.001,U83))))</f>
        <v>0</v>
      </c>
      <c r="AQ82" s="128">
        <f>+IF(T82="NA","",IF(AK82=0,"",IF(T82="&gt;",U82+0.001,IF(T82="&lt;",U82-0.001,U82))))</f>
        <v>0</v>
      </c>
      <c r="AR82" s="128" t="str">
        <f>IF(AK82=0,"",IF(T82="≥",U81-0.001,IF(T82="≤",U81+0.001,"")))</f>
        <v/>
      </c>
      <c r="AS82" s="128" t="str">
        <f>+IF(AK82=0,"",IF(T81="=",U81,""))</f>
        <v/>
      </c>
    </row>
    <row r="83" spans="2:45" x14ac:dyDescent="0.25">
      <c r="B83" s="106"/>
      <c r="D83" s="386" t="s">
        <v>55</v>
      </c>
      <c r="E83" s="386"/>
      <c r="F83" s="126"/>
      <c r="G83" s="126">
        <v>0.94</v>
      </c>
      <c r="H83" s="126">
        <v>0.94099999999999995</v>
      </c>
      <c r="I83" s="126">
        <v>0.96899999999999997</v>
      </c>
      <c r="J83" s="126">
        <v>0.97</v>
      </c>
      <c r="K83" s="126">
        <v>0.999</v>
      </c>
      <c r="L83" s="126">
        <v>1</v>
      </c>
      <c r="M83" s="126"/>
      <c r="O83" s="106"/>
      <c r="Q83" s="122" t="s">
        <v>1982</v>
      </c>
      <c r="R83" s="111"/>
      <c r="S83" s="127"/>
      <c r="T83" s="111"/>
      <c r="U83" s="127"/>
      <c r="V83" s="111"/>
      <c r="W83" s="127"/>
      <c r="X83" s="111"/>
      <c r="Y83" s="127"/>
      <c r="Z83" s="111"/>
      <c r="AA83" s="127"/>
      <c r="AB83" s="111"/>
      <c r="AC83" s="127"/>
      <c r="AE83" s="105" t="s">
        <v>55</v>
      </c>
      <c r="AF83" s="105">
        <v>9</v>
      </c>
      <c r="AG83" s="105">
        <f t="shared" si="0"/>
        <v>1</v>
      </c>
      <c r="AH83" s="105">
        <f>+IF(AG83=0,0,IF(AG83=1,(SUM($AG$75:AG83)-1),1))</f>
        <v>6</v>
      </c>
      <c r="AI83" s="105">
        <f t="shared" si="1"/>
        <v>1</v>
      </c>
      <c r="AJ83" s="105">
        <f t="shared" si="2"/>
        <v>0</v>
      </c>
      <c r="AK83" s="105">
        <f t="shared" si="3"/>
        <v>1</v>
      </c>
      <c r="AL83" s="128" t="str">
        <f>+""</f>
        <v/>
      </c>
      <c r="AM83" s="128">
        <f>+IF(AK83=0,"",IF(V84="&gt;",W84+0.001,IF(V84="&lt;",W84-0.001,W84)))</f>
        <v>0</v>
      </c>
      <c r="AN83" s="128">
        <f>+IF(V83="NA","",IF(AK83=0,"",IF(V84="≥",W84-0.001,IF(V84="≤",W84+0.001,W84))))</f>
        <v>0</v>
      </c>
      <c r="AO83" s="128">
        <f>IF(V83="NA","",IF(AK83=0,"",IF(V83="&gt;",W83+0.001,IF(V83="&lt;",W83-0.001,W83))))</f>
        <v>0</v>
      </c>
      <c r="AP83" s="128">
        <f>+IF(V82="NA","",IF(AK83=0,"",IF(V83="≥",W83-0.001,IF(V83="≤",W83+0.001,W83))))</f>
        <v>0</v>
      </c>
      <c r="AQ83" s="128">
        <f>+IF(V82="NA","",IF(AK83=0,"",IF(V82="&gt;",W82+0.001,IF(V82="&lt;",W82-0.001,W82))))</f>
        <v>0</v>
      </c>
      <c r="AR83" s="128" t="str">
        <f>IF(AK83=0,"",IF(V82="≥",W81-0.001,IF(V82="≤",W81+0.001,"")))</f>
        <v/>
      </c>
      <c r="AS83" s="128" t="str">
        <f>+IF(AK83=0,"",IF(V81="=",W81,""))</f>
        <v/>
      </c>
    </row>
    <row r="84" spans="2:45" x14ac:dyDescent="0.25">
      <c r="B84" s="106"/>
      <c r="D84" s="386" t="s">
        <v>56</v>
      </c>
      <c r="E84" s="386"/>
      <c r="F84" s="126"/>
      <c r="G84" s="126">
        <v>0.94</v>
      </c>
      <c r="H84" s="126">
        <v>0.94099999999999995</v>
      </c>
      <c r="I84" s="126">
        <v>0.96899999999999997</v>
      </c>
      <c r="J84" s="126">
        <v>0.97</v>
      </c>
      <c r="K84" s="126">
        <v>0.999</v>
      </c>
      <c r="L84" s="126">
        <v>1</v>
      </c>
      <c r="M84" s="126"/>
      <c r="O84" s="106"/>
      <c r="Q84" s="122" t="s">
        <v>1983</v>
      </c>
      <c r="R84" s="111"/>
      <c r="S84" s="127"/>
      <c r="T84" s="111"/>
      <c r="U84" s="127"/>
      <c r="V84" s="111"/>
      <c r="W84" s="127"/>
      <c r="X84" s="111"/>
      <c r="Y84" s="127"/>
      <c r="Z84" s="111"/>
      <c r="AA84" s="127"/>
      <c r="AB84" s="111"/>
      <c r="AC84" s="127"/>
      <c r="AE84" s="105" t="s">
        <v>56</v>
      </c>
      <c r="AF84" s="105">
        <v>10</v>
      </c>
      <c r="AG84" s="105">
        <f t="shared" si="0"/>
        <v>1</v>
      </c>
      <c r="AH84" s="105">
        <f>+IF(AG84=0,0,IF(AG84=1,(SUM($AG$75:AG84)-1),1))</f>
        <v>7</v>
      </c>
      <c r="AI84" s="105">
        <f t="shared" si="1"/>
        <v>1</v>
      </c>
      <c r="AJ84" s="105">
        <f t="shared" si="2"/>
        <v>0</v>
      </c>
      <c r="AK84" s="105">
        <f t="shared" si="3"/>
        <v>1</v>
      </c>
      <c r="AL84" s="128" t="str">
        <f>+""</f>
        <v/>
      </c>
      <c r="AM84" s="128">
        <f>+IF(AK84=0,"",IF(X84="&gt;",Y84+0.001,IF(X84="&lt;",Y84-0.001,Y84)))</f>
        <v>0</v>
      </c>
      <c r="AN84" s="128">
        <f>+IF(X83="NA","",IF(AK84=0,"",IF(X84="≥",Y84-0.001,IF(X84="≤",Y84+0.001,Y84))))</f>
        <v>0</v>
      </c>
      <c r="AO84" s="128">
        <f>IF(X83="NA","",IF(AK84=0,"",IF(X83="&gt;",Y83+0.001,IF(X83="&lt;",Y83-0.001,Y83))))</f>
        <v>0</v>
      </c>
      <c r="AP84" s="128">
        <f>+IF(X82="NA","",IF(AK84=0,"",IF(X83="≥",Y83-0.001,IF(X83="≤",Y83+0.001,Y83))))</f>
        <v>0</v>
      </c>
      <c r="AQ84" s="128">
        <f>+IF(X82="NA","",IF(AK84=0,"",IF(X82="&gt;",Y82+0.001,IF(X82="&lt;",Y82-0.001,Y82))))</f>
        <v>0</v>
      </c>
      <c r="AR84" s="128" t="str">
        <f>IF(AK84=0,"",IF(X82="≥",Y81-0.001,IF(X82="≤",Y81+0.001,"")))</f>
        <v/>
      </c>
      <c r="AS84" s="128" t="str">
        <f>+IF(AK84=0,"",IF(X81="=",Y81,""))</f>
        <v/>
      </c>
    </row>
    <row r="85" spans="2:45" x14ac:dyDescent="0.25">
      <c r="B85" s="106"/>
      <c r="D85" s="386" t="s">
        <v>57</v>
      </c>
      <c r="E85" s="386"/>
      <c r="F85" s="126"/>
      <c r="G85" s="126">
        <v>0.94</v>
      </c>
      <c r="H85" s="126">
        <v>0.94099999999999995</v>
      </c>
      <c r="I85" s="126">
        <v>0.96899999999999997</v>
      </c>
      <c r="J85" s="126">
        <v>0.97</v>
      </c>
      <c r="K85" s="126">
        <v>0.999</v>
      </c>
      <c r="L85" s="126">
        <v>1</v>
      </c>
      <c r="M85" s="126"/>
      <c r="O85" s="106"/>
      <c r="AE85" s="105" t="s">
        <v>57</v>
      </c>
      <c r="AF85" s="105">
        <v>11</v>
      </c>
      <c r="AG85" s="105">
        <f t="shared" si="0"/>
        <v>1</v>
      </c>
      <c r="AH85" s="105">
        <f>+IF(AG85=0,0,IF(AG85=1,(SUM($AG$75:AG85)-1),1))</f>
        <v>8</v>
      </c>
      <c r="AI85" s="105">
        <f t="shared" si="1"/>
        <v>1</v>
      </c>
      <c r="AJ85" s="105">
        <f t="shared" si="2"/>
        <v>0</v>
      </c>
      <c r="AK85" s="105">
        <f t="shared" si="3"/>
        <v>1</v>
      </c>
      <c r="AL85" s="128" t="str">
        <f>+""</f>
        <v/>
      </c>
      <c r="AM85" s="128">
        <f>+IF(AK85=0,"",IF(Z84="&gt;",AA84+0.001,IF(Z84="&lt;",AA84-0.001,AA84)))</f>
        <v>0</v>
      </c>
      <c r="AN85" s="128">
        <f>+IF(Z83="NA","",IF(AK85=0,"",IF(Z84="≥",AA84-0.001,IF(Z84="≤",AA84+0.001,AA84))))</f>
        <v>0</v>
      </c>
      <c r="AO85" s="128">
        <f>IF(Z83="NA","",IF(AK85=0,"",IF(Z83="&gt;",AA83+0.001,IF(Z83="&lt;",AA83-0.001,AA83))))</f>
        <v>0</v>
      </c>
      <c r="AP85" s="128">
        <f>+IF(Z82="NA","",IF(AK85=0,"",IF(Z83="≥",AA83-0.001,IF(Z83="≤",AA83+0.001,AA83))))</f>
        <v>0</v>
      </c>
      <c r="AQ85" s="128">
        <f>+IF(Z82="NA","",IF(AK85=0,"",IF(Z82="&gt;",AA82+0.001,IF(Z82="&lt;",AA82-0.001,AA82))))</f>
        <v>0</v>
      </c>
      <c r="AR85" s="128" t="str">
        <f>IF(AK85=0,"",IF(Z82="≥",AA81-0.001,IF(Z82="≤",AA81+0.001,"")))</f>
        <v/>
      </c>
      <c r="AS85" s="128" t="str">
        <f>+IF(AK85=0,"",IF(Z81="=",AA81,""))</f>
        <v/>
      </c>
    </row>
    <row r="86" spans="2:45" x14ac:dyDescent="0.25">
      <c r="B86" s="106"/>
      <c r="D86" s="386" t="s">
        <v>58</v>
      </c>
      <c r="E86" s="386"/>
      <c r="F86" s="126"/>
      <c r="G86" s="126">
        <v>0.94</v>
      </c>
      <c r="H86" s="126">
        <v>0.94099999999999995</v>
      </c>
      <c r="I86" s="126">
        <v>0.96899999999999997</v>
      </c>
      <c r="J86" s="126">
        <v>0.97</v>
      </c>
      <c r="K86" s="126">
        <v>0.999</v>
      </c>
      <c r="L86" s="126">
        <v>1</v>
      </c>
      <c r="M86" s="126"/>
      <c r="O86" s="106"/>
      <c r="AE86" s="105" t="s">
        <v>58</v>
      </c>
      <c r="AF86" s="129">
        <v>12</v>
      </c>
      <c r="AG86" s="105">
        <f t="shared" si="0"/>
        <v>1</v>
      </c>
      <c r="AH86" s="105">
        <f>+IF(AG86=0,0,IF(AG86=1,(SUM($AG$75:AG86)-1),1))</f>
        <v>9</v>
      </c>
      <c r="AI86" s="105">
        <f t="shared" si="1"/>
        <v>1</v>
      </c>
      <c r="AJ86" s="105">
        <f t="shared" si="2"/>
        <v>0</v>
      </c>
      <c r="AK86" s="105">
        <f t="shared" si="3"/>
        <v>1</v>
      </c>
      <c r="AL86" s="128" t="str">
        <f>+""</f>
        <v/>
      </c>
      <c r="AM86" s="128">
        <f>+IF(AK86=0,"",IF(AB84="&gt;",AC84+0.001,IF(AB84="&lt;",AC84-0.001,AC84)))</f>
        <v>0</v>
      </c>
      <c r="AN86" s="128">
        <f>+IF(AB83="NA","",IF(AK86=0,"",IF(AB84="≥",AC84-0.001,IF(AB84="≤",AC84+0.001,AC84))))</f>
        <v>0</v>
      </c>
      <c r="AO86" s="128">
        <f>IF(AB83="NA","",IF(AK86=0,"",IF(AB83="&gt;",AC83+0.001,IF(AB83="&lt;",AC83-0.001,AC83))))</f>
        <v>0</v>
      </c>
      <c r="AP86" s="128">
        <f>+IF(AB82="NA","",IF(AK86=0,"",IF(AB83="≥",AC83-0.001,IF(AB83="≤",AC83+0.001,AC83))))</f>
        <v>0</v>
      </c>
      <c r="AQ86" s="128">
        <f>+IF(AB82="NA","",IF(AK86=0,"",IF(AB82="&gt;",AC82+0.001,IF(AB82="&lt;",AC82-0.001,AC82))))</f>
        <v>0</v>
      </c>
      <c r="AR86" s="128" t="str">
        <f>IF(AK86=0,"",IF(AB82="≥",AC81-0.001,IF(AB82="≤",AC81+0.001,"")))</f>
        <v/>
      </c>
      <c r="AS86" s="128" t="str">
        <f>+IF(AK86=0,"",IF(AB81="=",AC81,""))</f>
        <v/>
      </c>
    </row>
    <row r="87" spans="2:45" ht="3.75" customHeight="1" x14ac:dyDescent="0.25">
      <c r="B87" s="106"/>
      <c r="O87" s="106"/>
      <c r="AR87" s="128" t="str">
        <f>IF(AK87=0,"",IF(S83="Creciente",IF(R88="≥",S88-0.001,""),IF(R88="≤",S88+0.001,"")))</f>
        <v/>
      </c>
    </row>
    <row r="88" spans="2:45" ht="66" customHeight="1" x14ac:dyDescent="0.25">
      <c r="B88" s="106"/>
      <c r="D88" s="378" t="s">
        <v>59</v>
      </c>
      <c r="E88" s="379"/>
      <c r="F88" s="380" t="s">
        <v>2079</v>
      </c>
      <c r="G88" s="381"/>
      <c r="H88" s="381"/>
      <c r="I88" s="381"/>
      <c r="J88" s="381"/>
      <c r="K88" s="381"/>
      <c r="L88" s="381"/>
      <c r="M88" s="382"/>
      <c r="O88" s="106"/>
    </row>
    <row r="89" spans="2:45" ht="3.95" customHeight="1" x14ac:dyDescent="0.25">
      <c r="B89" s="106"/>
      <c r="O89" s="106"/>
    </row>
    <row r="90" spans="2:45" ht="3" customHeight="1" x14ac:dyDescent="0.25">
      <c r="B90" s="106"/>
      <c r="C90" s="106"/>
      <c r="D90" s="106"/>
      <c r="E90" s="106"/>
      <c r="F90" s="106"/>
      <c r="G90" s="106"/>
      <c r="H90" s="106"/>
      <c r="I90" s="106"/>
      <c r="J90" s="106"/>
      <c r="K90" s="106"/>
      <c r="L90" s="106"/>
      <c r="M90" s="106"/>
      <c r="N90" s="106"/>
      <c r="O90" s="106"/>
    </row>
    <row r="91" spans="2:45" ht="3" customHeight="1" x14ac:dyDescent="0.25"/>
    <row r="92" spans="2:45" ht="3" customHeight="1" x14ac:dyDescent="0.25">
      <c r="B92" s="106"/>
      <c r="C92" s="106"/>
      <c r="D92" s="106"/>
      <c r="E92" s="106"/>
      <c r="F92" s="106"/>
      <c r="G92" s="106"/>
      <c r="H92" s="106"/>
      <c r="I92" s="106"/>
      <c r="J92" s="106"/>
      <c r="K92" s="106"/>
      <c r="L92" s="106"/>
      <c r="M92" s="106"/>
      <c r="N92" s="106"/>
      <c r="O92" s="106"/>
    </row>
    <row r="93" spans="2:45" ht="3.95" customHeight="1" x14ac:dyDescent="0.25">
      <c r="B93" s="106"/>
      <c r="O93" s="106"/>
    </row>
    <row r="94" spans="2:45" x14ac:dyDescent="0.25">
      <c r="B94" s="106"/>
      <c r="D94" s="112" t="s">
        <v>60</v>
      </c>
      <c r="O94" s="106"/>
    </row>
    <row r="95" spans="2:45" ht="3.95" customHeight="1" x14ac:dyDescent="0.25">
      <c r="B95" s="106"/>
      <c r="O95" s="106"/>
    </row>
    <row r="96" spans="2:45" ht="20.100000000000001" customHeight="1" x14ac:dyDescent="0.25">
      <c r="B96" s="106"/>
      <c r="D96" s="387" t="s">
        <v>61</v>
      </c>
      <c r="E96" s="387"/>
      <c r="O96" s="106"/>
    </row>
    <row r="97" spans="2:15" ht="30" customHeight="1" x14ac:dyDescent="0.25">
      <c r="B97" s="106"/>
      <c r="D97" s="369" t="s">
        <v>35</v>
      </c>
      <c r="E97" s="369"/>
      <c r="F97" s="370" t="str">
        <f>+IFERROR(VLOOKUP($S$12,[1]Hoja1!$B$5:$AT$190,29,FALSE),"")</f>
        <v>Reportes de Ejecucion Presupuestal SIIF</v>
      </c>
      <c r="G97" s="370"/>
      <c r="H97" s="370"/>
      <c r="I97" s="370"/>
      <c r="J97" s="370"/>
      <c r="K97" s="370"/>
      <c r="L97" s="370"/>
      <c r="M97" s="370"/>
      <c r="O97" s="106"/>
    </row>
    <row r="98" spans="2:15" ht="30" customHeight="1" x14ac:dyDescent="0.25">
      <c r="B98" s="106"/>
      <c r="D98" s="369" t="s">
        <v>36</v>
      </c>
      <c r="E98" s="369"/>
      <c r="F98" s="370" t="s">
        <v>1984</v>
      </c>
      <c r="G98" s="370"/>
      <c r="H98" s="370"/>
      <c r="I98" s="370"/>
      <c r="J98" s="370"/>
      <c r="K98" s="370"/>
      <c r="L98" s="370"/>
      <c r="M98" s="370"/>
      <c r="O98" s="106"/>
    </row>
    <row r="99" spans="2:15" ht="3.95" customHeight="1" x14ac:dyDescent="0.25">
      <c r="B99" s="106"/>
      <c r="O99" s="106"/>
    </row>
    <row r="100" spans="2:15" ht="58.5" customHeight="1" x14ac:dyDescent="0.25">
      <c r="B100" s="106"/>
      <c r="D100" s="378" t="s">
        <v>62</v>
      </c>
      <c r="E100" s="379"/>
      <c r="F100" s="383"/>
      <c r="G100" s="384"/>
      <c r="H100" s="384"/>
      <c r="I100" s="384"/>
      <c r="J100" s="384"/>
      <c r="K100" s="384"/>
      <c r="L100" s="384"/>
      <c r="M100" s="385"/>
      <c r="O100" s="106"/>
    </row>
    <row r="101" spans="2:15" ht="3.95" customHeight="1" x14ac:dyDescent="0.25">
      <c r="B101" s="106"/>
      <c r="O101" s="106"/>
    </row>
    <row r="102" spans="2:15" ht="19.5" customHeight="1" x14ac:dyDescent="0.25">
      <c r="B102" s="106"/>
      <c r="D102" s="371" t="s">
        <v>64</v>
      </c>
      <c r="E102" s="372"/>
      <c r="F102" s="130" t="s">
        <v>65</v>
      </c>
      <c r="G102" s="107" t="s">
        <v>2</v>
      </c>
      <c r="K102" s="131"/>
      <c r="O102" s="106"/>
    </row>
    <row r="103" spans="2:15" ht="19.5" customHeight="1" x14ac:dyDescent="0.25">
      <c r="B103" s="106"/>
      <c r="D103" s="373"/>
      <c r="E103" s="374"/>
      <c r="F103" s="130" t="s">
        <v>66</v>
      </c>
      <c r="G103" s="132"/>
      <c r="K103" s="133"/>
      <c r="O103" s="106"/>
    </row>
    <row r="104" spans="2:15" ht="27.75" customHeight="1" x14ac:dyDescent="0.25">
      <c r="B104" s="106"/>
      <c r="D104" s="373"/>
      <c r="E104" s="374"/>
      <c r="F104" s="130" t="s">
        <v>67</v>
      </c>
      <c r="G104" s="375"/>
      <c r="H104" s="376"/>
      <c r="I104" s="376"/>
      <c r="J104" s="376"/>
      <c r="K104" s="376"/>
      <c r="L104" s="376"/>
      <c r="M104" s="377"/>
      <c r="O104" s="106"/>
    </row>
    <row r="105" spans="2:15" ht="3.95" customHeight="1" x14ac:dyDescent="0.25">
      <c r="B105" s="106"/>
      <c r="O105" s="106"/>
    </row>
    <row r="106" spans="2:15" ht="229.5" customHeight="1" x14ac:dyDescent="0.25">
      <c r="B106" s="106"/>
      <c r="D106" s="378" t="s">
        <v>68</v>
      </c>
      <c r="E106" s="379"/>
      <c r="F106" s="380" t="s">
        <v>102</v>
      </c>
      <c r="G106" s="381"/>
      <c r="H106" s="381"/>
      <c r="I106" s="381"/>
      <c r="J106" s="381"/>
      <c r="K106" s="381"/>
      <c r="L106" s="381"/>
      <c r="M106" s="382"/>
      <c r="O106" s="106"/>
    </row>
    <row r="107" spans="2:15" ht="3.95" customHeight="1" x14ac:dyDescent="0.25">
      <c r="B107" s="106"/>
      <c r="O107" s="106"/>
    </row>
    <row r="108" spans="2:15" ht="17.25" customHeight="1" x14ac:dyDescent="0.25">
      <c r="B108" s="106"/>
      <c r="D108" s="371" t="s">
        <v>2040</v>
      </c>
      <c r="E108" s="372"/>
      <c r="F108" s="130" t="s">
        <v>2041</v>
      </c>
      <c r="G108" s="375" t="str">
        <f>+VLOOKUP(H10,tablero!$P$5:$R$201,3,FALSE)</f>
        <v xml:space="preserve">Director(a) anciera </v>
      </c>
      <c r="H108" s="376"/>
      <c r="I108" s="376"/>
      <c r="J108" s="376"/>
      <c r="K108" s="376"/>
      <c r="L108" s="376"/>
      <c r="M108" s="377"/>
      <c r="O108" s="106"/>
    </row>
    <row r="109" spans="2:15" ht="17.25" customHeight="1" x14ac:dyDescent="0.25">
      <c r="B109" s="106"/>
      <c r="D109" s="373"/>
      <c r="E109" s="374"/>
      <c r="F109" s="130" t="s">
        <v>2042</v>
      </c>
      <c r="G109" s="375" t="str">
        <f>+IF(M23="Si","Coordinador(a) Planeación y Sistemas","")</f>
        <v/>
      </c>
      <c r="H109" s="376"/>
      <c r="I109" s="376"/>
      <c r="J109" s="376"/>
      <c r="K109" s="376"/>
      <c r="L109" s="376"/>
      <c r="M109" s="377"/>
      <c r="O109" s="106"/>
    </row>
    <row r="110" spans="2:15" ht="17.25" customHeight="1" x14ac:dyDescent="0.25">
      <c r="B110" s="106"/>
      <c r="D110" s="373"/>
      <c r="E110" s="374"/>
      <c r="F110" s="130" t="s">
        <v>2043</v>
      </c>
      <c r="G110" s="375" t="str">
        <f>+IF(M24="Si","Coordinador(a) Centro Zonal","")</f>
        <v/>
      </c>
      <c r="H110" s="376"/>
      <c r="I110" s="376"/>
      <c r="J110" s="376"/>
      <c r="K110" s="376"/>
      <c r="L110" s="376"/>
      <c r="M110" s="377"/>
      <c r="O110" s="106"/>
    </row>
    <row r="111" spans="2:15" ht="3.95" customHeight="1" x14ac:dyDescent="0.25">
      <c r="B111" s="106"/>
      <c r="O111" s="106"/>
    </row>
    <row r="112" spans="2:15" ht="3" customHeight="1" x14ac:dyDescent="0.25">
      <c r="B112" s="106"/>
      <c r="C112" s="106"/>
      <c r="D112" s="106"/>
      <c r="E112" s="106"/>
      <c r="F112" s="106"/>
      <c r="G112" s="106"/>
      <c r="H112" s="106"/>
      <c r="I112" s="106"/>
      <c r="J112" s="106"/>
      <c r="K112" s="106"/>
      <c r="L112" s="106"/>
      <c r="M112" s="106"/>
      <c r="N112" s="106"/>
      <c r="O112" s="106"/>
    </row>
    <row r="113" spans="13:13" x14ac:dyDescent="0.25">
      <c r="M113" s="121" t="s">
        <v>70</v>
      </c>
    </row>
  </sheetData>
  <mergeCells count="85">
    <mergeCell ref="C3:N5"/>
    <mergeCell ref="D10:E10"/>
    <mergeCell ref="D12:E12"/>
    <mergeCell ref="F12:M12"/>
    <mergeCell ref="D14:E14"/>
    <mergeCell ref="F14:M14"/>
    <mergeCell ref="D22:E22"/>
    <mergeCell ref="G22:H22"/>
    <mergeCell ref="K22:L22"/>
    <mergeCell ref="D23:E23"/>
    <mergeCell ref="G23:H23"/>
    <mergeCell ref="K23:L23"/>
    <mergeCell ref="D24:E24"/>
    <mergeCell ref="G24:H24"/>
    <mergeCell ref="K24:L24"/>
    <mergeCell ref="D25:E25"/>
    <mergeCell ref="D29:E29"/>
    <mergeCell ref="F29:M29"/>
    <mergeCell ref="D30:E31"/>
    <mergeCell ref="G30:M30"/>
    <mergeCell ref="G31:M31"/>
    <mergeCell ref="D32:E33"/>
    <mergeCell ref="G32:M32"/>
    <mergeCell ref="G33:M33"/>
    <mergeCell ref="D34:E35"/>
    <mergeCell ref="G34:M34"/>
    <mergeCell ref="G35:M35"/>
    <mergeCell ref="D43:E43"/>
    <mergeCell ref="D44:E45"/>
    <mergeCell ref="G44:M44"/>
    <mergeCell ref="G45:M45"/>
    <mergeCell ref="D46:E47"/>
    <mergeCell ref="G46:M46"/>
    <mergeCell ref="G47:M47"/>
    <mergeCell ref="D48:E49"/>
    <mergeCell ref="G48:M48"/>
    <mergeCell ref="G49:M49"/>
    <mergeCell ref="D51:E51"/>
    <mergeCell ref="G51:H51"/>
    <mergeCell ref="D59:E59"/>
    <mergeCell ref="F59:M59"/>
    <mergeCell ref="D60:E60"/>
    <mergeCell ref="F60:M60"/>
    <mergeCell ref="D82:E82"/>
    <mergeCell ref="D83:E83"/>
    <mergeCell ref="D61:E61"/>
    <mergeCell ref="F61:M61"/>
    <mergeCell ref="D67:E67"/>
    <mergeCell ref="D71:E71"/>
    <mergeCell ref="D73:E74"/>
    <mergeCell ref="F73:G73"/>
    <mergeCell ref="H73:I73"/>
    <mergeCell ref="J73:K73"/>
    <mergeCell ref="L73:M73"/>
    <mergeCell ref="D77:E77"/>
    <mergeCell ref="D78:E78"/>
    <mergeCell ref="D79:E79"/>
    <mergeCell ref="D80:E80"/>
    <mergeCell ref="D81:E81"/>
    <mergeCell ref="AR73:AS73"/>
    <mergeCell ref="D75:E75"/>
    <mergeCell ref="D76:E76"/>
    <mergeCell ref="AL73:AM73"/>
    <mergeCell ref="AN73:AO73"/>
    <mergeCell ref="AP73:AQ73"/>
    <mergeCell ref="D84:E84"/>
    <mergeCell ref="D85:E85"/>
    <mergeCell ref="D86:E86"/>
    <mergeCell ref="D88:E88"/>
    <mergeCell ref="F97:M97"/>
    <mergeCell ref="D96:E96"/>
    <mergeCell ref="D97:E97"/>
    <mergeCell ref="F88:M88"/>
    <mergeCell ref="D98:E98"/>
    <mergeCell ref="F98:M98"/>
    <mergeCell ref="D108:E110"/>
    <mergeCell ref="G108:M108"/>
    <mergeCell ref="G109:M109"/>
    <mergeCell ref="G110:M110"/>
    <mergeCell ref="D102:E104"/>
    <mergeCell ref="G104:M104"/>
    <mergeCell ref="D106:E106"/>
    <mergeCell ref="F106:M106"/>
    <mergeCell ref="D100:E100"/>
    <mergeCell ref="F100:M100"/>
  </mergeCells>
  <conditionalFormatting sqref="F44:M49">
    <cfRule type="expression" dxfId="1759" priority="36">
      <formula>+IF($F$43="no",1,0)</formula>
    </cfRule>
  </conditionalFormatting>
  <conditionalFormatting sqref="F47:M47">
    <cfRule type="expression" dxfId="1758" priority="33">
      <formula>+IF($Q$47=0,1,0)</formula>
    </cfRule>
  </conditionalFormatting>
  <conditionalFormatting sqref="AA75:AA78">
    <cfRule type="expression" dxfId="1757" priority="28">
      <formula>+IF(AA$73=0,1,0)</formula>
    </cfRule>
  </conditionalFormatting>
  <conditionalFormatting sqref="AC75:AC78">
    <cfRule type="expression" dxfId="1756" priority="27">
      <formula>+IF(AC$73=0,1,0)</formula>
    </cfRule>
  </conditionalFormatting>
  <conditionalFormatting sqref="S83:S84">
    <cfRule type="expression" dxfId="1755" priority="26">
      <formula>+IF(S$79=0,1,0)</formula>
    </cfRule>
  </conditionalFormatting>
  <conditionalFormatting sqref="U83:U84">
    <cfRule type="expression" dxfId="1754" priority="25">
      <formula>+IF(U$79=0,1,0)</formula>
    </cfRule>
  </conditionalFormatting>
  <conditionalFormatting sqref="W83:W84">
    <cfRule type="expression" dxfId="1753" priority="24">
      <formula>+IF(W$79=0,1,0)</formula>
    </cfRule>
  </conditionalFormatting>
  <conditionalFormatting sqref="Y83:Y84">
    <cfRule type="expression" dxfId="1752" priority="23">
      <formula>+IF(Y$79=0,1,0)</formula>
    </cfRule>
  </conditionalFormatting>
  <conditionalFormatting sqref="AA81:AA84">
    <cfRule type="expression" dxfId="1751" priority="22">
      <formula>+IF(AA$79=0,1,0)</formula>
    </cfRule>
  </conditionalFormatting>
  <conditionalFormatting sqref="AC81:AC84">
    <cfRule type="expression" dxfId="1750" priority="21">
      <formula>+IF(AC$79=0,1,0)</formula>
    </cfRule>
  </conditionalFormatting>
  <conditionalFormatting sqref="F73:G73">
    <cfRule type="cellIs" dxfId="1749" priority="19" operator="equal">
      <formula>"optimo"</formula>
    </cfRule>
    <cfRule type="cellIs" dxfId="1748" priority="20" operator="equal">
      <formula>"critico"</formula>
    </cfRule>
  </conditionalFormatting>
  <conditionalFormatting sqref="H73:I73">
    <cfRule type="cellIs" dxfId="1747" priority="17" operator="equal">
      <formula>"Adecuado"</formula>
    </cfRule>
    <cfRule type="cellIs" dxfId="1746" priority="18" operator="equal">
      <formula>"en riesgo"</formula>
    </cfRule>
  </conditionalFormatting>
  <conditionalFormatting sqref="J73:K73">
    <cfRule type="cellIs" dxfId="1745" priority="15" operator="equal">
      <formula>"Adecuado"</formula>
    </cfRule>
    <cfRule type="cellIs" dxfId="1744" priority="16" operator="equal">
      <formula>"en riesgo"</formula>
    </cfRule>
  </conditionalFormatting>
  <conditionalFormatting sqref="L73:M73">
    <cfRule type="cellIs" dxfId="1743" priority="13" operator="equal">
      <formula>"optimo"</formula>
    </cfRule>
    <cfRule type="cellIs" dxfId="1742" priority="14" operator="equal">
      <formula>"critico"</formula>
    </cfRule>
  </conditionalFormatting>
  <conditionalFormatting sqref="F75:M76">
    <cfRule type="expression" dxfId="1741" priority="12">
      <formula>+IF($AK75=0,1)</formula>
    </cfRule>
  </conditionalFormatting>
  <conditionalFormatting sqref="F103:G104">
    <cfRule type="expression" dxfId="1740" priority="11">
      <formula>+IF($G$102="No",1,0)</formula>
    </cfRule>
  </conditionalFormatting>
  <conditionalFormatting sqref="F51">
    <cfRule type="expression" dxfId="1739" priority="10">
      <formula>+IF($F$43="no",1,0)</formula>
    </cfRule>
  </conditionalFormatting>
  <conditionalFormatting sqref="I51">
    <cfRule type="expression" dxfId="1738" priority="9">
      <formula>+IF($F$51="no",1,0)</formula>
    </cfRule>
  </conditionalFormatting>
  <conditionalFormatting sqref="F32:M33">
    <cfRule type="expression" dxfId="1737" priority="7">
      <formula>+IF($Q$30="NA",1,0)</formula>
    </cfRule>
  </conditionalFormatting>
  <conditionalFormatting sqref="F33:M33">
    <cfRule type="expression" dxfId="1736" priority="6">
      <formula>+IF($Q$33=0,1,0)</formula>
    </cfRule>
  </conditionalFormatting>
  <conditionalFormatting sqref="F77:F86 M77:M86">
    <cfRule type="expression" dxfId="1735" priority="2">
      <formula>+IF($AK77=0,1)</formula>
    </cfRule>
  </conditionalFormatting>
  <conditionalFormatting sqref="G77:L86">
    <cfRule type="expression" dxfId="1734" priority="1">
      <formula>+IF($AK77=0,1)</formula>
    </cfRule>
  </conditionalFormatting>
  <dataValidations count="13">
    <dataValidation type="list" allowBlank="1" showInputMessage="1" showErrorMessage="1" sqref="F25">
      <formula1>dimen</formula1>
    </dataValidation>
    <dataValidation type="list" allowBlank="1" showInputMessage="1" showErrorMessage="1" sqref="G49:M49">
      <formula1>proyectos</formula1>
    </dataValidation>
    <dataValidation type="list" allowBlank="1" showInputMessage="1" showErrorMessage="1" sqref="F71">
      <formula1>$D$75:$D$86</formula1>
    </dataValidation>
    <dataValidation type="list" allowBlank="1" showInputMessage="1" showErrorMessage="1" sqref="I24">
      <formula1>ambito</formula1>
    </dataValidation>
    <dataValidation type="list" allowBlank="1" showInputMessage="1" showErrorMessage="1" sqref="I23">
      <formula1>medidas</formula1>
    </dataValidation>
    <dataValidation type="list" allowBlank="1" showInputMessage="1" showErrorMessage="1" sqref="F24">
      <formula1>tendencia</formula1>
    </dataValidation>
    <dataValidation type="list" allowBlank="1" showInputMessage="1" showErrorMessage="1" sqref="G47:M47">
      <formula1>INDIRECT($Q$45)</formula1>
    </dataValidation>
    <dataValidation type="list" allowBlank="1" showInputMessage="1" showErrorMessage="1" sqref="G45:M45">
      <formula1>lineas</formula1>
    </dataValidation>
    <dataValidation type="list" allowBlank="1" showInputMessage="1" showErrorMessage="1" sqref="G31:M31">
      <formula1>macroproceso</formula1>
    </dataValidation>
    <dataValidation type="list" allowBlank="1" showInputMessage="1" showErrorMessage="1" sqref="G33:M33">
      <formula1>INDIRECT($Q$30)</formula1>
    </dataValidation>
    <dataValidation type="list" allowBlank="1" showInputMessage="1" showErrorMessage="1" sqref="F35:G35">
      <formula1>macroprocesos</formula1>
    </dataValidation>
    <dataValidation type="list" allowBlank="1" showInputMessage="1" showErrorMessage="1" sqref="F29:M29">
      <formula1>objetivos</formula1>
    </dataValidation>
    <dataValidation type="list" allowBlank="1" showInputMessage="1" showErrorMessage="1" sqref="G102 F43 F51">
      <formula1>$S$4:$S$5</formula1>
    </dataValidation>
  </dataValidations>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[1]Hoja1!#REF!</xm:f>
          </x14:formula1>
          <xm:sqref>S12</xm:sqref>
        </x14:dataValidation>
        <x14:dataValidation type="list" allowBlank="1" showInputMessage="1" showErrorMessage="1">
          <x14:formula1>
            <xm:f>[1]base!#REF!</xm:f>
          </x14:formula1>
          <xm:sqref>R75:R78 T75:T78 V75:V78 X75:X78 Z75:Z78 AB75:AB78 T81:T84 Z81:Z84 R81:R84 V81:V84 X81:X84 AB81:AB84 F23</xm:sqref>
        </x14:dataValidation>
      </x14:dataValidations>
    </ext>
  </extLst>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9">
    <tabColor rgb="FF0070C0"/>
  </sheetPr>
  <dimension ref="B1:AV113"/>
  <sheetViews>
    <sheetView topLeftCell="A46" zoomScaleNormal="100" workbookViewId="0"/>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344</v>
      </c>
      <c r="O10" s="2"/>
    </row>
    <row r="11" spans="2:24" ht="3.95" customHeight="1" x14ac:dyDescent="0.25">
      <c r="B11" s="2"/>
      <c r="D11" s="6"/>
      <c r="O11" s="2"/>
    </row>
    <row r="12" spans="2:24" ht="36" customHeight="1" x14ac:dyDescent="0.25">
      <c r="B12" s="2"/>
      <c r="D12" s="338" t="s">
        <v>5</v>
      </c>
      <c r="E12" s="339"/>
      <c r="F12" s="340" t="s">
        <v>345</v>
      </c>
      <c r="G12" s="341"/>
      <c r="H12" s="341"/>
      <c r="I12" s="341"/>
      <c r="J12" s="341"/>
      <c r="K12" s="341"/>
      <c r="L12" s="341"/>
      <c r="M12" s="342"/>
      <c r="O12" s="2"/>
      <c r="W12" s="3" t="str">
        <f>+F23</f>
        <v>Trimestral</v>
      </c>
      <c r="X12" s="3" t="str">
        <f>+F71</f>
        <v>Marzo</v>
      </c>
    </row>
    <row r="13" spans="2:24" ht="3.95" customHeight="1" x14ac:dyDescent="0.25">
      <c r="B13" s="2"/>
      <c r="O13" s="2"/>
    </row>
    <row r="14" spans="2:24" ht="38.25" customHeight="1" x14ac:dyDescent="0.25">
      <c r="B14" s="2"/>
      <c r="D14" s="338" t="s">
        <v>6</v>
      </c>
      <c r="E14" s="339"/>
      <c r="F14" s="340" t="s">
        <v>1000</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17">
        <v>0.7</v>
      </c>
      <c r="G22" s="337" t="s">
        <v>9</v>
      </c>
      <c r="H22" s="337"/>
      <c r="I22" s="17">
        <v>0.8</v>
      </c>
      <c r="K22" s="337" t="s">
        <v>10</v>
      </c>
      <c r="L22" s="337"/>
      <c r="M22" s="9" t="s">
        <v>496</v>
      </c>
      <c r="O22" s="2"/>
    </row>
    <row r="23" spans="2:17" ht="19.5" customHeight="1" x14ac:dyDescent="0.25">
      <c r="B23" s="2"/>
      <c r="D23" s="337" t="s">
        <v>11</v>
      </c>
      <c r="E23" s="337"/>
      <c r="F23" s="4" t="s">
        <v>71</v>
      </c>
      <c r="G23" s="337" t="s">
        <v>12</v>
      </c>
      <c r="H23" s="337"/>
      <c r="I23" s="4" t="s">
        <v>497</v>
      </c>
      <c r="K23" s="337" t="s">
        <v>13</v>
      </c>
      <c r="L23" s="337"/>
      <c r="M23" s="9" t="s">
        <v>2</v>
      </c>
      <c r="O23" s="2"/>
    </row>
    <row r="24" spans="2:17" ht="20.100000000000001" customHeight="1" x14ac:dyDescent="0.25">
      <c r="B24" s="2"/>
      <c r="D24" s="337" t="s">
        <v>14</v>
      </c>
      <c r="E24" s="337"/>
      <c r="F24" s="4" t="s">
        <v>498</v>
      </c>
      <c r="G24" s="337" t="s">
        <v>15</v>
      </c>
      <c r="H24" s="337"/>
      <c r="I24" s="4" t="s">
        <v>533</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soporte</v>
      </c>
    </row>
    <row r="31" spans="2:17" ht="24" customHeight="1" x14ac:dyDescent="0.25">
      <c r="B31" s="2"/>
      <c r="D31" s="347"/>
      <c r="E31" s="348"/>
      <c r="F31" s="4" t="s">
        <v>257</v>
      </c>
      <c r="G31" s="340" t="s">
        <v>258</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1001</v>
      </c>
      <c r="G33" s="340" t="s">
        <v>994</v>
      </c>
      <c r="H33" s="341"/>
      <c r="I33" s="341"/>
      <c r="J33" s="341"/>
      <c r="K33" s="341"/>
      <c r="L33" s="341"/>
      <c r="M33" s="342"/>
      <c r="O33" s="2"/>
      <c r="Q33" s="3">
        <f>+IFERROR(IF(VLOOKUP(G33,base!$A$26:$C$40,3,FALSE)=F31,1,0),"")</f>
        <v>1</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1716</v>
      </c>
      <c r="G35" s="340" t="s">
        <v>1592</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501</v>
      </c>
      <c r="G45" s="340" t="s">
        <v>515</v>
      </c>
      <c r="H45" s="341"/>
      <c r="I45" s="341"/>
      <c r="J45" s="341"/>
      <c r="K45" s="341"/>
      <c r="L45" s="341"/>
      <c r="M45" s="342"/>
      <c r="O45" s="2"/>
      <c r="Q45" s="3" t="str">
        <f>+IFERROR(VLOOKUP(G45,base!$A$41:$C$45,3,FALSE),"")</f>
        <v>misional</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503</v>
      </c>
      <c r="G47" s="340" t="s">
        <v>995</v>
      </c>
      <c r="H47" s="341"/>
      <c r="I47" s="341"/>
      <c r="J47" s="341"/>
      <c r="K47" s="341"/>
      <c r="L47" s="341"/>
      <c r="M47" s="342"/>
      <c r="O47" s="2"/>
      <c r="Q47" s="3">
        <f>+IF(VLOOKUP(G47,base!$A$46:$C$66,3,FALSE)=F45,1,0)</f>
        <v>1</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920</v>
      </c>
      <c r="G49" s="340" t="s">
        <v>899</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496</v>
      </c>
      <c r="G51" s="337" t="s">
        <v>32</v>
      </c>
      <c r="H51" s="337"/>
      <c r="I51" s="17">
        <v>0.8</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 customHeight="1" x14ac:dyDescent="0.25">
      <c r="B59" s="2"/>
      <c r="D59" s="337" t="s">
        <v>34</v>
      </c>
      <c r="E59" s="337"/>
      <c r="F59" s="344" t="s">
        <v>1812</v>
      </c>
      <c r="G59" s="344"/>
      <c r="H59" s="344"/>
      <c r="I59" s="344"/>
      <c r="J59" s="344"/>
      <c r="K59" s="344"/>
      <c r="L59" s="344"/>
      <c r="M59" s="344"/>
      <c r="O59" s="2"/>
    </row>
    <row r="60" spans="2:15" ht="27.75" customHeight="1" x14ac:dyDescent="0.25">
      <c r="B60" s="2"/>
      <c r="D60" s="359" t="s">
        <v>35</v>
      </c>
      <c r="E60" s="359"/>
      <c r="F60" s="344" t="s">
        <v>1813</v>
      </c>
      <c r="G60" s="344"/>
      <c r="H60" s="344"/>
      <c r="I60" s="344"/>
      <c r="J60" s="344"/>
      <c r="K60" s="344"/>
      <c r="L60" s="344"/>
      <c r="M60" s="344"/>
      <c r="O60" s="2"/>
    </row>
    <row r="61" spans="2:15" ht="27.75" customHeight="1" x14ac:dyDescent="0.25">
      <c r="B61" s="2"/>
      <c r="D61" s="359" t="s">
        <v>36</v>
      </c>
      <c r="E61" s="359"/>
      <c r="F61" s="344" t="s">
        <v>1002</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43" t="s">
        <v>39</v>
      </c>
      <c r="E71" s="343"/>
      <c r="F71" s="4" t="s">
        <v>47</v>
      </c>
      <c r="G71" s="3">
        <v>3</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v>9.9000000000000005E-2</v>
      </c>
      <c r="H77" s="16">
        <v>0.1</v>
      </c>
      <c r="I77" s="16">
        <v>0.14899999999999999</v>
      </c>
      <c r="J77" s="16">
        <v>0.15</v>
      </c>
      <c r="K77" s="16">
        <v>0.19900000000000001</v>
      </c>
      <c r="L77" s="16">
        <v>0.2</v>
      </c>
      <c r="M77" s="16" t="s">
        <v>500</v>
      </c>
      <c r="O77" s="2"/>
      <c r="AE77" s="3" t="s">
        <v>47</v>
      </c>
      <c r="AF77" s="3">
        <v>3</v>
      </c>
      <c r="AG77" s="3">
        <f t="shared" si="0"/>
        <v>1</v>
      </c>
      <c r="AH77" s="3">
        <f>+IF(AG77=0,0,IF(AG77=1,(SUM($AG$75:AG77)-1),1))</f>
        <v>0</v>
      </c>
      <c r="AI77" s="3">
        <f t="shared" si="1"/>
        <v>0</v>
      </c>
      <c r="AJ77" s="3">
        <f t="shared" si="2"/>
        <v>1</v>
      </c>
      <c r="AK77" s="3">
        <f t="shared" si="3"/>
        <v>1</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2</v>
      </c>
      <c r="AI79" s="3">
        <f t="shared" si="1"/>
        <v>0</v>
      </c>
      <c r="AJ79" s="3">
        <f t="shared" si="2"/>
        <v>0</v>
      </c>
      <c r="AK79" s="3">
        <f t="shared" si="3"/>
        <v>0</v>
      </c>
    </row>
    <row r="80" spans="2:37" x14ac:dyDescent="0.25">
      <c r="B80" s="2"/>
      <c r="D80" s="360" t="s">
        <v>50</v>
      </c>
      <c r="E80" s="360"/>
      <c r="F80" s="16" t="s">
        <v>500</v>
      </c>
      <c r="G80" s="16">
        <v>0.19900000000000001</v>
      </c>
      <c r="H80" s="16">
        <v>0.2</v>
      </c>
      <c r="I80" s="16">
        <v>0.29899999999999999</v>
      </c>
      <c r="J80" s="16">
        <v>0.3</v>
      </c>
      <c r="K80" s="16">
        <v>0.39900000000000002</v>
      </c>
      <c r="L80" s="16">
        <v>0.4</v>
      </c>
      <c r="M80" s="16" t="s">
        <v>500</v>
      </c>
      <c r="O80" s="2"/>
      <c r="AE80" s="3" t="s">
        <v>50</v>
      </c>
      <c r="AF80" s="3">
        <v>6</v>
      </c>
      <c r="AG80" s="3">
        <f t="shared" si="0"/>
        <v>1</v>
      </c>
      <c r="AH80" s="3">
        <f>+IF(AG80=0,0,IF(AG80=1,(SUM($AG$75:AG80)-1),1))</f>
        <v>3</v>
      </c>
      <c r="AI80" s="3">
        <f t="shared" si="1"/>
        <v>1</v>
      </c>
      <c r="AJ80" s="3">
        <f t="shared" si="2"/>
        <v>0</v>
      </c>
      <c r="AK80" s="3">
        <f t="shared" si="3"/>
        <v>1</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4</v>
      </c>
      <c r="AI81" s="3">
        <f t="shared" si="1"/>
        <v>0</v>
      </c>
      <c r="AJ81" s="3">
        <f t="shared" si="2"/>
        <v>0</v>
      </c>
      <c r="AK81" s="3">
        <f t="shared" si="3"/>
        <v>0</v>
      </c>
    </row>
    <row r="82" spans="2:37" x14ac:dyDescent="0.25">
      <c r="B82" s="2"/>
      <c r="D82" s="360" t="s">
        <v>54</v>
      </c>
      <c r="E82" s="360"/>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60" t="s">
        <v>55</v>
      </c>
      <c r="E83" s="360"/>
      <c r="F83" s="16" t="s">
        <v>500</v>
      </c>
      <c r="G83" s="16">
        <v>0.39900000000000002</v>
      </c>
      <c r="H83" s="16">
        <v>0.4</v>
      </c>
      <c r="I83" s="16">
        <v>0.499</v>
      </c>
      <c r="J83" s="16">
        <v>0.5</v>
      </c>
      <c r="K83" s="16">
        <v>0.59899999999999998</v>
      </c>
      <c r="L83" s="16">
        <v>0.6</v>
      </c>
      <c r="M83" s="16" t="s">
        <v>500</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60" t="s">
        <v>58</v>
      </c>
      <c r="E86" s="360"/>
      <c r="F86" s="16" t="s">
        <v>500</v>
      </c>
      <c r="G86" s="16">
        <v>0.59899999999999998</v>
      </c>
      <c r="H86" s="16">
        <v>0.6</v>
      </c>
      <c r="I86" s="16">
        <v>0.69899999999999995</v>
      </c>
      <c r="J86" s="16">
        <v>0.7</v>
      </c>
      <c r="K86" s="16">
        <v>0.79900000000000004</v>
      </c>
      <c r="L86" s="16">
        <v>0.8</v>
      </c>
      <c r="M86" s="16" t="s">
        <v>500</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66" customHeight="1" x14ac:dyDescent="0.25">
      <c r="B88" s="2"/>
      <c r="D88" s="338" t="s">
        <v>59</v>
      </c>
      <c r="E88" s="339"/>
      <c r="F88" s="340"/>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2" customHeight="1" x14ac:dyDescent="0.25">
      <c r="B97" s="2"/>
      <c r="D97" s="359" t="s">
        <v>35</v>
      </c>
      <c r="E97" s="359"/>
      <c r="F97" s="344" t="s">
        <v>1003</v>
      </c>
      <c r="G97" s="344"/>
      <c r="H97" s="344"/>
      <c r="I97" s="344"/>
      <c r="J97" s="344"/>
      <c r="K97" s="344"/>
      <c r="L97" s="344"/>
      <c r="M97" s="344"/>
      <c r="O97" s="2"/>
    </row>
    <row r="98" spans="2:15" ht="42" customHeight="1" x14ac:dyDescent="0.25">
      <c r="B98" s="2"/>
      <c r="D98" s="359" t="s">
        <v>36</v>
      </c>
      <c r="E98" s="359"/>
      <c r="F98" s="344" t="s">
        <v>1004</v>
      </c>
      <c r="G98" s="344"/>
      <c r="H98" s="344"/>
      <c r="I98" s="344"/>
      <c r="J98" s="344"/>
      <c r="K98" s="344"/>
      <c r="L98" s="344"/>
      <c r="M98" s="344"/>
      <c r="O98" s="2"/>
    </row>
    <row r="99" spans="2:15" ht="3.95" customHeight="1" x14ac:dyDescent="0.25">
      <c r="B99" s="2"/>
      <c r="O99" s="2"/>
    </row>
    <row r="100" spans="2:15" ht="181.5" customHeight="1" x14ac:dyDescent="0.25">
      <c r="B100" s="2"/>
      <c r="D100" s="338" t="s">
        <v>62</v>
      </c>
      <c r="E100" s="339"/>
      <c r="F100" s="340" t="s">
        <v>1814</v>
      </c>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1</v>
      </c>
      <c r="K102" s="20"/>
      <c r="O102" s="2"/>
    </row>
    <row r="103" spans="2:15" ht="19.5" customHeight="1" x14ac:dyDescent="0.25">
      <c r="B103" s="2"/>
      <c r="D103" s="331"/>
      <c r="E103" s="332"/>
      <c r="F103" s="19" t="s">
        <v>66</v>
      </c>
      <c r="G103" s="4" t="s">
        <v>348</v>
      </c>
      <c r="K103" s="21"/>
      <c r="O103" s="2"/>
    </row>
    <row r="104" spans="2:15" ht="27.75" customHeight="1" x14ac:dyDescent="0.25">
      <c r="B104" s="2"/>
      <c r="D104" s="331"/>
      <c r="E104" s="332"/>
      <c r="F104" s="19" t="s">
        <v>67</v>
      </c>
      <c r="G104" s="333" t="s">
        <v>996</v>
      </c>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Jefe Oficina de Control Interno Disciplinario</v>
      </c>
      <c r="H108" s="334"/>
      <c r="I108" s="334"/>
      <c r="J108" s="334"/>
      <c r="K108" s="334"/>
      <c r="L108" s="334"/>
      <c r="M108" s="335"/>
      <c r="O108" s="2"/>
    </row>
    <row r="109" spans="2:15" ht="17.25" customHeight="1" x14ac:dyDescent="0.25">
      <c r="B109" s="2"/>
      <c r="D109" s="331"/>
      <c r="E109" s="332"/>
      <c r="F109" s="19" t="s">
        <v>2042</v>
      </c>
      <c r="G109" s="333" t="str">
        <f>+IF(M23="Si","Coordinador(a) Planeación y Sistemas","")</f>
        <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733" priority="31">
      <formula>+IF($F$43="no",1,0)</formula>
    </cfRule>
  </conditionalFormatting>
  <conditionalFormatting sqref="F32:M33">
    <cfRule type="expression" dxfId="1732" priority="30">
      <formula>+IF($Q$30="NA",1,0)</formula>
    </cfRule>
  </conditionalFormatting>
  <conditionalFormatting sqref="F33:M33">
    <cfRule type="expression" dxfId="1731" priority="29">
      <formula>+IF($Q$33=0,1,0)</formula>
    </cfRule>
  </conditionalFormatting>
  <conditionalFormatting sqref="F47:M47">
    <cfRule type="expression" dxfId="1730" priority="28">
      <formula>+IF($Q$47=0,1,0)</formula>
    </cfRule>
  </conditionalFormatting>
  <conditionalFormatting sqref="F73:G73">
    <cfRule type="cellIs" dxfId="1729" priority="14" operator="equal">
      <formula>"optimo"</formula>
    </cfRule>
    <cfRule type="cellIs" dxfId="1728" priority="15" operator="equal">
      <formula>"critico"</formula>
    </cfRule>
  </conditionalFormatting>
  <conditionalFormatting sqref="H73:I73">
    <cfRule type="cellIs" dxfId="1727" priority="12" operator="equal">
      <formula>"Adecuado"</formula>
    </cfRule>
    <cfRule type="cellIs" dxfId="1726" priority="13" operator="equal">
      <formula>"en riesgo"</formula>
    </cfRule>
  </conditionalFormatting>
  <conditionalFormatting sqref="J73:K73">
    <cfRule type="cellIs" dxfId="1725" priority="10" operator="equal">
      <formula>"Adecuado"</formula>
    </cfRule>
    <cfRule type="cellIs" dxfId="1724" priority="11" operator="equal">
      <formula>"en riesgo"</formula>
    </cfRule>
  </conditionalFormatting>
  <conditionalFormatting sqref="L73:M73">
    <cfRule type="cellIs" dxfId="1723" priority="8" operator="equal">
      <formula>"optimo"</formula>
    </cfRule>
    <cfRule type="cellIs" dxfId="1722" priority="9" operator="equal">
      <formula>"critico"</formula>
    </cfRule>
  </conditionalFormatting>
  <conditionalFormatting sqref="F75:M86">
    <cfRule type="expression" dxfId="1721" priority="7">
      <formula>+IF($AK75=0,1)</formula>
    </cfRule>
  </conditionalFormatting>
  <conditionalFormatting sqref="F103:G104">
    <cfRule type="expression" dxfId="1720" priority="6">
      <formula>+IF($G$102="No",1,0)</formula>
    </cfRule>
  </conditionalFormatting>
  <conditionalFormatting sqref="F51">
    <cfRule type="expression" dxfId="1719" priority="5">
      <formula>+IF($F$43="no",1,0)</formula>
    </cfRule>
  </conditionalFormatting>
  <conditionalFormatting sqref="I51">
    <cfRule type="expression" dxfId="1718"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tabColor rgb="FF75C4FF"/>
  </sheetPr>
  <dimension ref="B1:AV113"/>
  <sheetViews>
    <sheetView topLeftCell="A49" zoomScaleNormal="100" workbookViewId="0">
      <selection activeCell="J86" sqref="J86:K86"/>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120</v>
      </c>
      <c r="O10" s="2"/>
    </row>
    <row r="11" spans="2:24" ht="3.95" customHeight="1" x14ac:dyDescent="0.25">
      <c r="B11" s="2"/>
      <c r="D11" s="6"/>
      <c r="O11" s="2"/>
    </row>
    <row r="12" spans="2:24" ht="36" customHeight="1" x14ac:dyDescent="0.25">
      <c r="B12" s="2"/>
      <c r="D12" s="338" t="s">
        <v>5</v>
      </c>
      <c r="E12" s="339"/>
      <c r="F12" s="340" t="s">
        <v>121</v>
      </c>
      <c r="G12" s="341"/>
      <c r="H12" s="341"/>
      <c r="I12" s="341"/>
      <c r="J12" s="341"/>
      <c r="K12" s="341"/>
      <c r="L12" s="341"/>
      <c r="M12" s="342"/>
      <c r="O12" s="2"/>
      <c r="W12" s="3" t="str">
        <f>+F23</f>
        <v>Trimestral</v>
      </c>
      <c r="X12" s="3" t="str">
        <f>+F71</f>
        <v>Junio</v>
      </c>
    </row>
    <row r="13" spans="2:24" ht="3.95" customHeight="1" x14ac:dyDescent="0.25">
      <c r="B13" s="2"/>
      <c r="O13" s="2"/>
    </row>
    <row r="14" spans="2:24" ht="36" customHeight="1" x14ac:dyDescent="0.25">
      <c r="B14" s="2"/>
      <c r="D14" s="338" t="s">
        <v>6</v>
      </c>
      <c r="E14" s="339"/>
      <c r="F14" s="340" t="s">
        <v>626</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8" t="s">
        <v>512</v>
      </c>
      <c r="G22" s="337" t="s">
        <v>9</v>
      </c>
      <c r="H22" s="337"/>
      <c r="I22" s="8">
        <v>50</v>
      </c>
      <c r="K22" s="337" t="s">
        <v>10</v>
      </c>
      <c r="L22" s="337"/>
      <c r="M22" s="9" t="s">
        <v>496</v>
      </c>
      <c r="O22" s="2"/>
    </row>
    <row r="23" spans="2:17" ht="19.5" customHeight="1" x14ac:dyDescent="0.25">
      <c r="B23" s="2"/>
      <c r="D23" s="337" t="s">
        <v>11</v>
      </c>
      <c r="E23" s="337"/>
      <c r="F23" s="4" t="s">
        <v>71</v>
      </c>
      <c r="G23" s="337" t="s">
        <v>12</v>
      </c>
      <c r="H23" s="337"/>
      <c r="I23" s="4" t="s">
        <v>553</v>
      </c>
      <c r="K23" s="337" t="s">
        <v>13</v>
      </c>
      <c r="L23" s="337"/>
      <c r="M23" s="9" t="s">
        <v>2</v>
      </c>
      <c r="O23" s="2"/>
    </row>
    <row r="24" spans="2:17" ht="20.100000000000001" customHeight="1" x14ac:dyDescent="0.25">
      <c r="B24" s="2"/>
      <c r="D24" s="337" t="s">
        <v>14</v>
      </c>
      <c r="E24" s="337"/>
      <c r="F24" s="4" t="s">
        <v>498</v>
      </c>
      <c r="G24" s="337" t="s">
        <v>15</v>
      </c>
      <c r="H24" s="337"/>
      <c r="I24" s="4" t="s">
        <v>519</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20</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NA</v>
      </c>
    </row>
    <row r="31" spans="2:17" ht="24" customHeight="1" x14ac:dyDescent="0.25">
      <c r="B31" s="2"/>
      <c r="D31" s="347"/>
      <c r="E31" s="348"/>
      <c r="F31" s="4" t="s">
        <v>109</v>
      </c>
      <c r="G31" s="340" t="s">
        <v>110</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500</v>
      </c>
      <c r="G33" s="340"/>
      <c r="H33" s="341"/>
      <c r="I33" s="341"/>
      <c r="J33" s="341"/>
      <c r="K33" s="341"/>
      <c r="L33" s="341"/>
      <c r="M33" s="342"/>
      <c r="O33" s="2"/>
      <c r="Q33" s="3" t="str">
        <f>+IFERROR(IF(VLOOKUP(G33,base!$A$26:$C$40,3,FALSE)=F31,1,0),"")</f>
        <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1711</v>
      </c>
      <c r="G35" s="340" t="s">
        <v>1587</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501</v>
      </c>
      <c r="G45" s="340" t="s">
        <v>502</v>
      </c>
      <c r="H45" s="341"/>
      <c r="I45" s="341"/>
      <c r="J45" s="341"/>
      <c r="K45" s="341"/>
      <c r="L45" s="341"/>
      <c r="M45" s="342"/>
      <c r="O45" s="2"/>
      <c r="Q45" s="3" t="str">
        <f>+IFERROR(VLOOKUP(G45,base!$A$41:$C$45,3,FALSE),"")</f>
        <v>misional</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503</v>
      </c>
      <c r="G47" s="340" t="s">
        <v>504</v>
      </c>
      <c r="H47" s="341"/>
      <c r="I47" s="341"/>
      <c r="J47" s="341"/>
      <c r="K47" s="341"/>
      <c r="L47" s="341"/>
      <c r="M47" s="342"/>
      <c r="O47" s="2"/>
      <c r="Q47" s="3">
        <f>+IF(VLOOKUP(G47,base!$A$46:$C$66,3,FALSE)=F45,1,0)</f>
        <v>1</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535</v>
      </c>
      <c r="G49" s="340" t="s">
        <v>30</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496</v>
      </c>
      <c r="G51" s="337" t="s">
        <v>32</v>
      </c>
      <c r="H51" s="337"/>
      <c r="I51" s="8">
        <v>150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75" customHeight="1" x14ac:dyDescent="0.25">
      <c r="B59" s="2"/>
      <c r="D59" s="337" t="s">
        <v>34</v>
      </c>
      <c r="E59" s="337"/>
      <c r="F59" s="344" t="s">
        <v>627</v>
      </c>
      <c r="G59" s="344"/>
      <c r="H59" s="344"/>
      <c r="I59" s="344"/>
      <c r="J59" s="344"/>
      <c r="K59" s="344"/>
      <c r="L59" s="344"/>
      <c r="M59" s="344"/>
      <c r="O59" s="2"/>
    </row>
    <row r="60" spans="2:15" ht="27" customHeight="1" x14ac:dyDescent="0.25">
      <c r="B60" s="2"/>
      <c r="D60" s="359" t="s">
        <v>35</v>
      </c>
      <c r="E60" s="359"/>
      <c r="F60" s="344" t="s">
        <v>628</v>
      </c>
      <c r="G60" s="344"/>
      <c r="H60" s="344"/>
      <c r="I60" s="344"/>
      <c r="J60" s="344"/>
      <c r="K60" s="344"/>
      <c r="L60" s="344"/>
      <c r="M60" s="344"/>
      <c r="O60" s="2"/>
    </row>
    <row r="61" spans="2:15" ht="27" customHeight="1" x14ac:dyDescent="0.25">
      <c r="B61" s="2"/>
      <c r="D61" s="359" t="s">
        <v>36</v>
      </c>
      <c r="E61" s="359"/>
      <c r="F61" s="344" t="s">
        <v>629</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43" t="s">
        <v>39</v>
      </c>
      <c r="E71" s="343"/>
      <c r="F71" s="4" t="s">
        <v>50</v>
      </c>
      <c r="G71" s="3">
        <v>6</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60" t="s">
        <v>50</v>
      </c>
      <c r="E80" s="360"/>
      <c r="F80" s="16" t="s">
        <v>500</v>
      </c>
      <c r="G80" s="16">
        <v>0.19900000000000001</v>
      </c>
      <c r="H80" s="16">
        <v>0.2</v>
      </c>
      <c r="I80" s="16">
        <v>0.249</v>
      </c>
      <c r="J80" s="16">
        <v>0.25</v>
      </c>
      <c r="K80" s="16">
        <v>0.29899999999999999</v>
      </c>
      <c r="L80" s="16">
        <v>0.3</v>
      </c>
      <c r="M80" s="16" t="s">
        <v>500</v>
      </c>
      <c r="O80" s="2"/>
      <c r="AE80" s="3" t="s">
        <v>50</v>
      </c>
      <c r="AF80" s="3">
        <v>6</v>
      </c>
      <c r="AG80" s="3">
        <f t="shared" si="0"/>
        <v>1</v>
      </c>
      <c r="AH80" s="3">
        <f>+IF(AG80=0,0,IF(AG80=1,(SUM($AG$75:AG80)-1),1))</f>
        <v>0</v>
      </c>
      <c r="AI80" s="3">
        <f t="shared" si="1"/>
        <v>0</v>
      </c>
      <c r="AJ80" s="3">
        <f t="shared" si="2"/>
        <v>1</v>
      </c>
      <c r="AK80" s="3">
        <f t="shared" si="3"/>
        <v>1</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1</v>
      </c>
      <c r="AI81" s="3">
        <f t="shared" si="1"/>
        <v>0</v>
      </c>
      <c r="AJ81" s="3">
        <f t="shared" si="2"/>
        <v>0</v>
      </c>
      <c r="AK81" s="3">
        <f t="shared" si="3"/>
        <v>0</v>
      </c>
    </row>
    <row r="82" spans="2:37" x14ac:dyDescent="0.25">
      <c r="B82" s="2"/>
      <c r="D82" s="360" t="s">
        <v>54</v>
      </c>
      <c r="E82" s="360"/>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2</v>
      </c>
      <c r="AI82" s="3">
        <f t="shared" si="1"/>
        <v>0</v>
      </c>
      <c r="AJ82" s="3">
        <f t="shared" si="2"/>
        <v>0</v>
      </c>
      <c r="AK82" s="3">
        <f t="shared" si="3"/>
        <v>0</v>
      </c>
    </row>
    <row r="83" spans="2:37" x14ac:dyDescent="0.25">
      <c r="B83" s="2"/>
      <c r="D83" s="360" t="s">
        <v>55</v>
      </c>
      <c r="E83" s="360"/>
      <c r="F83" s="16" t="s">
        <v>500</v>
      </c>
      <c r="G83" s="16">
        <v>0.499</v>
      </c>
      <c r="H83" s="16">
        <v>0.5</v>
      </c>
      <c r="I83" s="16">
        <v>0.54900000000000004</v>
      </c>
      <c r="J83" s="16">
        <v>0.55000000000000004</v>
      </c>
      <c r="K83" s="16">
        <v>0.59899999999999998</v>
      </c>
      <c r="L83" s="16">
        <v>0.6</v>
      </c>
      <c r="M83" s="16" t="s">
        <v>500</v>
      </c>
      <c r="O83" s="2"/>
      <c r="AE83" s="3" t="s">
        <v>55</v>
      </c>
      <c r="AF83" s="3">
        <v>9</v>
      </c>
      <c r="AG83" s="3">
        <f t="shared" si="0"/>
        <v>1</v>
      </c>
      <c r="AH83" s="3">
        <f>+IF(AG83=0,0,IF(AG83=1,(SUM($AG$75:AG83)-1),1))</f>
        <v>3</v>
      </c>
      <c r="AI83" s="3">
        <f t="shared" si="1"/>
        <v>1</v>
      </c>
      <c r="AJ83" s="3">
        <f t="shared" si="2"/>
        <v>0</v>
      </c>
      <c r="AK83" s="3">
        <f t="shared" si="3"/>
        <v>1</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4</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5</v>
      </c>
      <c r="AI85" s="3">
        <f t="shared" si="1"/>
        <v>0</v>
      </c>
      <c r="AJ85" s="3">
        <f t="shared" si="2"/>
        <v>0</v>
      </c>
      <c r="AK85" s="3">
        <f t="shared" si="3"/>
        <v>0</v>
      </c>
    </row>
    <row r="86" spans="2:37" x14ac:dyDescent="0.25">
      <c r="B86" s="2"/>
      <c r="D86" s="360" t="s">
        <v>58</v>
      </c>
      <c r="E86" s="360"/>
      <c r="F86" s="16" t="s">
        <v>500</v>
      </c>
      <c r="G86" s="16">
        <v>0.79900000000000004</v>
      </c>
      <c r="H86" s="16">
        <v>0.8</v>
      </c>
      <c r="I86" s="16">
        <v>0.89900000000000002</v>
      </c>
      <c r="J86" s="16">
        <v>0.9</v>
      </c>
      <c r="K86" s="16">
        <v>0.999</v>
      </c>
      <c r="L86" s="16">
        <v>1</v>
      </c>
      <c r="M86" s="16" t="s">
        <v>500</v>
      </c>
      <c r="O86" s="2"/>
      <c r="AE86" s="3" t="s">
        <v>58</v>
      </c>
      <c r="AF86" s="65">
        <v>12</v>
      </c>
      <c r="AG86" s="3">
        <f t="shared" si="0"/>
        <v>1</v>
      </c>
      <c r="AH86" s="3">
        <f>+IF(AG86=0,0,IF(AG86=1,(SUM($AG$75:AG86)-1),1))</f>
        <v>6</v>
      </c>
      <c r="AI86" s="3">
        <f t="shared" si="1"/>
        <v>1</v>
      </c>
      <c r="AJ86" s="3">
        <f t="shared" si="2"/>
        <v>0</v>
      </c>
      <c r="AK86" s="3">
        <f t="shared" si="3"/>
        <v>1</v>
      </c>
    </row>
    <row r="87" spans="2:37" ht="3.75" customHeight="1" x14ac:dyDescent="0.25">
      <c r="B87" s="2"/>
      <c r="O87" s="2"/>
    </row>
    <row r="88" spans="2:37" ht="66" customHeight="1" x14ac:dyDescent="0.25">
      <c r="B88" s="2"/>
      <c r="D88" s="338" t="s">
        <v>59</v>
      </c>
      <c r="E88" s="339"/>
      <c r="F88" s="340"/>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28.5" customHeight="1" x14ac:dyDescent="0.25">
      <c r="B97" s="2"/>
      <c r="D97" s="359" t="s">
        <v>35</v>
      </c>
      <c r="E97" s="359"/>
      <c r="F97" s="344" t="s">
        <v>1742</v>
      </c>
      <c r="G97" s="344"/>
      <c r="H97" s="344"/>
      <c r="I97" s="344"/>
      <c r="J97" s="344"/>
      <c r="K97" s="344"/>
      <c r="L97" s="344"/>
      <c r="M97" s="344"/>
      <c r="O97" s="2"/>
    </row>
    <row r="98" spans="2:15" ht="28.5" customHeight="1" x14ac:dyDescent="0.25">
      <c r="B98" s="2"/>
      <c r="D98" s="359" t="s">
        <v>36</v>
      </c>
      <c r="E98" s="359"/>
      <c r="F98" s="344" t="s">
        <v>491</v>
      </c>
      <c r="G98" s="344"/>
      <c r="H98" s="344"/>
      <c r="I98" s="344"/>
      <c r="J98" s="344"/>
      <c r="K98" s="344"/>
      <c r="L98" s="344"/>
      <c r="M98" s="344"/>
      <c r="O98" s="2"/>
    </row>
    <row r="99" spans="2:15" ht="3.95" customHeight="1" x14ac:dyDescent="0.25">
      <c r="B99" s="2"/>
      <c r="O99" s="2"/>
    </row>
    <row r="100" spans="2:15" ht="58.5" customHeight="1" x14ac:dyDescent="0.25">
      <c r="B100" s="2"/>
      <c r="D100" s="338" t="s">
        <v>62</v>
      </c>
      <c r="E100" s="339"/>
      <c r="F100" s="340" t="s">
        <v>77</v>
      </c>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2</v>
      </c>
      <c r="K102" s="20"/>
      <c r="O102" s="2"/>
    </row>
    <row r="103" spans="2:15" ht="19.5" customHeight="1" x14ac:dyDescent="0.25">
      <c r="B103" s="2"/>
      <c r="D103" s="331"/>
      <c r="E103" s="332"/>
      <c r="F103" s="19" t="s">
        <v>66</v>
      </c>
      <c r="G103" s="4"/>
      <c r="K103" s="21"/>
      <c r="O103" s="2"/>
    </row>
    <row r="104" spans="2:15" ht="27.75" customHeight="1" x14ac:dyDescent="0.25">
      <c r="B104" s="2"/>
      <c r="D104" s="331"/>
      <c r="E104" s="332"/>
      <c r="F104" s="19" t="s">
        <v>67</v>
      </c>
      <c r="G104" s="333"/>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69</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 xml:space="preserve">Director(a) Primera Infancia </v>
      </c>
      <c r="H108" s="334"/>
      <c r="I108" s="334"/>
      <c r="J108" s="334"/>
      <c r="K108" s="334"/>
      <c r="L108" s="334"/>
      <c r="M108" s="335"/>
      <c r="O108" s="2"/>
    </row>
    <row r="109" spans="2:15" ht="17.25" customHeight="1" x14ac:dyDescent="0.25">
      <c r="B109" s="2"/>
      <c r="D109" s="331"/>
      <c r="E109" s="332"/>
      <c r="F109" s="19" t="s">
        <v>2042</v>
      </c>
      <c r="G109" s="333" t="str">
        <f>+IF(M23="Si","Coordinador(a) Planeación y Sistemas","")</f>
        <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F51 G102">
    <cfRule type="expression" dxfId="3381" priority="29">
      <formula>+IF($F$43="no",1,0)</formula>
    </cfRule>
  </conditionalFormatting>
  <conditionalFormatting sqref="F32:M33">
    <cfRule type="expression" dxfId="3380" priority="28">
      <formula>+IF($Q$30="NA",1,0)</formula>
    </cfRule>
  </conditionalFormatting>
  <conditionalFormatting sqref="F33:M33">
    <cfRule type="expression" dxfId="3379" priority="27">
      <formula>+IF($Q$33=0,1,0)</formula>
    </cfRule>
  </conditionalFormatting>
  <conditionalFormatting sqref="F47:M47">
    <cfRule type="expression" dxfId="3378" priority="26">
      <formula>+IF($Q$47=0,1,0)</formula>
    </cfRule>
  </conditionalFormatting>
  <conditionalFormatting sqref="F73:G73">
    <cfRule type="cellIs" dxfId="3377" priority="12" operator="equal">
      <formula>"optimo"</formula>
    </cfRule>
    <cfRule type="cellIs" dxfId="3376" priority="13" operator="equal">
      <formula>"critico"</formula>
    </cfRule>
  </conditionalFormatting>
  <conditionalFormatting sqref="H73:I73">
    <cfRule type="cellIs" dxfId="3375" priority="10" operator="equal">
      <formula>"Adecuado"</formula>
    </cfRule>
    <cfRule type="cellIs" dxfId="3374" priority="11" operator="equal">
      <formula>"en riesgo"</formula>
    </cfRule>
  </conditionalFormatting>
  <conditionalFormatting sqref="J73:K73">
    <cfRule type="cellIs" dxfId="3373" priority="8" operator="equal">
      <formula>"Adecuado"</formula>
    </cfRule>
    <cfRule type="cellIs" dxfId="3372" priority="9" operator="equal">
      <formula>"en riesgo"</formula>
    </cfRule>
  </conditionalFormatting>
  <conditionalFormatting sqref="L73:M73">
    <cfRule type="cellIs" dxfId="3371" priority="6" operator="equal">
      <formula>"optimo"</formula>
    </cfRule>
    <cfRule type="cellIs" dxfId="3370" priority="7" operator="equal">
      <formula>"critico"</formula>
    </cfRule>
  </conditionalFormatting>
  <conditionalFormatting sqref="F75:M86">
    <cfRule type="expression" dxfId="3369" priority="5">
      <formula>+IF($AK75=0,1)</formula>
    </cfRule>
  </conditionalFormatting>
  <conditionalFormatting sqref="F103:G104">
    <cfRule type="expression" dxfId="3368" priority="4">
      <formula>+IF($G$102="No",1,0)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0">
    <tabColor rgb="FF0070C0"/>
  </sheetPr>
  <dimension ref="B1:AV113"/>
  <sheetViews>
    <sheetView topLeftCell="A37" zoomScaleNormal="100" workbookViewId="0">
      <selection activeCell="F108" sqref="F108:M11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346</v>
      </c>
      <c r="O10" s="2"/>
    </row>
    <row r="11" spans="2:24" ht="3.95" customHeight="1" x14ac:dyDescent="0.25">
      <c r="B11" s="2"/>
      <c r="D11" s="6"/>
      <c r="O11" s="2"/>
    </row>
    <row r="12" spans="2:24" ht="36" customHeight="1" x14ac:dyDescent="0.25">
      <c r="B12" s="2"/>
      <c r="D12" s="338" t="s">
        <v>5</v>
      </c>
      <c r="E12" s="339"/>
      <c r="F12" s="340" t="s">
        <v>347</v>
      </c>
      <c r="G12" s="341"/>
      <c r="H12" s="341"/>
      <c r="I12" s="341"/>
      <c r="J12" s="341"/>
      <c r="K12" s="341"/>
      <c r="L12" s="341"/>
      <c r="M12" s="342"/>
      <c r="O12" s="2"/>
      <c r="W12" s="3" t="str">
        <f>+F23</f>
        <v>Semestral</v>
      </c>
      <c r="X12" s="3" t="str">
        <f>+F71</f>
        <v>Junio</v>
      </c>
    </row>
    <row r="13" spans="2:24" ht="3.95" customHeight="1" x14ac:dyDescent="0.25">
      <c r="B13" s="2"/>
      <c r="O13" s="2"/>
    </row>
    <row r="14" spans="2:24" ht="38.25" customHeight="1" x14ac:dyDescent="0.25">
      <c r="B14" s="2"/>
      <c r="D14" s="338" t="s">
        <v>6</v>
      </c>
      <c r="E14" s="339"/>
      <c r="F14" s="340" t="s">
        <v>1011</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17" t="s">
        <v>512</v>
      </c>
      <c r="G22" s="337" t="s">
        <v>9</v>
      </c>
      <c r="H22" s="337"/>
      <c r="I22" s="17">
        <v>1</v>
      </c>
      <c r="K22" s="337" t="s">
        <v>10</v>
      </c>
      <c r="L22" s="337"/>
      <c r="M22" s="9" t="s">
        <v>496</v>
      </c>
      <c r="O22" s="2"/>
    </row>
    <row r="23" spans="2:17" ht="19.5" customHeight="1" x14ac:dyDescent="0.25">
      <c r="B23" s="2"/>
      <c r="D23" s="337" t="s">
        <v>11</v>
      </c>
      <c r="E23" s="337"/>
      <c r="F23" s="4" t="s">
        <v>104</v>
      </c>
      <c r="G23" s="337" t="s">
        <v>12</v>
      </c>
      <c r="H23" s="337"/>
      <c r="I23" s="4" t="s">
        <v>497</v>
      </c>
      <c r="K23" s="337" t="s">
        <v>13</v>
      </c>
      <c r="L23" s="337"/>
      <c r="M23" s="9" t="s">
        <v>2</v>
      </c>
      <c r="O23" s="2"/>
    </row>
    <row r="24" spans="2:17" ht="20.100000000000001" customHeight="1" x14ac:dyDescent="0.25">
      <c r="B24" s="2"/>
      <c r="D24" s="337" t="s">
        <v>14</v>
      </c>
      <c r="E24" s="337"/>
      <c r="F24" s="4" t="s">
        <v>498</v>
      </c>
      <c r="G24" s="337" t="s">
        <v>15</v>
      </c>
      <c r="H24" s="337"/>
      <c r="I24" s="4" t="s">
        <v>533</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soporte</v>
      </c>
    </row>
    <row r="31" spans="2:17" ht="24" customHeight="1" x14ac:dyDescent="0.25">
      <c r="B31" s="2"/>
      <c r="D31" s="347"/>
      <c r="E31" s="348"/>
      <c r="F31" s="4" t="s">
        <v>257</v>
      </c>
      <c r="G31" s="340" t="s">
        <v>258</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1001</v>
      </c>
      <c r="G33" s="340" t="s">
        <v>994</v>
      </c>
      <c r="H33" s="341"/>
      <c r="I33" s="341"/>
      <c r="J33" s="341"/>
      <c r="K33" s="341"/>
      <c r="L33" s="341"/>
      <c r="M33" s="342"/>
      <c r="O33" s="2"/>
      <c r="Q33" s="3">
        <f>+IFERROR(IF(VLOOKUP(G33,base!$A$26:$C$40,3,FALSE)=F31,1,0),"")</f>
        <v>1</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1716</v>
      </c>
      <c r="G35" s="340" t="s">
        <v>1592</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2</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500</v>
      </c>
      <c r="G45" s="340" t="s">
        <v>512</v>
      </c>
      <c r="H45" s="341"/>
      <c r="I45" s="341"/>
      <c r="J45" s="341"/>
      <c r="K45" s="341"/>
      <c r="L45" s="341"/>
      <c r="M45" s="342"/>
      <c r="O45" s="2"/>
      <c r="Q45" s="3" t="str">
        <f>+IFERROR(VLOOKUP(G45,base!$A$41:$C$45,3,FALSE),"")</f>
        <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500</v>
      </c>
      <c r="G47" s="340"/>
      <c r="H47" s="341"/>
      <c r="I47" s="341"/>
      <c r="J47" s="341"/>
      <c r="K47" s="341"/>
      <c r="L47" s="341"/>
      <c r="M47" s="342"/>
      <c r="O47" s="2"/>
      <c r="Q47" s="3" t="e">
        <f>+IF(VLOOKUP(G47,base!$A$46:$C$66,3,FALSE)=F45,1,0)</f>
        <v>#N/A</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920</v>
      </c>
      <c r="G49" s="340" t="s">
        <v>899</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17"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 customHeight="1" x14ac:dyDescent="0.25">
      <c r="B59" s="2"/>
      <c r="D59" s="337" t="s">
        <v>34</v>
      </c>
      <c r="E59" s="337"/>
      <c r="F59" s="344" t="s">
        <v>1012</v>
      </c>
      <c r="G59" s="344"/>
      <c r="H59" s="344"/>
      <c r="I59" s="344"/>
      <c r="J59" s="344"/>
      <c r="K59" s="344"/>
      <c r="L59" s="344"/>
      <c r="M59" s="344"/>
      <c r="O59" s="2"/>
    </row>
    <row r="60" spans="2:15" ht="27.75" customHeight="1" x14ac:dyDescent="0.25">
      <c r="B60" s="2"/>
      <c r="D60" s="359" t="s">
        <v>35</v>
      </c>
      <c r="E60" s="359"/>
      <c r="F60" s="344" t="s">
        <v>1013</v>
      </c>
      <c r="G60" s="344"/>
      <c r="H60" s="344"/>
      <c r="I60" s="344"/>
      <c r="J60" s="344"/>
      <c r="K60" s="344"/>
      <c r="L60" s="344"/>
      <c r="M60" s="344"/>
      <c r="O60" s="2"/>
    </row>
    <row r="61" spans="2:15" ht="27.75" customHeight="1" x14ac:dyDescent="0.25">
      <c r="B61" s="2"/>
      <c r="D61" s="359" t="s">
        <v>36</v>
      </c>
      <c r="E61" s="359"/>
      <c r="F61" s="344" t="s">
        <v>1014</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6</v>
      </c>
    </row>
    <row r="70" spans="2:37" ht="3.95" customHeight="1" x14ac:dyDescent="0.25">
      <c r="B70" s="2"/>
      <c r="D70" s="7"/>
      <c r="E70" s="7"/>
      <c r="O70" s="2"/>
    </row>
    <row r="71" spans="2:37" ht="18.75" customHeight="1" x14ac:dyDescent="0.25">
      <c r="B71" s="2"/>
      <c r="D71" s="343" t="s">
        <v>39</v>
      </c>
      <c r="E71" s="343"/>
      <c r="F71" s="4" t="s">
        <v>50</v>
      </c>
      <c r="G71" s="3">
        <v>6</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60" t="s">
        <v>50</v>
      </c>
      <c r="E80" s="360"/>
      <c r="F80" s="16" t="s">
        <v>500</v>
      </c>
      <c r="G80" s="16">
        <v>4.9000000000000002E-2</v>
      </c>
      <c r="H80" s="16">
        <v>0.05</v>
      </c>
      <c r="I80" s="16">
        <v>7.3999999999999996E-2</v>
      </c>
      <c r="J80" s="16">
        <v>7.4999999999999997E-2</v>
      </c>
      <c r="K80" s="16">
        <v>9.9000000000000005E-2</v>
      </c>
      <c r="L80" s="16">
        <v>0.1</v>
      </c>
      <c r="M80" s="16" t="s">
        <v>500</v>
      </c>
      <c r="O80" s="2"/>
      <c r="AE80" s="3" t="s">
        <v>50</v>
      </c>
      <c r="AF80" s="3">
        <v>6</v>
      </c>
      <c r="AG80" s="3">
        <f t="shared" si="0"/>
        <v>1</v>
      </c>
      <c r="AH80" s="3">
        <f>+IF(AG80=0,0,IF(AG80=1,(SUM($AG$75:AG80)-1),1))</f>
        <v>0</v>
      </c>
      <c r="AI80" s="3">
        <f t="shared" si="1"/>
        <v>0</v>
      </c>
      <c r="AJ80" s="3">
        <f t="shared" si="2"/>
        <v>1</v>
      </c>
      <c r="AK80" s="3">
        <f t="shared" si="3"/>
        <v>1</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1</v>
      </c>
      <c r="AI81" s="3">
        <f t="shared" si="1"/>
        <v>0</v>
      </c>
      <c r="AJ81" s="3">
        <f t="shared" si="2"/>
        <v>0</v>
      </c>
      <c r="AK81" s="3">
        <f t="shared" si="3"/>
        <v>0</v>
      </c>
    </row>
    <row r="82" spans="2:37" x14ac:dyDescent="0.25">
      <c r="B82" s="2"/>
      <c r="D82" s="360" t="s">
        <v>54</v>
      </c>
      <c r="E82" s="360"/>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2</v>
      </c>
      <c r="AI82" s="3">
        <f t="shared" si="1"/>
        <v>0</v>
      </c>
      <c r="AJ82" s="3">
        <f t="shared" si="2"/>
        <v>0</v>
      </c>
      <c r="AK82" s="3">
        <f t="shared" si="3"/>
        <v>0</v>
      </c>
    </row>
    <row r="83" spans="2:37" x14ac:dyDescent="0.25">
      <c r="B83" s="2"/>
      <c r="D83" s="360" t="s">
        <v>55</v>
      </c>
      <c r="E83" s="360"/>
      <c r="F83" s="16" t="s">
        <v>500</v>
      </c>
      <c r="G83" s="16" t="s">
        <v>500</v>
      </c>
      <c r="H83" s="16" t="s">
        <v>500</v>
      </c>
      <c r="I83" s="16" t="s">
        <v>500</v>
      </c>
      <c r="J83" s="16" t="s">
        <v>500</v>
      </c>
      <c r="K83" s="16" t="s">
        <v>500</v>
      </c>
      <c r="L83" s="16" t="s">
        <v>500</v>
      </c>
      <c r="M83" s="16" t="s">
        <v>500</v>
      </c>
      <c r="O83" s="2"/>
      <c r="AE83" s="3" t="s">
        <v>55</v>
      </c>
      <c r="AF83" s="3">
        <v>9</v>
      </c>
      <c r="AG83" s="3">
        <f t="shared" si="0"/>
        <v>1</v>
      </c>
      <c r="AH83" s="3">
        <f>+IF(AG83=0,0,IF(AG83=1,(SUM($AG$75:AG83)-1),1))</f>
        <v>3</v>
      </c>
      <c r="AI83" s="3">
        <f t="shared" si="1"/>
        <v>0</v>
      </c>
      <c r="AJ83" s="3">
        <f t="shared" si="2"/>
        <v>0</v>
      </c>
      <c r="AK83" s="3">
        <f t="shared" si="3"/>
        <v>0</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4</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5</v>
      </c>
      <c r="AI85" s="3">
        <f t="shared" si="1"/>
        <v>0</v>
      </c>
      <c r="AJ85" s="3">
        <f t="shared" si="2"/>
        <v>0</v>
      </c>
      <c r="AK85" s="3">
        <f t="shared" si="3"/>
        <v>0</v>
      </c>
    </row>
    <row r="86" spans="2:37" x14ac:dyDescent="0.25">
      <c r="B86" s="2"/>
      <c r="D86" s="360" t="s">
        <v>58</v>
      </c>
      <c r="E86" s="360"/>
      <c r="F86" s="16" t="s">
        <v>500</v>
      </c>
      <c r="G86" s="16">
        <v>0.14899999999999999</v>
      </c>
      <c r="H86" s="16">
        <v>0.15</v>
      </c>
      <c r="I86" s="16">
        <v>0.17399999999999999</v>
      </c>
      <c r="J86" s="16">
        <v>0.17499999999999999</v>
      </c>
      <c r="K86" s="16">
        <v>0.19900000000000001</v>
      </c>
      <c r="L86" s="16">
        <v>0.2</v>
      </c>
      <c r="M86" s="16" t="s">
        <v>500</v>
      </c>
      <c r="O86" s="2"/>
      <c r="AE86" s="3" t="s">
        <v>58</v>
      </c>
      <c r="AF86" s="65">
        <v>12</v>
      </c>
      <c r="AG86" s="3">
        <f t="shared" si="0"/>
        <v>1</v>
      </c>
      <c r="AH86" s="3">
        <f>+IF(AG86=0,0,IF(AG86=1,(SUM($AG$75:AG86)-1),1))</f>
        <v>6</v>
      </c>
      <c r="AI86" s="3">
        <f t="shared" si="1"/>
        <v>1</v>
      </c>
      <c r="AJ86" s="3">
        <f t="shared" si="2"/>
        <v>0</v>
      </c>
      <c r="AK86" s="3">
        <f t="shared" si="3"/>
        <v>1</v>
      </c>
    </row>
    <row r="87" spans="2:37" ht="3.75" customHeight="1" x14ac:dyDescent="0.25">
      <c r="B87" s="2"/>
      <c r="O87" s="2"/>
    </row>
    <row r="88" spans="2:37" ht="66" customHeight="1" x14ac:dyDescent="0.25">
      <c r="B88" s="2"/>
      <c r="D88" s="338" t="s">
        <v>59</v>
      </c>
      <c r="E88" s="339"/>
      <c r="F88" s="340"/>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2" customHeight="1" x14ac:dyDescent="0.25">
      <c r="B97" s="2"/>
      <c r="D97" s="359" t="s">
        <v>35</v>
      </c>
      <c r="E97" s="359"/>
      <c r="F97" s="344" t="s">
        <v>1010</v>
      </c>
      <c r="G97" s="344"/>
      <c r="H97" s="344"/>
      <c r="I97" s="344"/>
      <c r="J97" s="344"/>
      <c r="K97" s="344"/>
      <c r="L97" s="344"/>
      <c r="M97" s="344"/>
      <c r="O97" s="2"/>
    </row>
    <row r="98" spans="2:15" ht="42" customHeight="1" x14ac:dyDescent="0.25">
      <c r="B98" s="2"/>
      <c r="D98" s="359" t="s">
        <v>36</v>
      </c>
      <c r="E98" s="359"/>
      <c r="F98" s="344" t="s">
        <v>1010</v>
      </c>
      <c r="G98" s="344"/>
      <c r="H98" s="344"/>
      <c r="I98" s="344"/>
      <c r="J98" s="344"/>
      <c r="K98" s="344"/>
      <c r="L98" s="344"/>
      <c r="M98" s="344"/>
      <c r="O98" s="2"/>
    </row>
    <row r="99" spans="2:15" ht="3.95" customHeight="1" x14ac:dyDescent="0.25">
      <c r="B99" s="2"/>
      <c r="O99" s="2"/>
    </row>
    <row r="100" spans="2:15" ht="89.25" customHeight="1" x14ac:dyDescent="0.25">
      <c r="B100" s="2"/>
      <c r="D100" s="338" t="s">
        <v>62</v>
      </c>
      <c r="E100" s="339"/>
      <c r="F100" s="340" t="s">
        <v>1815</v>
      </c>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2</v>
      </c>
      <c r="K102" s="20"/>
      <c r="O102" s="2"/>
    </row>
    <row r="103" spans="2:15" ht="19.5" customHeight="1" x14ac:dyDescent="0.25">
      <c r="B103" s="2"/>
      <c r="D103" s="331"/>
      <c r="E103" s="332"/>
      <c r="F103" s="19" t="s">
        <v>66</v>
      </c>
      <c r="G103" s="4"/>
      <c r="K103" s="21"/>
      <c r="O103" s="2"/>
    </row>
    <row r="104" spans="2:15" ht="27.75" customHeight="1" x14ac:dyDescent="0.25">
      <c r="B104" s="2"/>
      <c r="D104" s="331"/>
      <c r="E104" s="332"/>
      <c r="F104" s="19" t="s">
        <v>67</v>
      </c>
      <c r="G104" s="333"/>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Jefe Oficina de Control Interno Disciplinario</v>
      </c>
      <c r="H108" s="334"/>
      <c r="I108" s="334"/>
      <c r="J108" s="334"/>
      <c r="K108" s="334"/>
      <c r="L108" s="334"/>
      <c r="M108" s="335"/>
      <c r="O108" s="2"/>
    </row>
    <row r="109" spans="2:15" ht="17.25" customHeight="1" x14ac:dyDescent="0.25">
      <c r="B109" s="2"/>
      <c r="D109" s="331"/>
      <c r="E109" s="332"/>
      <c r="F109" s="19" t="s">
        <v>2042</v>
      </c>
      <c r="G109" s="333" t="str">
        <f>+IF(M23="Si","Coordinador(a) Planeación y Sistemas","")</f>
        <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717" priority="31">
      <formula>+IF($F$43="no",1,0)</formula>
    </cfRule>
  </conditionalFormatting>
  <conditionalFormatting sqref="F32:M33">
    <cfRule type="expression" dxfId="1716" priority="30">
      <formula>+IF($Q$30="NA",1,0)</formula>
    </cfRule>
  </conditionalFormatting>
  <conditionalFormatting sqref="F33:M33">
    <cfRule type="expression" dxfId="1715" priority="29">
      <formula>+IF($Q$33=0,1,0)</formula>
    </cfRule>
  </conditionalFormatting>
  <conditionalFormatting sqref="F47:M47">
    <cfRule type="expression" dxfId="1714" priority="28">
      <formula>+IF($Q$47=0,1,0)</formula>
    </cfRule>
  </conditionalFormatting>
  <conditionalFormatting sqref="F73:G73">
    <cfRule type="cellIs" dxfId="1713" priority="14" operator="equal">
      <formula>"optimo"</formula>
    </cfRule>
    <cfRule type="cellIs" dxfId="1712" priority="15" operator="equal">
      <formula>"critico"</formula>
    </cfRule>
  </conditionalFormatting>
  <conditionalFormatting sqref="H73:I73">
    <cfRule type="cellIs" dxfId="1711" priority="12" operator="equal">
      <formula>"Adecuado"</formula>
    </cfRule>
    <cfRule type="cellIs" dxfId="1710" priority="13" operator="equal">
      <formula>"en riesgo"</formula>
    </cfRule>
  </conditionalFormatting>
  <conditionalFormatting sqref="J73:K73">
    <cfRule type="cellIs" dxfId="1709" priority="10" operator="equal">
      <formula>"Adecuado"</formula>
    </cfRule>
    <cfRule type="cellIs" dxfId="1708" priority="11" operator="equal">
      <formula>"en riesgo"</formula>
    </cfRule>
  </conditionalFormatting>
  <conditionalFormatting sqref="L73:M73">
    <cfRule type="cellIs" dxfId="1707" priority="8" operator="equal">
      <formula>"optimo"</formula>
    </cfRule>
    <cfRule type="cellIs" dxfId="1706" priority="9" operator="equal">
      <formula>"critico"</formula>
    </cfRule>
  </conditionalFormatting>
  <conditionalFormatting sqref="F75:M86">
    <cfRule type="expression" dxfId="1705" priority="7">
      <formula>+IF($AK75=0,1)</formula>
    </cfRule>
  </conditionalFormatting>
  <conditionalFormatting sqref="F103:G104">
    <cfRule type="expression" dxfId="1704" priority="6">
      <formula>+IF($G$102="No",1,0)</formula>
    </cfRule>
  </conditionalFormatting>
  <conditionalFormatting sqref="F51">
    <cfRule type="expression" dxfId="1703" priority="5">
      <formula>+IF($F$43="no",1,0)</formula>
    </cfRule>
  </conditionalFormatting>
  <conditionalFormatting sqref="I51">
    <cfRule type="expression" dxfId="1702"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1">
    <tabColor rgb="FF0070C0"/>
  </sheetPr>
  <dimension ref="B1:AV113"/>
  <sheetViews>
    <sheetView topLeftCell="A52" zoomScaleNormal="100" workbookViewId="0">
      <selection activeCell="S56" sqref="S56"/>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348</v>
      </c>
      <c r="O10" s="2"/>
    </row>
    <row r="11" spans="2:24" ht="3.95" customHeight="1" x14ac:dyDescent="0.25">
      <c r="B11" s="2"/>
      <c r="D11" s="6"/>
      <c r="O11" s="2"/>
    </row>
    <row r="12" spans="2:24" ht="36" customHeight="1" x14ac:dyDescent="0.25">
      <c r="B12" s="2"/>
      <c r="D12" s="338" t="s">
        <v>5</v>
      </c>
      <c r="E12" s="339"/>
      <c r="F12" s="340" t="s">
        <v>349</v>
      </c>
      <c r="G12" s="341"/>
      <c r="H12" s="341"/>
      <c r="I12" s="341"/>
      <c r="J12" s="341"/>
      <c r="K12" s="341"/>
      <c r="L12" s="341"/>
      <c r="M12" s="342"/>
      <c r="O12" s="2"/>
      <c r="W12" s="3" t="str">
        <f>+F23</f>
        <v>Trimestral</v>
      </c>
      <c r="X12" s="3" t="str">
        <f>+F71</f>
        <v>Marzo</v>
      </c>
    </row>
    <row r="13" spans="2:24" ht="3.95" customHeight="1" x14ac:dyDescent="0.25">
      <c r="B13" s="2"/>
      <c r="O13" s="2"/>
    </row>
    <row r="14" spans="2:24" ht="38.25" customHeight="1" x14ac:dyDescent="0.25">
      <c r="B14" s="2"/>
      <c r="D14" s="338" t="s">
        <v>6</v>
      </c>
      <c r="E14" s="339"/>
      <c r="F14" s="340" t="s">
        <v>1009</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17" t="s">
        <v>512</v>
      </c>
      <c r="G22" s="337" t="s">
        <v>9</v>
      </c>
      <c r="H22" s="337"/>
      <c r="I22" s="17">
        <v>0.2</v>
      </c>
      <c r="K22" s="337" t="s">
        <v>10</v>
      </c>
      <c r="L22" s="337"/>
      <c r="M22" s="9" t="s">
        <v>496</v>
      </c>
      <c r="O22" s="2"/>
    </row>
    <row r="23" spans="2:17" ht="19.5" customHeight="1" x14ac:dyDescent="0.25">
      <c r="B23" s="2"/>
      <c r="D23" s="337" t="s">
        <v>11</v>
      </c>
      <c r="E23" s="337"/>
      <c r="F23" s="4" t="s">
        <v>71</v>
      </c>
      <c r="G23" s="337" t="s">
        <v>12</v>
      </c>
      <c r="H23" s="337"/>
      <c r="I23" s="4" t="s">
        <v>497</v>
      </c>
      <c r="K23" s="337" t="s">
        <v>13</v>
      </c>
      <c r="L23" s="337"/>
      <c r="M23" s="9" t="s">
        <v>2</v>
      </c>
      <c r="O23" s="2"/>
    </row>
    <row r="24" spans="2:17" ht="20.100000000000001" customHeight="1" x14ac:dyDescent="0.25">
      <c r="B24" s="2"/>
      <c r="D24" s="337" t="s">
        <v>14</v>
      </c>
      <c r="E24" s="337"/>
      <c r="F24" s="4" t="s">
        <v>498</v>
      </c>
      <c r="G24" s="337" t="s">
        <v>15</v>
      </c>
      <c r="H24" s="337"/>
      <c r="I24" s="4" t="s">
        <v>533</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soporte</v>
      </c>
    </row>
    <row r="31" spans="2:17" ht="24" customHeight="1" x14ac:dyDescent="0.25">
      <c r="B31" s="2"/>
      <c r="D31" s="347"/>
      <c r="E31" s="348"/>
      <c r="F31" s="4" t="s">
        <v>257</v>
      </c>
      <c r="G31" s="340" t="s">
        <v>258</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1001</v>
      </c>
      <c r="G33" s="340" t="s">
        <v>994</v>
      </c>
      <c r="H33" s="341"/>
      <c r="I33" s="341"/>
      <c r="J33" s="341"/>
      <c r="K33" s="341"/>
      <c r="L33" s="341"/>
      <c r="M33" s="342"/>
      <c r="O33" s="2"/>
      <c r="Q33" s="3">
        <f>+IFERROR(IF(VLOOKUP(G33,base!$A$26:$C$40,3,FALSE)=F31,1,0),"")</f>
        <v>1</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1716</v>
      </c>
      <c r="G35" s="340" t="s">
        <v>1592</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2</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500</v>
      </c>
      <c r="G45" s="340" t="s">
        <v>512</v>
      </c>
      <c r="H45" s="341"/>
      <c r="I45" s="341"/>
      <c r="J45" s="341"/>
      <c r="K45" s="341"/>
      <c r="L45" s="341"/>
      <c r="M45" s="342"/>
      <c r="O45" s="2"/>
      <c r="Q45" s="3" t="str">
        <f>+IFERROR(VLOOKUP(G45,base!$A$41:$C$45,3,FALSE),"")</f>
        <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500</v>
      </c>
      <c r="G47" s="340"/>
      <c r="H47" s="341"/>
      <c r="I47" s="341"/>
      <c r="J47" s="341"/>
      <c r="K47" s="341"/>
      <c r="L47" s="341"/>
      <c r="M47" s="342"/>
      <c r="O47" s="2"/>
      <c r="Q47" s="3" t="e">
        <f>+IF(VLOOKUP(G47,base!$A$46:$C$66,3,FALSE)=F45,1,0)</f>
        <v>#N/A</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920</v>
      </c>
      <c r="G49" s="340" t="s">
        <v>899</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17"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 customHeight="1" x14ac:dyDescent="0.25">
      <c r="B59" s="2"/>
      <c r="D59" s="337" t="s">
        <v>34</v>
      </c>
      <c r="E59" s="337"/>
      <c r="F59" s="344" t="s">
        <v>2187</v>
      </c>
      <c r="G59" s="344"/>
      <c r="H59" s="344"/>
      <c r="I59" s="344"/>
      <c r="J59" s="344"/>
      <c r="K59" s="344"/>
      <c r="L59" s="344"/>
      <c r="M59" s="344"/>
      <c r="O59" s="2"/>
    </row>
    <row r="60" spans="2:15" ht="27.75" customHeight="1" x14ac:dyDescent="0.25">
      <c r="B60" s="2"/>
      <c r="D60" s="359" t="s">
        <v>35</v>
      </c>
      <c r="E60" s="359"/>
      <c r="F60" s="344" t="s">
        <v>1816</v>
      </c>
      <c r="G60" s="344"/>
      <c r="H60" s="344"/>
      <c r="I60" s="344"/>
      <c r="J60" s="344"/>
      <c r="K60" s="344"/>
      <c r="L60" s="344"/>
      <c r="M60" s="344"/>
      <c r="O60" s="2"/>
    </row>
    <row r="61" spans="2:15" ht="27.75" customHeight="1" x14ac:dyDescent="0.25">
      <c r="B61" s="2"/>
      <c r="D61" s="359" t="s">
        <v>36</v>
      </c>
      <c r="E61" s="359"/>
      <c r="F61" s="344" t="s">
        <v>2167</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43" t="s">
        <v>39</v>
      </c>
      <c r="E71" s="343"/>
      <c r="F71" s="4" t="s">
        <v>47</v>
      </c>
      <c r="G71" s="3">
        <v>3</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v>1.9E-2</v>
      </c>
      <c r="H77" s="16">
        <v>0.02</v>
      </c>
      <c r="I77" s="16">
        <v>3.4000000000000002E-2</v>
      </c>
      <c r="J77" s="16">
        <v>3.5000000000000003E-2</v>
      </c>
      <c r="K77" s="16">
        <v>4.9000000000000002E-2</v>
      </c>
      <c r="L77" s="16">
        <v>0.05</v>
      </c>
      <c r="M77" s="16" t="s">
        <v>500</v>
      </c>
      <c r="O77" s="2"/>
      <c r="AE77" s="3" t="s">
        <v>47</v>
      </c>
      <c r="AF77" s="3">
        <v>3</v>
      </c>
      <c r="AG77" s="3">
        <f t="shared" si="0"/>
        <v>1</v>
      </c>
      <c r="AH77" s="3">
        <f>+IF(AG77=0,0,IF(AG77=1,(SUM($AG$75:AG77)-1),1))</f>
        <v>0</v>
      </c>
      <c r="AI77" s="3">
        <f t="shared" si="1"/>
        <v>0</v>
      </c>
      <c r="AJ77" s="3">
        <f t="shared" si="2"/>
        <v>1</v>
      </c>
      <c r="AK77" s="3">
        <f t="shared" si="3"/>
        <v>1</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2</v>
      </c>
      <c r="AI79" s="3">
        <f t="shared" si="1"/>
        <v>0</v>
      </c>
      <c r="AJ79" s="3">
        <f t="shared" si="2"/>
        <v>0</v>
      </c>
      <c r="AK79" s="3">
        <f t="shared" si="3"/>
        <v>0</v>
      </c>
    </row>
    <row r="80" spans="2:37" x14ac:dyDescent="0.25">
      <c r="B80" s="2"/>
      <c r="D80" s="360" t="s">
        <v>50</v>
      </c>
      <c r="E80" s="360"/>
      <c r="F80" s="16" t="s">
        <v>500</v>
      </c>
      <c r="G80" s="16">
        <v>4.9000000000000002E-2</v>
      </c>
      <c r="H80" s="16">
        <v>0.05</v>
      </c>
      <c r="I80" s="16">
        <v>7.3999999999999996E-2</v>
      </c>
      <c r="J80" s="16">
        <v>7.4999999999999997E-2</v>
      </c>
      <c r="K80" s="16">
        <v>9.9000000000000005E-2</v>
      </c>
      <c r="L80" s="16">
        <v>0.1</v>
      </c>
      <c r="M80" s="16" t="s">
        <v>500</v>
      </c>
      <c r="O80" s="2"/>
      <c r="AE80" s="3" t="s">
        <v>50</v>
      </c>
      <c r="AF80" s="3">
        <v>6</v>
      </c>
      <c r="AG80" s="3">
        <f t="shared" si="0"/>
        <v>1</v>
      </c>
      <c r="AH80" s="3">
        <f>+IF(AG80=0,0,IF(AG80=1,(SUM($AG$75:AG80)-1),1))</f>
        <v>3</v>
      </c>
      <c r="AI80" s="3">
        <f t="shared" si="1"/>
        <v>1</v>
      </c>
      <c r="AJ80" s="3">
        <f t="shared" si="2"/>
        <v>0</v>
      </c>
      <c r="AK80" s="3">
        <f t="shared" si="3"/>
        <v>1</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4</v>
      </c>
      <c r="AI81" s="3">
        <f t="shared" si="1"/>
        <v>0</v>
      </c>
      <c r="AJ81" s="3">
        <f t="shared" si="2"/>
        <v>0</v>
      </c>
      <c r="AK81" s="3">
        <f t="shared" si="3"/>
        <v>0</v>
      </c>
    </row>
    <row r="82" spans="2:37" x14ac:dyDescent="0.25">
      <c r="B82" s="2"/>
      <c r="D82" s="360" t="s">
        <v>54</v>
      </c>
      <c r="E82" s="360"/>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60" t="s">
        <v>55</v>
      </c>
      <c r="E83" s="360"/>
      <c r="F83" s="16" t="s">
        <v>500</v>
      </c>
      <c r="G83" s="16">
        <v>9.9000000000000005E-2</v>
      </c>
      <c r="H83" s="16">
        <v>0.1</v>
      </c>
      <c r="I83" s="16">
        <v>0.124</v>
      </c>
      <c r="J83" s="16">
        <v>0.125</v>
      </c>
      <c r="K83" s="16">
        <v>0.14899999999999999</v>
      </c>
      <c r="L83" s="16">
        <v>0.15</v>
      </c>
      <c r="M83" s="16" t="s">
        <v>500</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60" t="s">
        <v>58</v>
      </c>
      <c r="E86" s="360"/>
      <c r="F86" s="16" t="s">
        <v>500</v>
      </c>
      <c r="G86" s="16">
        <v>0.14899999999999999</v>
      </c>
      <c r="H86" s="16">
        <v>0.15</v>
      </c>
      <c r="I86" s="16">
        <v>0.17399999999999999</v>
      </c>
      <c r="J86" s="16">
        <v>0.17499999999999999</v>
      </c>
      <c r="K86" s="16">
        <v>0.19900000000000001</v>
      </c>
      <c r="L86" s="16">
        <v>0.2</v>
      </c>
      <c r="M86" s="16" t="s">
        <v>500</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66" customHeight="1" x14ac:dyDescent="0.25">
      <c r="B88" s="2"/>
      <c r="D88" s="338" t="s">
        <v>59</v>
      </c>
      <c r="E88" s="339"/>
      <c r="F88" s="340"/>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2" customHeight="1" x14ac:dyDescent="0.25">
      <c r="B97" s="2"/>
      <c r="D97" s="359" t="s">
        <v>35</v>
      </c>
      <c r="E97" s="359"/>
      <c r="F97" s="344" t="s">
        <v>1010</v>
      </c>
      <c r="G97" s="344"/>
      <c r="H97" s="344"/>
      <c r="I97" s="344"/>
      <c r="J97" s="344"/>
      <c r="K97" s="344"/>
      <c r="L97" s="344"/>
      <c r="M97" s="344"/>
      <c r="O97" s="2"/>
    </row>
    <row r="98" spans="2:15" ht="42" customHeight="1" x14ac:dyDescent="0.25">
      <c r="B98" s="2"/>
      <c r="D98" s="359" t="s">
        <v>36</v>
      </c>
      <c r="E98" s="359"/>
      <c r="F98" s="344" t="s">
        <v>1010</v>
      </c>
      <c r="G98" s="344"/>
      <c r="H98" s="344"/>
      <c r="I98" s="344"/>
      <c r="J98" s="344"/>
      <c r="K98" s="344"/>
      <c r="L98" s="344"/>
      <c r="M98" s="344"/>
      <c r="O98" s="2"/>
    </row>
    <row r="99" spans="2:15" ht="3.95" customHeight="1" x14ac:dyDescent="0.25">
      <c r="B99" s="2"/>
      <c r="O99" s="2"/>
    </row>
    <row r="100" spans="2:15" ht="171" customHeight="1" x14ac:dyDescent="0.25">
      <c r="B100" s="2"/>
      <c r="D100" s="338" t="s">
        <v>62</v>
      </c>
      <c r="E100" s="339"/>
      <c r="F100" s="340" t="s">
        <v>1817</v>
      </c>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1</v>
      </c>
      <c r="K102" s="20"/>
      <c r="O102" s="2"/>
    </row>
    <row r="103" spans="2:15" ht="19.5" customHeight="1" x14ac:dyDescent="0.25">
      <c r="B103" s="2"/>
      <c r="D103" s="331"/>
      <c r="E103" s="332"/>
      <c r="F103" s="19" t="s">
        <v>66</v>
      </c>
      <c r="G103" s="4" t="s">
        <v>346</v>
      </c>
      <c r="K103" s="21"/>
      <c r="O103" s="2"/>
    </row>
    <row r="104" spans="2:15" ht="27.75" customHeight="1" x14ac:dyDescent="0.25">
      <c r="B104" s="2"/>
      <c r="D104" s="331"/>
      <c r="E104" s="332"/>
      <c r="F104" s="19" t="s">
        <v>67</v>
      </c>
      <c r="G104" s="333" t="s">
        <v>997</v>
      </c>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Jefe Oficina de Control Interno Disciplinario</v>
      </c>
      <c r="H108" s="334"/>
      <c r="I108" s="334"/>
      <c r="J108" s="334"/>
      <c r="K108" s="334"/>
      <c r="L108" s="334"/>
      <c r="M108" s="335"/>
      <c r="O108" s="2"/>
    </row>
    <row r="109" spans="2:15" ht="17.25" customHeight="1" x14ac:dyDescent="0.25">
      <c r="B109" s="2"/>
      <c r="D109" s="331"/>
      <c r="E109" s="332"/>
      <c r="F109" s="19" t="s">
        <v>2042</v>
      </c>
      <c r="G109" s="333" t="str">
        <f>+IF(M23="Si","Coordinador(a) Planeación y Sistemas","")</f>
        <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701" priority="31">
      <formula>+IF($F$43="no",1,0)</formula>
    </cfRule>
  </conditionalFormatting>
  <conditionalFormatting sqref="F32:M33">
    <cfRule type="expression" dxfId="1700" priority="30">
      <formula>+IF($Q$30="NA",1,0)</formula>
    </cfRule>
  </conditionalFormatting>
  <conditionalFormatting sqref="F33:M33">
    <cfRule type="expression" dxfId="1699" priority="29">
      <formula>+IF($Q$33=0,1,0)</formula>
    </cfRule>
  </conditionalFormatting>
  <conditionalFormatting sqref="F47:M47">
    <cfRule type="expression" dxfId="1698" priority="28">
      <formula>+IF($Q$47=0,1,0)</formula>
    </cfRule>
  </conditionalFormatting>
  <conditionalFormatting sqref="F73:G73">
    <cfRule type="cellIs" dxfId="1697" priority="14" operator="equal">
      <formula>"optimo"</formula>
    </cfRule>
    <cfRule type="cellIs" dxfId="1696" priority="15" operator="equal">
      <formula>"critico"</formula>
    </cfRule>
  </conditionalFormatting>
  <conditionalFormatting sqref="H73:I73">
    <cfRule type="cellIs" dxfId="1695" priority="12" operator="equal">
      <formula>"Adecuado"</formula>
    </cfRule>
    <cfRule type="cellIs" dxfId="1694" priority="13" operator="equal">
      <formula>"en riesgo"</formula>
    </cfRule>
  </conditionalFormatting>
  <conditionalFormatting sqref="J73:K73">
    <cfRule type="cellIs" dxfId="1693" priority="10" operator="equal">
      <formula>"Adecuado"</formula>
    </cfRule>
    <cfRule type="cellIs" dxfId="1692" priority="11" operator="equal">
      <formula>"en riesgo"</formula>
    </cfRule>
  </conditionalFormatting>
  <conditionalFormatting sqref="L73:M73">
    <cfRule type="cellIs" dxfId="1691" priority="8" operator="equal">
      <formula>"optimo"</formula>
    </cfRule>
    <cfRule type="cellIs" dxfId="1690" priority="9" operator="equal">
      <formula>"critico"</formula>
    </cfRule>
  </conditionalFormatting>
  <conditionalFormatting sqref="F75:M86">
    <cfRule type="expression" dxfId="1689" priority="7">
      <formula>+IF($AK75=0,1)</formula>
    </cfRule>
  </conditionalFormatting>
  <conditionalFormatting sqref="F103:G104">
    <cfRule type="expression" dxfId="1688" priority="6">
      <formula>+IF($G$102="No",1,0)</formula>
    </cfRule>
  </conditionalFormatting>
  <conditionalFormatting sqref="F51">
    <cfRule type="expression" dxfId="1687" priority="5">
      <formula>+IF($F$43="no",1,0)</formula>
    </cfRule>
  </conditionalFormatting>
  <conditionalFormatting sqref="I51">
    <cfRule type="expression" dxfId="1686"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2">
    <tabColor rgb="FF0070C0"/>
  </sheetPr>
  <dimension ref="B1:AV113"/>
  <sheetViews>
    <sheetView zoomScaleNormal="100" workbookViewId="0">
      <selection activeCell="S30" sqref="S3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350</v>
      </c>
      <c r="O10" s="2"/>
    </row>
    <row r="11" spans="2:24" ht="3.95" customHeight="1" x14ac:dyDescent="0.25">
      <c r="B11" s="2"/>
      <c r="D11" s="6"/>
      <c r="O11" s="2"/>
    </row>
    <row r="12" spans="2:24" ht="36" customHeight="1" x14ac:dyDescent="0.25">
      <c r="B12" s="2"/>
      <c r="D12" s="338" t="s">
        <v>5</v>
      </c>
      <c r="E12" s="339"/>
      <c r="F12" s="340" t="s">
        <v>351</v>
      </c>
      <c r="G12" s="341"/>
      <c r="H12" s="341"/>
      <c r="I12" s="341"/>
      <c r="J12" s="341"/>
      <c r="K12" s="341"/>
      <c r="L12" s="341"/>
      <c r="M12" s="342"/>
      <c r="O12" s="2"/>
      <c r="W12" s="3" t="str">
        <f>+F23</f>
        <v>Trimestral</v>
      </c>
      <c r="X12" s="3" t="str">
        <f>+F71</f>
        <v>Marzo</v>
      </c>
    </row>
    <row r="13" spans="2:24" ht="3.95" customHeight="1" x14ac:dyDescent="0.25">
      <c r="B13" s="2"/>
      <c r="O13" s="2"/>
    </row>
    <row r="14" spans="2:24" ht="38.25" customHeight="1" x14ac:dyDescent="0.25">
      <c r="B14" s="2"/>
      <c r="D14" s="338" t="s">
        <v>6</v>
      </c>
      <c r="E14" s="339"/>
      <c r="F14" s="340" t="s">
        <v>1007</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17">
        <v>0.65</v>
      </c>
      <c r="G22" s="337" t="s">
        <v>9</v>
      </c>
      <c r="H22" s="337"/>
      <c r="I22" s="17">
        <v>1</v>
      </c>
      <c r="K22" s="337" t="s">
        <v>10</v>
      </c>
      <c r="L22" s="337"/>
      <c r="M22" s="9" t="s">
        <v>496</v>
      </c>
      <c r="O22" s="2"/>
    </row>
    <row r="23" spans="2:17" ht="19.5" customHeight="1" x14ac:dyDescent="0.25">
      <c r="B23" s="2"/>
      <c r="D23" s="337" t="s">
        <v>11</v>
      </c>
      <c r="E23" s="337"/>
      <c r="F23" s="4" t="s">
        <v>71</v>
      </c>
      <c r="G23" s="337" t="s">
        <v>12</v>
      </c>
      <c r="H23" s="337"/>
      <c r="I23" s="4" t="s">
        <v>497</v>
      </c>
      <c r="K23" s="337" t="s">
        <v>13</v>
      </c>
      <c r="L23" s="337"/>
      <c r="M23" s="9" t="s">
        <v>2</v>
      </c>
      <c r="O23" s="2"/>
    </row>
    <row r="24" spans="2:17" ht="20.100000000000001" customHeight="1" x14ac:dyDescent="0.25">
      <c r="B24" s="2"/>
      <c r="D24" s="337" t="s">
        <v>14</v>
      </c>
      <c r="E24" s="337"/>
      <c r="F24" s="4" t="s">
        <v>498</v>
      </c>
      <c r="G24" s="337" t="s">
        <v>15</v>
      </c>
      <c r="H24" s="337"/>
      <c r="I24" s="4" t="s">
        <v>533</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soporte</v>
      </c>
    </row>
    <row r="31" spans="2:17" ht="24" customHeight="1" x14ac:dyDescent="0.25">
      <c r="B31" s="2"/>
      <c r="D31" s="347"/>
      <c r="E31" s="348"/>
      <c r="F31" s="4" t="s">
        <v>257</v>
      </c>
      <c r="G31" s="340" t="s">
        <v>258</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1001</v>
      </c>
      <c r="G33" s="340" t="s">
        <v>994</v>
      </c>
      <c r="H33" s="341"/>
      <c r="I33" s="341"/>
      <c r="J33" s="341"/>
      <c r="K33" s="341"/>
      <c r="L33" s="341"/>
      <c r="M33" s="342"/>
      <c r="O33" s="2"/>
      <c r="Q33" s="3">
        <f>+IFERROR(IF(VLOOKUP(G33,base!$A$26:$C$40,3,FALSE)=F31,1,0),"")</f>
        <v>1</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1716</v>
      </c>
      <c r="G35" s="340" t="s">
        <v>1592</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2</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500</v>
      </c>
      <c r="G45" s="340" t="s">
        <v>512</v>
      </c>
      <c r="H45" s="341"/>
      <c r="I45" s="341"/>
      <c r="J45" s="341"/>
      <c r="K45" s="341"/>
      <c r="L45" s="341"/>
      <c r="M45" s="342"/>
      <c r="O45" s="2"/>
      <c r="Q45" s="3" t="str">
        <f>+IFERROR(VLOOKUP(G45,base!$A$41:$C$45,3,FALSE),"")</f>
        <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500</v>
      </c>
      <c r="G47" s="340"/>
      <c r="H47" s="341"/>
      <c r="I47" s="341"/>
      <c r="J47" s="341"/>
      <c r="K47" s="341"/>
      <c r="L47" s="341"/>
      <c r="M47" s="342"/>
      <c r="O47" s="2"/>
      <c r="Q47" s="3" t="e">
        <f>+IF(VLOOKUP(G47,base!$A$46:$C$66,3,FALSE)=F45,1,0)</f>
        <v>#N/A</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920</v>
      </c>
      <c r="G49" s="340" t="s">
        <v>899</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17"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 customHeight="1" x14ac:dyDescent="0.25">
      <c r="B59" s="2"/>
      <c r="D59" s="337" t="s">
        <v>34</v>
      </c>
      <c r="E59" s="337"/>
      <c r="F59" s="344" t="s">
        <v>2186</v>
      </c>
      <c r="G59" s="344"/>
      <c r="H59" s="344"/>
      <c r="I59" s="344"/>
      <c r="J59" s="344"/>
      <c r="K59" s="344"/>
      <c r="L59" s="344"/>
      <c r="M59" s="344"/>
      <c r="O59" s="2"/>
    </row>
    <row r="60" spans="2:15" ht="27.75" customHeight="1" x14ac:dyDescent="0.25">
      <c r="B60" s="2"/>
      <c r="D60" s="359" t="s">
        <v>35</v>
      </c>
      <c r="E60" s="359"/>
      <c r="F60" s="344" t="s">
        <v>1008</v>
      </c>
      <c r="G60" s="344"/>
      <c r="H60" s="344"/>
      <c r="I60" s="344"/>
      <c r="J60" s="344"/>
      <c r="K60" s="344"/>
      <c r="L60" s="344"/>
      <c r="M60" s="344"/>
      <c r="O60" s="2"/>
    </row>
    <row r="61" spans="2:15" ht="27.75" customHeight="1" x14ac:dyDescent="0.25">
      <c r="B61" s="2"/>
      <c r="D61" s="359" t="s">
        <v>36</v>
      </c>
      <c r="E61" s="359"/>
      <c r="F61" s="344" t="s">
        <v>2185</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43" t="s">
        <v>39</v>
      </c>
      <c r="E71" s="343"/>
      <c r="F71" s="4" t="s">
        <v>47</v>
      </c>
      <c r="G71" s="3">
        <v>3</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v>9.9000000000000005E-2</v>
      </c>
      <c r="H77" s="16">
        <v>0.1</v>
      </c>
      <c r="I77" s="16">
        <v>0.19900000000000001</v>
      </c>
      <c r="J77" s="16">
        <v>0.2</v>
      </c>
      <c r="K77" s="16">
        <v>0.249</v>
      </c>
      <c r="L77" s="16">
        <v>0.25</v>
      </c>
      <c r="M77" s="16" t="s">
        <v>500</v>
      </c>
      <c r="O77" s="2"/>
      <c r="AE77" s="3" t="s">
        <v>47</v>
      </c>
      <c r="AF77" s="3">
        <v>3</v>
      </c>
      <c r="AG77" s="3">
        <f t="shared" si="0"/>
        <v>1</v>
      </c>
      <c r="AH77" s="3">
        <f>+IF(AG77=0,0,IF(AG77=1,(SUM($AG$75:AG77)-1),1))</f>
        <v>0</v>
      </c>
      <c r="AI77" s="3">
        <f t="shared" si="1"/>
        <v>0</v>
      </c>
      <c r="AJ77" s="3">
        <f t="shared" si="2"/>
        <v>1</v>
      </c>
      <c r="AK77" s="3">
        <f t="shared" si="3"/>
        <v>1</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2</v>
      </c>
      <c r="AI79" s="3">
        <f t="shared" si="1"/>
        <v>0</v>
      </c>
      <c r="AJ79" s="3">
        <f t="shared" si="2"/>
        <v>0</v>
      </c>
      <c r="AK79" s="3">
        <f t="shared" si="3"/>
        <v>0</v>
      </c>
    </row>
    <row r="80" spans="2:37" x14ac:dyDescent="0.25">
      <c r="B80" s="2"/>
      <c r="D80" s="360" t="s">
        <v>50</v>
      </c>
      <c r="E80" s="360"/>
      <c r="F80" s="16" t="s">
        <v>500</v>
      </c>
      <c r="G80" s="16">
        <v>0.29899999999999999</v>
      </c>
      <c r="H80" s="16">
        <v>0.3</v>
      </c>
      <c r="I80" s="16">
        <v>0.39900000000000002</v>
      </c>
      <c r="J80" s="16">
        <v>0.4</v>
      </c>
      <c r="K80" s="16">
        <v>0.499</v>
      </c>
      <c r="L80" s="16">
        <v>0.5</v>
      </c>
      <c r="M80" s="16" t="s">
        <v>500</v>
      </c>
      <c r="O80" s="2"/>
      <c r="AE80" s="3" t="s">
        <v>50</v>
      </c>
      <c r="AF80" s="3">
        <v>6</v>
      </c>
      <c r="AG80" s="3">
        <f t="shared" si="0"/>
        <v>1</v>
      </c>
      <c r="AH80" s="3">
        <f>+IF(AG80=0,0,IF(AG80=1,(SUM($AG$75:AG80)-1),1))</f>
        <v>3</v>
      </c>
      <c r="AI80" s="3">
        <f t="shared" si="1"/>
        <v>1</v>
      </c>
      <c r="AJ80" s="3">
        <f t="shared" si="2"/>
        <v>0</v>
      </c>
      <c r="AK80" s="3">
        <f t="shared" si="3"/>
        <v>1</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4</v>
      </c>
      <c r="AI81" s="3">
        <f t="shared" si="1"/>
        <v>0</v>
      </c>
      <c r="AJ81" s="3">
        <f t="shared" si="2"/>
        <v>0</v>
      </c>
      <c r="AK81" s="3">
        <f t="shared" si="3"/>
        <v>0</v>
      </c>
    </row>
    <row r="82" spans="2:37" x14ac:dyDescent="0.25">
      <c r="B82" s="2"/>
      <c r="D82" s="360" t="s">
        <v>54</v>
      </c>
      <c r="E82" s="360"/>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60" t="s">
        <v>55</v>
      </c>
      <c r="E83" s="360"/>
      <c r="F83" s="16" t="s">
        <v>500</v>
      </c>
      <c r="G83" s="16">
        <v>0.499</v>
      </c>
      <c r="H83" s="16">
        <v>0.5</v>
      </c>
      <c r="I83" s="16">
        <v>0.59899999999999998</v>
      </c>
      <c r="J83" s="16">
        <v>0.6</v>
      </c>
      <c r="K83" s="16">
        <v>0.749</v>
      </c>
      <c r="L83" s="16">
        <v>0.75</v>
      </c>
      <c r="M83" s="16" t="s">
        <v>500</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60" t="s">
        <v>58</v>
      </c>
      <c r="E86" s="360"/>
      <c r="F86" s="16" t="s">
        <v>500</v>
      </c>
      <c r="G86" s="16">
        <v>0.69899999999999995</v>
      </c>
      <c r="H86" s="16">
        <v>0.7</v>
      </c>
      <c r="I86" s="16">
        <v>0.89900000000000002</v>
      </c>
      <c r="J86" s="16">
        <v>0.9</v>
      </c>
      <c r="K86" s="16">
        <v>0.999</v>
      </c>
      <c r="L86" s="16" t="s">
        <v>500</v>
      </c>
      <c r="M86" s="16">
        <v>1</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66" customHeight="1" x14ac:dyDescent="0.25">
      <c r="B88" s="2"/>
      <c r="D88" s="338" t="s">
        <v>59</v>
      </c>
      <c r="E88" s="339"/>
      <c r="F88" s="340"/>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2" customHeight="1" x14ac:dyDescent="0.25">
      <c r="B97" s="2"/>
      <c r="D97" s="359" t="s">
        <v>35</v>
      </c>
      <c r="E97" s="359"/>
      <c r="F97" s="344" t="s">
        <v>1006</v>
      </c>
      <c r="G97" s="344"/>
      <c r="H97" s="344"/>
      <c r="I97" s="344"/>
      <c r="J97" s="344"/>
      <c r="K97" s="344"/>
      <c r="L97" s="344"/>
      <c r="M97" s="344"/>
      <c r="O97" s="2"/>
    </row>
    <row r="98" spans="2:15" ht="42" customHeight="1" x14ac:dyDescent="0.25">
      <c r="B98" s="2"/>
      <c r="D98" s="359" t="s">
        <v>36</v>
      </c>
      <c r="E98" s="359"/>
      <c r="F98" s="344" t="s">
        <v>1006</v>
      </c>
      <c r="G98" s="344"/>
      <c r="H98" s="344"/>
      <c r="I98" s="344"/>
      <c r="J98" s="344"/>
      <c r="K98" s="344"/>
      <c r="L98" s="344"/>
      <c r="M98" s="344"/>
      <c r="O98" s="2"/>
    </row>
    <row r="99" spans="2:15" ht="3.95" customHeight="1" x14ac:dyDescent="0.25">
      <c r="B99" s="2"/>
      <c r="O99" s="2"/>
    </row>
    <row r="100" spans="2:15" ht="111" customHeight="1" x14ac:dyDescent="0.25">
      <c r="B100" s="2"/>
      <c r="D100" s="338" t="s">
        <v>62</v>
      </c>
      <c r="E100" s="339"/>
      <c r="F100" s="340" t="s">
        <v>1818</v>
      </c>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1</v>
      </c>
      <c r="K102" s="20"/>
      <c r="O102" s="2"/>
    </row>
    <row r="103" spans="2:15" ht="19.5" customHeight="1" x14ac:dyDescent="0.25">
      <c r="B103" s="2"/>
      <c r="D103" s="331"/>
      <c r="E103" s="332"/>
      <c r="F103" s="19" t="s">
        <v>66</v>
      </c>
      <c r="G103" s="4" t="s">
        <v>350</v>
      </c>
      <c r="K103" s="21"/>
      <c r="O103" s="2"/>
    </row>
    <row r="104" spans="2:15" ht="27.75" customHeight="1" x14ac:dyDescent="0.25">
      <c r="B104" s="2"/>
      <c r="D104" s="331"/>
      <c r="E104" s="332"/>
      <c r="F104" s="19" t="s">
        <v>67</v>
      </c>
      <c r="G104" s="333" t="s">
        <v>998</v>
      </c>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Jefe Oficina de Control Interno Disciplinario</v>
      </c>
      <c r="H108" s="334"/>
      <c r="I108" s="334"/>
      <c r="J108" s="334"/>
      <c r="K108" s="334"/>
      <c r="L108" s="334"/>
      <c r="M108" s="335"/>
      <c r="O108" s="2"/>
    </row>
    <row r="109" spans="2:15" ht="17.25" customHeight="1" x14ac:dyDescent="0.25">
      <c r="B109" s="2"/>
      <c r="D109" s="331"/>
      <c r="E109" s="332"/>
      <c r="F109" s="19" t="s">
        <v>2042</v>
      </c>
      <c r="G109" s="333" t="str">
        <f>+IF(M23="Si","Coordinador(a) Planeación y Sistemas","")</f>
        <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685" priority="31">
      <formula>+IF($F$43="no",1,0)</formula>
    </cfRule>
  </conditionalFormatting>
  <conditionalFormatting sqref="F32:M33">
    <cfRule type="expression" dxfId="1684" priority="30">
      <formula>+IF($Q$30="NA",1,0)</formula>
    </cfRule>
  </conditionalFormatting>
  <conditionalFormatting sqref="F33:M33">
    <cfRule type="expression" dxfId="1683" priority="29">
      <formula>+IF($Q$33=0,1,0)</formula>
    </cfRule>
  </conditionalFormatting>
  <conditionalFormatting sqref="F47:M47">
    <cfRule type="expression" dxfId="1682" priority="28">
      <formula>+IF($Q$47=0,1,0)</formula>
    </cfRule>
  </conditionalFormatting>
  <conditionalFormatting sqref="F73:G73">
    <cfRule type="cellIs" dxfId="1681" priority="14" operator="equal">
      <formula>"optimo"</formula>
    </cfRule>
    <cfRule type="cellIs" dxfId="1680" priority="15" operator="equal">
      <formula>"critico"</formula>
    </cfRule>
  </conditionalFormatting>
  <conditionalFormatting sqref="H73:I73">
    <cfRule type="cellIs" dxfId="1679" priority="12" operator="equal">
      <formula>"Adecuado"</formula>
    </cfRule>
    <cfRule type="cellIs" dxfId="1678" priority="13" operator="equal">
      <formula>"en riesgo"</formula>
    </cfRule>
  </conditionalFormatting>
  <conditionalFormatting sqref="J73:K73">
    <cfRule type="cellIs" dxfId="1677" priority="10" operator="equal">
      <formula>"Adecuado"</formula>
    </cfRule>
    <cfRule type="cellIs" dxfId="1676" priority="11" operator="equal">
      <formula>"en riesgo"</formula>
    </cfRule>
  </conditionalFormatting>
  <conditionalFormatting sqref="L73:M73">
    <cfRule type="cellIs" dxfId="1675" priority="8" operator="equal">
      <formula>"optimo"</formula>
    </cfRule>
    <cfRule type="cellIs" dxfId="1674" priority="9" operator="equal">
      <formula>"critico"</formula>
    </cfRule>
  </conditionalFormatting>
  <conditionalFormatting sqref="F75:M86">
    <cfRule type="expression" dxfId="1673" priority="7">
      <formula>+IF($AK75=0,1)</formula>
    </cfRule>
  </conditionalFormatting>
  <conditionalFormatting sqref="F103:G104">
    <cfRule type="expression" dxfId="1672" priority="6">
      <formula>+IF($G$102="No",1,0)</formula>
    </cfRule>
  </conditionalFormatting>
  <conditionalFormatting sqref="F51">
    <cfRule type="expression" dxfId="1671" priority="5">
      <formula>+IF($F$43="no",1,0)</formula>
    </cfRule>
  </conditionalFormatting>
  <conditionalFormatting sqref="I51">
    <cfRule type="expression" dxfId="1670"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3">
    <tabColor rgb="FF0070C0"/>
  </sheetPr>
  <dimension ref="B1:AV113"/>
  <sheetViews>
    <sheetView zoomScaleNormal="100" workbookViewId="0">
      <selection activeCell="F108" sqref="F108:M11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352</v>
      </c>
      <c r="O10" s="2"/>
    </row>
    <row r="11" spans="2:24" ht="3.95" customHeight="1" x14ac:dyDescent="0.25">
      <c r="B11" s="2"/>
      <c r="D11" s="6"/>
      <c r="O11" s="2"/>
    </row>
    <row r="12" spans="2:24" ht="36" customHeight="1" x14ac:dyDescent="0.25">
      <c r="B12" s="2"/>
      <c r="D12" s="338" t="s">
        <v>5</v>
      </c>
      <c r="E12" s="339"/>
      <c r="F12" s="340" t="s">
        <v>1823</v>
      </c>
      <c r="G12" s="341"/>
      <c r="H12" s="341"/>
      <c r="I12" s="341"/>
      <c r="J12" s="341"/>
      <c r="K12" s="341"/>
      <c r="L12" s="341"/>
      <c r="M12" s="342"/>
      <c r="O12" s="2"/>
      <c r="W12" s="3" t="str">
        <f>+F23</f>
        <v>Semestral</v>
      </c>
      <c r="X12" s="3" t="str">
        <f>+F71</f>
        <v>Junio</v>
      </c>
    </row>
    <row r="13" spans="2:24" ht="3.95" customHeight="1" x14ac:dyDescent="0.25">
      <c r="B13" s="2"/>
      <c r="O13" s="2"/>
    </row>
    <row r="14" spans="2:24" ht="38.25" customHeight="1" x14ac:dyDescent="0.25">
      <c r="B14" s="2"/>
      <c r="D14" s="338" t="s">
        <v>6</v>
      </c>
      <c r="E14" s="339"/>
      <c r="F14" s="340" t="s">
        <v>1819</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17">
        <v>1</v>
      </c>
      <c r="G22" s="337" t="s">
        <v>9</v>
      </c>
      <c r="H22" s="337"/>
      <c r="I22" s="17">
        <v>1</v>
      </c>
      <c r="K22" s="337" t="s">
        <v>10</v>
      </c>
      <c r="L22" s="337"/>
      <c r="M22" s="9" t="s">
        <v>496</v>
      </c>
      <c r="O22" s="2"/>
    </row>
    <row r="23" spans="2:17" ht="19.5" customHeight="1" x14ac:dyDescent="0.25">
      <c r="B23" s="2"/>
      <c r="D23" s="337" t="s">
        <v>11</v>
      </c>
      <c r="E23" s="337"/>
      <c r="F23" s="4" t="s">
        <v>104</v>
      </c>
      <c r="G23" s="337" t="s">
        <v>12</v>
      </c>
      <c r="H23" s="337"/>
      <c r="I23" s="4" t="s">
        <v>497</v>
      </c>
      <c r="K23" s="337" t="s">
        <v>13</v>
      </c>
      <c r="L23" s="337"/>
      <c r="M23" s="9" t="s">
        <v>2</v>
      </c>
      <c r="O23" s="2"/>
    </row>
    <row r="24" spans="2:17" ht="20.100000000000001" customHeight="1" x14ac:dyDescent="0.25">
      <c r="B24" s="2"/>
      <c r="D24" s="337" t="s">
        <v>14</v>
      </c>
      <c r="E24" s="337"/>
      <c r="F24" s="4" t="s">
        <v>498</v>
      </c>
      <c r="G24" s="337" t="s">
        <v>15</v>
      </c>
      <c r="H24" s="337"/>
      <c r="I24" s="4" t="s">
        <v>533</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soporte</v>
      </c>
    </row>
    <row r="31" spans="2:17" ht="24" customHeight="1" x14ac:dyDescent="0.25">
      <c r="B31" s="2"/>
      <c r="D31" s="347"/>
      <c r="E31" s="348"/>
      <c r="F31" s="4" t="s">
        <v>257</v>
      </c>
      <c r="G31" s="340" t="s">
        <v>258</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1001</v>
      </c>
      <c r="G33" s="340" t="s">
        <v>994</v>
      </c>
      <c r="H33" s="341"/>
      <c r="I33" s="341"/>
      <c r="J33" s="341"/>
      <c r="K33" s="341"/>
      <c r="L33" s="341"/>
      <c r="M33" s="342"/>
      <c r="O33" s="2"/>
      <c r="Q33" s="3">
        <f>+IFERROR(IF(VLOOKUP(G33,base!$A$26:$C$40,3,FALSE)=F31,1,0),"")</f>
        <v>1</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1716</v>
      </c>
      <c r="G35" s="340" t="s">
        <v>1592</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2</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500</v>
      </c>
      <c r="G45" s="340" t="s">
        <v>512</v>
      </c>
      <c r="H45" s="341"/>
      <c r="I45" s="341"/>
      <c r="J45" s="341"/>
      <c r="K45" s="341"/>
      <c r="L45" s="341"/>
      <c r="M45" s="342"/>
      <c r="O45" s="2"/>
      <c r="Q45" s="3" t="str">
        <f>+IFERROR(VLOOKUP(G45,base!$A$41:$C$45,3,FALSE),"")</f>
        <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500</v>
      </c>
      <c r="G47" s="340"/>
      <c r="H47" s="341"/>
      <c r="I47" s="341"/>
      <c r="J47" s="341"/>
      <c r="K47" s="341"/>
      <c r="L47" s="341"/>
      <c r="M47" s="342"/>
      <c r="O47" s="2"/>
      <c r="Q47" s="3" t="e">
        <f>+IF(VLOOKUP(G47,base!$A$46:$C$66,3,FALSE)=F45,1,0)</f>
        <v>#N/A</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920</v>
      </c>
      <c r="G49" s="340" t="s">
        <v>899</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17"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 customHeight="1" x14ac:dyDescent="0.25">
      <c r="B59" s="2"/>
      <c r="D59" s="337" t="s">
        <v>34</v>
      </c>
      <c r="E59" s="337"/>
      <c r="F59" s="344" t="s">
        <v>1820</v>
      </c>
      <c r="G59" s="344"/>
      <c r="H59" s="344"/>
      <c r="I59" s="344"/>
      <c r="J59" s="344"/>
      <c r="K59" s="344"/>
      <c r="L59" s="344"/>
      <c r="M59" s="344"/>
      <c r="O59" s="2"/>
    </row>
    <row r="60" spans="2:15" ht="27.75" customHeight="1" x14ac:dyDescent="0.25">
      <c r="B60" s="2"/>
      <c r="D60" s="359" t="s">
        <v>35</v>
      </c>
      <c r="E60" s="359"/>
      <c r="F60" s="344" t="s">
        <v>1005</v>
      </c>
      <c r="G60" s="344"/>
      <c r="H60" s="344"/>
      <c r="I60" s="344"/>
      <c r="J60" s="344"/>
      <c r="K60" s="344"/>
      <c r="L60" s="344"/>
      <c r="M60" s="344"/>
      <c r="O60" s="2"/>
    </row>
    <row r="61" spans="2:15" ht="27.75" customHeight="1" x14ac:dyDescent="0.25">
      <c r="B61" s="2"/>
      <c r="D61" s="359" t="s">
        <v>36</v>
      </c>
      <c r="E61" s="359"/>
      <c r="F61" s="344" t="s">
        <v>1821</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6</v>
      </c>
    </row>
    <row r="70" spans="2:37" ht="3.95" customHeight="1" x14ac:dyDescent="0.25">
      <c r="B70" s="2"/>
      <c r="D70" s="7"/>
      <c r="E70" s="7"/>
      <c r="O70" s="2"/>
    </row>
    <row r="71" spans="2:37" ht="18.75" customHeight="1" x14ac:dyDescent="0.25">
      <c r="B71" s="2"/>
      <c r="D71" s="343" t="s">
        <v>39</v>
      </c>
      <c r="E71" s="343"/>
      <c r="F71" s="4" t="s">
        <v>50</v>
      </c>
      <c r="G71" s="3">
        <v>6</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60" t="s">
        <v>50</v>
      </c>
      <c r="E80" s="360"/>
      <c r="F80" s="16" t="s">
        <v>500</v>
      </c>
      <c r="G80" s="16">
        <v>0.29899999999999999</v>
      </c>
      <c r="H80" s="16">
        <v>0.3</v>
      </c>
      <c r="I80" s="16">
        <v>0.39900000000000002</v>
      </c>
      <c r="J80" s="16">
        <v>0.4</v>
      </c>
      <c r="K80" s="16">
        <v>0.499</v>
      </c>
      <c r="L80" s="16">
        <v>0.5</v>
      </c>
      <c r="M80" s="16" t="s">
        <v>500</v>
      </c>
      <c r="O80" s="2"/>
      <c r="AE80" s="3" t="s">
        <v>50</v>
      </c>
      <c r="AF80" s="3">
        <v>6</v>
      </c>
      <c r="AG80" s="3">
        <f t="shared" si="0"/>
        <v>1</v>
      </c>
      <c r="AH80" s="3">
        <f>+IF(AG80=0,0,IF(AG80=1,(SUM($AG$75:AG80)-1),1))</f>
        <v>0</v>
      </c>
      <c r="AI80" s="3">
        <f t="shared" si="1"/>
        <v>0</v>
      </c>
      <c r="AJ80" s="3">
        <f t="shared" si="2"/>
        <v>1</v>
      </c>
      <c r="AK80" s="3">
        <f t="shared" si="3"/>
        <v>1</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1</v>
      </c>
      <c r="AI81" s="3">
        <f t="shared" si="1"/>
        <v>0</v>
      </c>
      <c r="AJ81" s="3">
        <f t="shared" si="2"/>
        <v>0</v>
      </c>
      <c r="AK81" s="3">
        <f t="shared" si="3"/>
        <v>0</v>
      </c>
    </row>
    <row r="82" spans="2:37" x14ac:dyDescent="0.25">
      <c r="B82" s="2"/>
      <c r="D82" s="360" t="s">
        <v>54</v>
      </c>
      <c r="E82" s="360"/>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2</v>
      </c>
      <c r="AI82" s="3">
        <f t="shared" si="1"/>
        <v>0</v>
      </c>
      <c r="AJ82" s="3">
        <f t="shared" si="2"/>
        <v>0</v>
      </c>
      <c r="AK82" s="3">
        <f t="shared" si="3"/>
        <v>0</v>
      </c>
    </row>
    <row r="83" spans="2:37" x14ac:dyDescent="0.25">
      <c r="B83" s="2"/>
      <c r="D83" s="360" t="s">
        <v>55</v>
      </c>
      <c r="E83" s="360"/>
      <c r="F83" s="16" t="s">
        <v>500</v>
      </c>
      <c r="G83" s="16" t="s">
        <v>500</v>
      </c>
      <c r="H83" s="16" t="s">
        <v>500</v>
      </c>
      <c r="I83" s="16" t="s">
        <v>500</v>
      </c>
      <c r="J83" s="16" t="s">
        <v>500</v>
      </c>
      <c r="K83" s="16" t="s">
        <v>500</v>
      </c>
      <c r="L83" s="16" t="s">
        <v>500</v>
      </c>
      <c r="M83" s="16" t="s">
        <v>500</v>
      </c>
      <c r="O83" s="2"/>
      <c r="AE83" s="3" t="s">
        <v>55</v>
      </c>
      <c r="AF83" s="3">
        <v>9</v>
      </c>
      <c r="AG83" s="3">
        <f t="shared" si="0"/>
        <v>1</v>
      </c>
      <c r="AH83" s="3">
        <f>+IF(AG83=0,0,IF(AG83=1,(SUM($AG$75:AG83)-1),1))</f>
        <v>3</v>
      </c>
      <c r="AI83" s="3">
        <f t="shared" si="1"/>
        <v>0</v>
      </c>
      <c r="AJ83" s="3">
        <f t="shared" si="2"/>
        <v>0</v>
      </c>
      <c r="AK83" s="3">
        <f t="shared" si="3"/>
        <v>0</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4</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5</v>
      </c>
      <c r="AI85" s="3">
        <f t="shared" si="1"/>
        <v>0</v>
      </c>
      <c r="AJ85" s="3">
        <f t="shared" si="2"/>
        <v>0</v>
      </c>
      <c r="AK85" s="3">
        <f t="shared" si="3"/>
        <v>0</v>
      </c>
    </row>
    <row r="86" spans="2:37" x14ac:dyDescent="0.25">
      <c r="B86" s="2"/>
      <c r="D86" s="360" t="s">
        <v>58</v>
      </c>
      <c r="E86" s="360"/>
      <c r="F86" s="16" t="s">
        <v>500</v>
      </c>
      <c r="G86" s="16">
        <v>0.69899999999999995</v>
      </c>
      <c r="H86" s="16">
        <v>0.7</v>
      </c>
      <c r="I86" s="16">
        <v>0.89900000000000002</v>
      </c>
      <c r="J86" s="16">
        <v>0.9</v>
      </c>
      <c r="K86" s="16">
        <v>0.999</v>
      </c>
      <c r="L86" s="16" t="s">
        <v>500</v>
      </c>
      <c r="M86" s="16">
        <v>1</v>
      </c>
      <c r="O86" s="2"/>
      <c r="AE86" s="3" t="s">
        <v>58</v>
      </c>
      <c r="AF86" s="65">
        <v>12</v>
      </c>
      <c r="AG86" s="3">
        <f t="shared" si="0"/>
        <v>1</v>
      </c>
      <c r="AH86" s="3">
        <f>+IF(AG86=0,0,IF(AG86=1,(SUM($AG$75:AG86)-1),1))</f>
        <v>6</v>
      </c>
      <c r="AI86" s="3">
        <f t="shared" si="1"/>
        <v>1</v>
      </c>
      <c r="AJ86" s="3">
        <f t="shared" si="2"/>
        <v>0</v>
      </c>
      <c r="AK86" s="3">
        <f t="shared" si="3"/>
        <v>1</v>
      </c>
    </row>
    <row r="87" spans="2:37" ht="3.75" customHeight="1" x14ac:dyDescent="0.25">
      <c r="B87" s="2"/>
      <c r="O87" s="2"/>
    </row>
    <row r="88" spans="2:37" ht="66" customHeight="1" x14ac:dyDescent="0.25">
      <c r="B88" s="2"/>
      <c r="D88" s="338" t="s">
        <v>59</v>
      </c>
      <c r="E88" s="339"/>
      <c r="F88" s="340"/>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2" customHeight="1" x14ac:dyDescent="0.25">
      <c r="B97" s="2"/>
      <c r="D97" s="359" t="s">
        <v>35</v>
      </c>
      <c r="E97" s="359"/>
      <c r="F97" s="344" t="s">
        <v>1006</v>
      </c>
      <c r="G97" s="344"/>
      <c r="H97" s="344"/>
      <c r="I97" s="344"/>
      <c r="J97" s="344"/>
      <c r="K97" s="344"/>
      <c r="L97" s="344"/>
      <c r="M97" s="344"/>
      <c r="O97" s="2"/>
    </row>
    <row r="98" spans="2:15" ht="42" customHeight="1" x14ac:dyDescent="0.25">
      <c r="B98" s="2"/>
      <c r="D98" s="359" t="s">
        <v>36</v>
      </c>
      <c r="E98" s="359"/>
      <c r="F98" s="344" t="s">
        <v>1006</v>
      </c>
      <c r="G98" s="344"/>
      <c r="H98" s="344"/>
      <c r="I98" s="344"/>
      <c r="J98" s="344"/>
      <c r="K98" s="344"/>
      <c r="L98" s="344"/>
      <c r="M98" s="344"/>
      <c r="O98" s="2"/>
    </row>
    <row r="99" spans="2:15" ht="3.95" customHeight="1" x14ac:dyDescent="0.25">
      <c r="B99" s="2"/>
      <c r="O99" s="2"/>
    </row>
    <row r="100" spans="2:15" ht="58.5" customHeight="1" x14ac:dyDescent="0.25">
      <c r="B100" s="2"/>
      <c r="D100" s="338" t="s">
        <v>62</v>
      </c>
      <c r="E100" s="339"/>
      <c r="F100" s="340" t="s">
        <v>1822</v>
      </c>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1</v>
      </c>
      <c r="K102" s="20"/>
      <c r="O102" s="2"/>
    </row>
    <row r="103" spans="2:15" ht="19.5" customHeight="1" x14ac:dyDescent="0.25">
      <c r="B103" s="2"/>
      <c r="D103" s="331"/>
      <c r="E103" s="332"/>
      <c r="F103" s="19" t="s">
        <v>66</v>
      </c>
      <c r="G103" s="4" t="s">
        <v>352</v>
      </c>
      <c r="K103" s="21"/>
      <c r="O103" s="2"/>
    </row>
    <row r="104" spans="2:15" ht="27.75" customHeight="1" x14ac:dyDescent="0.25">
      <c r="B104" s="2"/>
      <c r="D104" s="331"/>
      <c r="E104" s="332"/>
      <c r="F104" s="19" t="s">
        <v>67</v>
      </c>
      <c r="G104" s="333" t="s">
        <v>999</v>
      </c>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Jefe Oficina de Control Interno Disciplinario</v>
      </c>
      <c r="H108" s="334"/>
      <c r="I108" s="334"/>
      <c r="J108" s="334"/>
      <c r="K108" s="334"/>
      <c r="L108" s="334"/>
      <c r="M108" s="335"/>
      <c r="O108" s="2"/>
    </row>
    <row r="109" spans="2:15" ht="17.25" customHeight="1" x14ac:dyDescent="0.25">
      <c r="B109" s="2"/>
      <c r="D109" s="331"/>
      <c r="E109" s="332"/>
      <c r="F109" s="19" t="s">
        <v>2042</v>
      </c>
      <c r="G109" s="333" t="str">
        <f>+IF(M23="Si","Coordinador(a) Planeación y Sistemas","")</f>
        <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669" priority="31">
      <formula>+IF($F$43="no",1,0)</formula>
    </cfRule>
  </conditionalFormatting>
  <conditionalFormatting sqref="F32:M33">
    <cfRule type="expression" dxfId="1668" priority="30">
      <formula>+IF($Q$30="NA",1,0)</formula>
    </cfRule>
  </conditionalFormatting>
  <conditionalFormatting sqref="F33:M33">
    <cfRule type="expression" dxfId="1667" priority="29">
      <formula>+IF($Q$33=0,1,0)</formula>
    </cfRule>
  </conditionalFormatting>
  <conditionalFormatting sqref="F47:M47">
    <cfRule type="expression" dxfId="1666" priority="28">
      <formula>+IF($Q$47=0,1,0)</formula>
    </cfRule>
  </conditionalFormatting>
  <conditionalFormatting sqref="F73:G73">
    <cfRule type="cellIs" dxfId="1665" priority="14" operator="equal">
      <formula>"optimo"</formula>
    </cfRule>
    <cfRule type="cellIs" dxfId="1664" priority="15" operator="equal">
      <formula>"critico"</formula>
    </cfRule>
  </conditionalFormatting>
  <conditionalFormatting sqref="H73:I73">
    <cfRule type="cellIs" dxfId="1663" priority="12" operator="equal">
      <formula>"Adecuado"</formula>
    </cfRule>
    <cfRule type="cellIs" dxfId="1662" priority="13" operator="equal">
      <formula>"en riesgo"</formula>
    </cfRule>
  </conditionalFormatting>
  <conditionalFormatting sqref="J73:K73">
    <cfRule type="cellIs" dxfId="1661" priority="10" operator="equal">
      <formula>"Adecuado"</formula>
    </cfRule>
    <cfRule type="cellIs" dxfId="1660" priority="11" operator="equal">
      <formula>"en riesgo"</formula>
    </cfRule>
  </conditionalFormatting>
  <conditionalFormatting sqref="L73:M73">
    <cfRule type="cellIs" dxfId="1659" priority="8" operator="equal">
      <formula>"optimo"</formula>
    </cfRule>
    <cfRule type="cellIs" dxfId="1658" priority="9" operator="equal">
      <formula>"critico"</formula>
    </cfRule>
  </conditionalFormatting>
  <conditionalFormatting sqref="F75:M86">
    <cfRule type="expression" dxfId="1657" priority="7">
      <formula>+IF($AK75=0,1)</formula>
    </cfRule>
  </conditionalFormatting>
  <conditionalFormatting sqref="F103:G104">
    <cfRule type="expression" dxfId="1656" priority="6">
      <formula>+IF($G$102="No",1,0)</formula>
    </cfRule>
  </conditionalFormatting>
  <conditionalFormatting sqref="F51">
    <cfRule type="expression" dxfId="1655" priority="5">
      <formula>+IF($F$43="no",1,0)</formula>
    </cfRule>
  </conditionalFormatting>
  <conditionalFormatting sqref="I51">
    <cfRule type="expression" dxfId="1654"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4">
    <tabColor rgb="FF0070C0"/>
  </sheetPr>
  <dimension ref="B1:AV113"/>
  <sheetViews>
    <sheetView zoomScaleNormal="100" workbookViewId="0">
      <selection activeCell="F108" sqref="F108:M11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292</v>
      </c>
      <c r="O10" s="2"/>
    </row>
    <row r="11" spans="2:24" ht="3.95" customHeight="1" x14ac:dyDescent="0.25">
      <c r="B11" s="2"/>
      <c r="D11" s="6"/>
      <c r="O11" s="2"/>
    </row>
    <row r="12" spans="2:24" ht="36" customHeight="1" x14ac:dyDescent="0.25">
      <c r="B12" s="2"/>
      <c r="D12" s="338" t="s">
        <v>5</v>
      </c>
      <c r="E12" s="339"/>
      <c r="F12" s="340" t="s">
        <v>293</v>
      </c>
      <c r="G12" s="341"/>
      <c r="H12" s="341"/>
      <c r="I12" s="341"/>
      <c r="J12" s="341"/>
      <c r="K12" s="341"/>
      <c r="L12" s="341"/>
      <c r="M12" s="342"/>
      <c r="O12" s="2"/>
      <c r="W12" s="3" t="str">
        <f>+F23</f>
        <v>Bimestral</v>
      </c>
      <c r="X12" s="3" t="str">
        <f>+F71</f>
        <v>Febrero</v>
      </c>
    </row>
    <row r="13" spans="2:24" ht="3.95" customHeight="1" x14ac:dyDescent="0.25">
      <c r="B13" s="2"/>
      <c r="O13" s="2"/>
    </row>
    <row r="14" spans="2:24" ht="38.25" customHeight="1" x14ac:dyDescent="0.25">
      <c r="B14" s="2"/>
      <c r="D14" s="338" t="s">
        <v>6</v>
      </c>
      <c r="E14" s="339"/>
      <c r="F14" s="340" t="s">
        <v>1024</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8">
        <v>3</v>
      </c>
      <c r="G22" s="337" t="s">
        <v>9</v>
      </c>
      <c r="H22" s="337"/>
      <c r="I22" s="8">
        <v>8</v>
      </c>
      <c r="K22" s="337" t="s">
        <v>10</v>
      </c>
      <c r="L22" s="337"/>
      <c r="M22" s="9" t="s">
        <v>496</v>
      </c>
      <c r="O22" s="2"/>
    </row>
    <row r="23" spans="2:17" ht="19.5" customHeight="1" x14ac:dyDescent="0.25">
      <c r="B23" s="2"/>
      <c r="D23" s="337" t="s">
        <v>11</v>
      </c>
      <c r="E23" s="337"/>
      <c r="F23" s="4" t="s">
        <v>513</v>
      </c>
      <c r="G23" s="337" t="s">
        <v>12</v>
      </c>
      <c r="H23" s="337"/>
      <c r="I23" s="4" t="s">
        <v>514</v>
      </c>
      <c r="K23" s="337" t="s">
        <v>13</v>
      </c>
      <c r="L23" s="337"/>
      <c r="M23" s="9" t="s">
        <v>2</v>
      </c>
      <c r="O23" s="2"/>
    </row>
    <row r="24" spans="2:17" ht="20.100000000000001" customHeight="1" x14ac:dyDescent="0.25">
      <c r="B24" s="2"/>
      <c r="D24" s="337" t="s">
        <v>14</v>
      </c>
      <c r="E24" s="337"/>
      <c r="F24" s="4" t="s">
        <v>498</v>
      </c>
      <c r="G24" s="337" t="s">
        <v>15</v>
      </c>
      <c r="H24" s="337"/>
      <c r="I24" s="4" t="s">
        <v>519</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soporte</v>
      </c>
    </row>
    <row r="31" spans="2:17" ht="24" customHeight="1" x14ac:dyDescent="0.25">
      <c r="B31" s="2"/>
      <c r="D31" s="347"/>
      <c r="E31" s="348"/>
      <c r="F31" s="4" t="s">
        <v>257</v>
      </c>
      <c r="G31" s="340" t="s">
        <v>258</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1025</v>
      </c>
      <c r="G33" s="340" t="s">
        <v>1015</v>
      </c>
      <c r="H33" s="341"/>
      <c r="I33" s="341"/>
      <c r="J33" s="341"/>
      <c r="K33" s="341"/>
      <c r="L33" s="341"/>
      <c r="M33" s="342"/>
      <c r="O33" s="2"/>
      <c r="Q33" s="3">
        <f>+IFERROR(IF(VLOOKUP(G33,base!$A$26:$C$40,3,FALSE)=F31,1,0),"")</f>
        <v>1</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1716</v>
      </c>
      <c r="G35" s="340" t="s">
        <v>1592</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501</v>
      </c>
      <c r="G45" s="340" t="s">
        <v>515</v>
      </c>
      <c r="H45" s="341"/>
      <c r="I45" s="341"/>
      <c r="J45" s="341"/>
      <c r="K45" s="341"/>
      <c r="L45" s="341"/>
      <c r="M45" s="342"/>
      <c r="O45" s="2"/>
      <c r="Q45" s="3" t="str">
        <f>+IFERROR(VLOOKUP(G45,base!$A$41:$C$45,3,FALSE),"")</f>
        <v>misional</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503</v>
      </c>
      <c r="G47" s="340" t="s">
        <v>995</v>
      </c>
      <c r="H47" s="341"/>
      <c r="I47" s="341"/>
      <c r="J47" s="341"/>
      <c r="K47" s="341"/>
      <c r="L47" s="341"/>
      <c r="M47" s="342"/>
      <c r="O47" s="2"/>
      <c r="Q47" s="3">
        <f>+IF(VLOOKUP(G47,base!$A$46:$C$66,3,FALSE)=F45,1,0)</f>
        <v>1</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920</v>
      </c>
      <c r="G49" s="340" t="s">
        <v>899</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496</v>
      </c>
      <c r="G51" s="337" t="s">
        <v>32</v>
      </c>
      <c r="H51" s="337"/>
      <c r="I51" s="8">
        <v>26</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 customHeight="1" x14ac:dyDescent="0.25">
      <c r="B59" s="2"/>
      <c r="D59" s="337" t="s">
        <v>34</v>
      </c>
      <c r="E59" s="337"/>
      <c r="F59" s="344" t="s">
        <v>1026</v>
      </c>
      <c r="G59" s="344"/>
      <c r="H59" s="344"/>
      <c r="I59" s="344"/>
      <c r="J59" s="344"/>
      <c r="K59" s="344"/>
      <c r="L59" s="344"/>
      <c r="M59" s="344"/>
      <c r="O59" s="2"/>
    </row>
    <row r="60" spans="2:15" ht="27.75" customHeight="1" x14ac:dyDescent="0.25">
      <c r="B60" s="2"/>
      <c r="D60" s="359" t="s">
        <v>35</v>
      </c>
      <c r="E60" s="359"/>
      <c r="F60" s="344" t="s">
        <v>293</v>
      </c>
      <c r="G60" s="344"/>
      <c r="H60" s="344"/>
      <c r="I60" s="344"/>
      <c r="J60" s="344"/>
      <c r="K60" s="344"/>
      <c r="L60" s="344"/>
      <c r="M60" s="344"/>
      <c r="O60" s="2"/>
    </row>
    <row r="61" spans="2:15" ht="27.75" customHeight="1" x14ac:dyDescent="0.25">
      <c r="B61" s="2"/>
      <c r="D61" s="359" t="s">
        <v>36</v>
      </c>
      <c r="E61" s="359"/>
      <c r="F61" s="344" t="s">
        <v>1027</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2</v>
      </c>
    </row>
    <row r="70" spans="2:37" ht="3.95" customHeight="1" x14ac:dyDescent="0.25">
      <c r="B70" s="2"/>
      <c r="D70" s="7"/>
      <c r="E70" s="7"/>
      <c r="O70" s="2"/>
    </row>
    <row r="71" spans="2:37" ht="18.75" customHeight="1" x14ac:dyDescent="0.25">
      <c r="B71" s="2"/>
      <c r="D71" s="343" t="s">
        <v>39</v>
      </c>
      <c r="E71" s="343"/>
      <c r="F71" s="4" t="s">
        <v>40</v>
      </c>
      <c r="G71" s="3">
        <v>2</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v>0.13</v>
      </c>
      <c r="H76" s="16">
        <v>0.13100000000000001</v>
      </c>
      <c r="I76" s="16">
        <v>0.379</v>
      </c>
      <c r="J76" s="16">
        <v>0.38</v>
      </c>
      <c r="K76" s="16">
        <v>0.499</v>
      </c>
      <c r="L76" s="16">
        <v>0.5</v>
      </c>
      <c r="M76" s="16" t="s">
        <v>500</v>
      </c>
      <c r="O76" s="2"/>
      <c r="AE76" s="3" t="s">
        <v>40</v>
      </c>
      <c r="AF76" s="3">
        <v>2</v>
      </c>
      <c r="AG76" s="3">
        <f t="shared" ref="AG76:AG86" si="0">+IF(AF76&gt;=$G$71,1,0)</f>
        <v>1</v>
      </c>
      <c r="AH76" s="3">
        <f>+IF(AG76=0,0,IF(AG76=1,(SUM($AG$75:AG76)-1),1))</f>
        <v>0</v>
      </c>
      <c r="AI76" s="3">
        <f t="shared" ref="AI76:AI86" si="1">+IF(AH76=0,0,IF(MOD(AH76,$U$69)=0,1,0))</f>
        <v>0</v>
      </c>
      <c r="AJ76" s="3">
        <f t="shared" ref="AJ76:AJ86" si="2">+IF(AE76=$F$71,1,0)</f>
        <v>1</v>
      </c>
      <c r="AK76" s="3">
        <f t="shared" ref="AK76:AK86" si="3">+MAX(AI76:AJ76)</f>
        <v>1</v>
      </c>
    </row>
    <row r="77" spans="2:37" x14ac:dyDescent="0.25">
      <c r="B77" s="2"/>
      <c r="D77" s="360" t="s">
        <v>47</v>
      </c>
      <c r="E77" s="360"/>
      <c r="F77" s="16" t="s">
        <v>500</v>
      </c>
      <c r="G77" s="16" t="s">
        <v>500</v>
      </c>
      <c r="H77" s="16" t="s">
        <v>500</v>
      </c>
      <c r="I77" s="16" t="s">
        <v>500</v>
      </c>
      <c r="J77" s="16" t="s">
        <v>500</v>
      </c>
      <c r="K77" s="16" t="s">
        <v>500</v>
      </c>
      <c r="L77" s="16" t="s">
        <v>500</v>
      </c>
      <c r="M77" s="16" t="s">
        <v>500</v>
      </c>
      <c r="O77" s="2"/>
      <c r="AE77" s="3" t="s">
        <v>47</v>
      </c>
      <c r="AF77" s="3">
        <v>3</v>
      </c>
      <c r="AG77" s="3">
        <f t="shared" si="0"/>
        <v>1</v>
      </c>
      <c r="AH77" s="3">
        <f>+IF(AG77=0,0,IF(AG77=1,(SUM($AG$75:AG77)-1),1))</f>
        <v>1</v>
      </c>
      <c r="AI77" s="3">
        <f t="shared" si="1"/>
        <v>0</v>
      </c>
      <c r="AJ77" s="3">
        <f t="shared" si="2"/>
        <v>0</v>
      </c>
      <c r="AK77" s="3">
        <f t="shared" si="3"/>
        <v>0</v>
      </c>
    </row>
    <row r="78" spans="2:37" x14ac:dyDescent="0.25">
      <c r="B78" s="2"/>
      <c r="D78" s="360" t="s">
        <v>48</v>
      </c>
      <c r="E78" s="360"/>
      <c r="F78" s="16" t="s">
        <v>500</v>
      </c>
      <c r="G78" s="16">
        <v>0.38</v>
      </c>
      <c r="H78" s="16">
        <v>0.38100000000000001</v>
      </c>
      <c r="I78" s="16">
        <v>0.499</v>
      </c>
      <c r="J78" s="16">
        <v>0.5</v>
      </c>
      <c r="K78" s="16">
        <v>0.629</v>
      </c>
      <c r="L78" s="16">
        <v>0.63</v>
      </c>
      <c r="M78" s="16" t="s">
        <v>500</v>
      </c>
      <c r="O78" s="2"/>
      <c r="AE78" s="3" t="s">
        <v>48</v>
      </c>
      <c r="AF78" s="3">
        <v>4</v>
      </c>
      <c r="AG78" s="3">
        <f t="shared" si="0"/>
        <v>1</v>
      </c>
      <c r="AH78" s="3">
        <f>+IF(AG78=0,0,IF(AG78=1,(SUM($AG$75:AG78)-1),1))</f>
        <v>2</v>
      </c>
      <c r="AI78" s="3">
        <f t="shared" si="1"/>
        <v>1</v>
      </c>
      <c r="AJ78" s="3">
        <f t="shared" si="2"/>
        <v>0</v>
      </c>
      <c r="AK78" s="3">
        <f t="shared" si="3"/>
        <v>1</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3</v>
      </c>
      <c r="AI79" s="3">
        <f t="shared" si="1"/>
        <v>0</v>
      </c>
      <c r="AJ79" s="3">
        <f t="shared" si="2"/>
        <v>0</v>
      </c>
      <c r="AK79" s="3">
        <f t="shared" si="3"/>
        <v>0</v>
      </c>
    </row>
    <row r="80" spans="2:37" x14ac:dyDescent="0.25">
      <c r="B80" s="2"/>
      <c r="D80" s="360" t="s">
        <v>50</v>
      </c>
      <c r="E80" s="360"/>
      <c r="F80" s="16" t="s">
        <v>500</v>
      </c>
      <c r="G80" s="16">
        <v>0.5</v>
      </c>
      <c r="H80" s="16">
        <v>0.501</v>
      </c>
      <c r="I80" s="16">
        <v>0.629</v>
      </c>
      <c r="J80" s="16">
        <v>0.63</v>
      </c>
      <c r="K80" s="16">
        <v>0.749</v>
      </c>
      <c r="L80" s="16">
        <v>0.75</v>
      </c>
      <c r="M80" s="16" t="s">
        <v>500</v>
      </c>
      <c r="O80" s="2"/>
      <c r="AE80" s="3" t="s">
        <v>50</v>
      </c>
      <c r="AF80" s="3">
        <v>6</v>
      </c>
      <c r="AG80" s="3">
        <f t="shared" si="0"/>
        <v>1</v>
      </c>
      <c r="AH80" s="3">
        <f>+IF(AG80=0,0,IF(AG80=1,(SUM($AG$75:AG80)-1),1))</f>
        <v>4</v>
      </c>
      <c r="AI80" s="3">
        <f t="shared" si="1"/>
        <v>1</v>
      </c>
      <c r="AJ80" s="3">
        <f t="shared" si="2"/>
        <v>0</v>
      </c>
      <c r="AK80" s="3">
        <f t="shared" si="3"/>
        <v>1</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5</v>
      </c>
      <c r="AI81" s="3">
        <f t="shared" si="1"/>
        <v>0</v>
      </c>
      <c r="AJ81" s="3">
        <f t="shared" si="2"/>
        <v>0</v>
      </c>
      <c r="AK81" s="3">
        <f t="shared" si="3"/>
        <v>0</v>
      </c>
    </row>
    <row r="82" spans="2:37" x14ac:dyDescent="0.25">
      <c r="B82" s="2"/>
      <c r="D82" s="360" t="s">
        <v>54</v>
      </c>
      <c r="E82" s="360"/>
      <c r="F82" s="16" t="s">
        <v>500</v>
      </c>
      <c r="G82" s="16">
        <v>0.63</v>
      </c>
      <c r="H82" s="16">
        <v>0.63100000000000001</v>
      </c>
      <c r="I82" s="16">
        <v>0.749</v>
      </c>
      <c r="J82" s="16">
        <v>0.75</v>
      </c>
      <c r="K82" s="16">
        <v>0.879</v>
      </c>
      <c r="L82" s="16">
        <v>0.88</v>
      </c>
      <c r="M82" s="16" t="s">
        <v>500</v>
      </c>
      <c r="O82" s="2"/>
      <c r="AE82" s="3" t="s">
        <v>54</v>
      </c>
      <c r="AF82" s="3">
        <v>8</v>
      </c>
      <c r="AG82" s="3">
        <f t="shared" si="0"/>
        <v>1</v>
      </c>
      <c r="AH82" s="3">
        <f>+IF(AG82=0,0,IF(AG82=1,(SUM($AG$75:AG82)-1),1))</f>
        <v>6</v>
      </c>
      <c r="AI82" s="3">
        <f t="shared" si="1"/>
        <v>1</v>
      </c>
      <c r="AJ82" s="3">
        <f t="shared" si="2"/>
        <v>0</v>
      </c>
      <c r="AK82" s="3">
        <f t="shared" si="3"/>
        <v>1</v>
      </c>
    </row>
    <row r="83" spans="2:37" x14ac:dyDescent="0.25">
      <c r="B83" s="2"/>
      <c r="D83" s="360" t="s">
        <v>55</v>
      </c>
      <c r="E83" s="360"/>
      <c r="F83" s="16" t="s">
        <v>500</v>
      </c>
      <c r="G83" s="16" t="s">
        <v>500</v>
      </c>
      <c r="H83" s="16" t="s">
        <v>500</v>
      </c>
      <c r="I83" s="16" t="s">
        <v>500</v>
      </c>
      <c r="J83" s="16" t="s">
        <v>500</v>
      </c>
      <c r="K83" s="16" t="s">
        <v>500</v>
      </c>
      <c r="L83" s="16" t="s">
        <v>500</v>
      </c>
      <c r="M83" s="16" t="s">
        <v>500</v>
      </c>
      <c r="O83" s="2"/>
      <c r="AE83" s="3" t="s">
        <v>55</v>
      </c>
      <c r="AF83" s="3">
        <v>9</v>
      </c>
      <c r="AG83" s="3">
        <f t="shared" si="0"/>
        <v>1</v>
      </c>
      <c r="AH83" s="3">
        <f>+IF(AG83=0,0,IF(AG83=1,(SUM($AG$75:AG83)-1),1))</f>
        <v>7</v>
      </c>
      <c r="AI83" s="3">
        <f t="shared" si="1"/>
        <v>0</v>
      </c>
      <c r="AJ83" s="3">
        <f t="shared" si="2"/>
        <v>0</v>
      </c>
      <c r="AK83" s="3">
        <f t="shared" si="3"/>
        <v>0</v>
      </c>
    </row>
    <row r="84" spans="2:37" x14ac:dyDescent="0.25">
      <c r="B84" s="2"/>
      <c r="D84" s="360" t="s">
        <v>56</v>
      </c>
      <c r="E84" s="360"/>
      <c r="F84" s="16" t="s">
        <v>500</v>
      </c>
      <c r="G84" s="16">
        <v>0.63</v>
      </c>
      <c r="H84" s="16">
        <v>0.63100000000000001</v>
      </c>
      <c r="I84" s="16">
        <v>0.749</v>
      </c>
      <c r="J84" s="16">
        <v>0.75</v>
      </c>
      <c r="K84" s="16">
        <v>0.879</v>
      </c>
      <c r="L84" s="16">
        <v>0.88</v>
      </c>
      <c r="M84" s="16" t="s">
        <v>500</v>
      </c>
      <c r="O84" s="2"/>
      <c r="AE84" s="3" t="s">
        <v>56</v>
      </c>
      <c r="AF84" s="3">
        <v>10</v>
      </c>
      <c r="AG84" s="3">
        <f t="shared" si="0"/>
        <v>1</v>
      </c>
      <c r="AH84" s="3">
        <f>+IF(AG84=0,0,IF(AG84=1,(SUM($AG$75:AG84)-1),1))</f>
        <v>8</v>
      </c>
      <c r="AI84" s="3">
        <f t="shared" si="1"/>
        <v>1</v>
      </c>
      <c r="AJ84" s="3">
        <f t="shared" si="2"/>
        <v>0</v>
      </c>
      <c r="AK84" s="3">
        <f t="shared" si="3"/>
        <v>1</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9</v>
      </c>
      <c r="AI85" s="3">
        <f t="shared" si="1"/>
        <v>0</v>
      </c>
      <c r="AJ85" s="3">
        <f t="shared" si="2"/>
        <v>0</v>
      </c>
      <c r="AK85" s="3">
        <f t="shared" si="3"/>
        <v>0</v>
      </c>
    </row>
    <row r="86" spans="2:37" x14ac:dyDescent="0.25">
      <c r="B86" s="2"/>
      <c r="D86" s="360" t="s">
        <v>58</v>
      </c>
      <c r="E86" s="360"/>
      <c r="F86" s="16" t="s">
        <v>500</v>
      </c>
      <c r="G86" s="16">
        <v>0.75</v>
      </c>
      <c r="H86" s="16">
        <v>0.751</v>
      </c>
      <c r="I86" s="16">
        <v>0.879</v>
      </c>
      <c r="J86" s="16">
        <v>0.88</v>
      </c>
      <c r="K86" s="16">
        <v>0.999</v>
      </c>
      <c r="L86" s="16" t="s">
        <v>500</v>
      </c>
      <c r="M86" s="16">
        <v>1</v>
      </c>
      <c r="O86" s="2"/>
      <c r="AE86" s="3" t="s">
        <v>58</v>
      </c>
      <c r="AF86" s="65">
        <v>12</v>
      </c>
      <c r="AG86" s="3">
        <f t="shared" si="0"/>
        <v>1</v>
      </c>
      <c r="AH86" s="3">
        <f>+IF(AG86=0,0,IF(AG86=1,(SUM($AG$75:AG86)-1),1))</f>
        <v>10</v>
      </c>
      <c r="AI86" s="3">
        <f t="shared" si="1"/>
        <v>1</v>
      </c>
      <c r="AJ86" s="3">
        <f t="shared" si="2"/>
        <v>0</v>
      </c>
      <c r="AK86" s="3">
        <f t="shared" si="3"/>
        <v>1</v>
      </c>
    </row>
    <row r="87" spans="2:37" ht="3.75" customHeight="1" x14ac:dyDescent="0.25">
      <c r="B87" s="2"/>
      <c r="O87" s="2"/>
    </row>
    <row r="88" spans="2:37" ht="66" customHeight="1" x14ac:dyDescent="0.25">
      <c r="B88" s="2"/>
      <c r="D88" s="338" t="s">
        <v>59</v>
      </c>
      <c r="E88" s="339"/>
      <c r="F88" s="340"/>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2" customHeight="1" x14ac:dyDescent="0.25">
      <c r="B97" s="2"/>
      <c r="D97" s="359" t="s">
        <v>35</v>
      </c>
      <c r="E97" s="359"/>
      <c r="F97" s="344" t="s">
        <v>1028</v>
      </c>
      <c r="G97" s="344"/>
      <c r="H97" s="344"/>
      <c r="I97" s="344"/>
      <c r="J97" s="344"/>
      <c r="K97" s="344"/>
      <c r="L97" s="344"/>
      <c r="M97" s="344"/>
      <c r="O97" s="2"/>
    </row>
    <row r="98" spans="2:15" ht="42" customHeight="1" x14ac:dyDescent="0.25">
      <c r="B98" s="2"/>
      <c r="D98" s="359" t="s">
        <v>36</v>
      </c>
      <c r="E98" s="359"/>
      <c r="F98" s="344" t="s">
        <v>1029</v>
      </c>
      <c r="G98" s="344"/>
      <c r="H98" s="344"/>
      <c r="I98" s="344"/>
      <c r="J98" s="344"/>
      <c r="K98" s="344"/>
      <c r="L98" s="344"/>
      <c r="M98" s="344"/>
      <c r="O98" s="2"/>
    </row>
    <row r="99" spans="2:15" ht="3.95" customHeight="1" x14ac:dyDescent="0.25">
      <c r="B99" s="2"/>
      <c r="O99" s="2"/>
    </row>
    <row r="100" spans="2:15" ht="58.5" customHeight="1" x14ac:dyDescent="0.25">
      <c r="B100" s="2"/>
      <c r="D100" s="338" t="s">
        <v>62</v>
      </c>
      <c r="E100" s="339"/>
      <c r="F100" s="340" t="s">
        <v>1016</v>
      </c>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2</v>
      </c>
      <c r="K102" s="20"/>
      <c r="O102" s="2"/>
    </row>
    <row r="103" spans="2:15" ht="19.5" customHeight="1" x14ac:dyDescent="0.25">
      <c r="B103" s="2"/>
      <c r="D103" s="331"/>
      <c r="E103" s="332"/>
      <c r="F103" s="19" t="s">
        <v>66</v>
      </c>
      <c r="G103" s="4"/>
      <c r="K103" s="21"/>
      <c r="O103" s="2"/>
    </row>
    <row r="104" spans="2:15" ht="27.75" customHeight="1" x14ac:dyDescent="0.25">
      <c r="B104" s="2"/>
      <c r="D104" s="331"/>
      <c r="E104" s="332"/>
      <c r="F104" s="19" t="s">
        <v>67</v>
      </c>
      <c r="G104" s="333"/>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Director(a) Abastecimiento</v>
      </c>
      <c r="H108" s="334"/>
      <c r="I108" s="334"/>
      <c r="J108" s="334"/>
      <c r="K108" s="334"/>
      <c r="L108" s="334"/>
      <c r="M108" s="335"/>
      <c r="O108" s="2"/>
    </row>
    <row r="109" spans="2:15" ht="17.25" customHeight="1" x14ac:dyDescent="0.25">
      <c r="B109" s="2"/>
      <c r="D109" s="331"/>
      <c r="E109" s="332"/>
      <c r="F109" s="19" t="s">
        <v>2042</v>
      </c>
      <c r="G109" s="333" t="str">
        <f>+IF(M23="Si","Coordinador(a) Planeación y Sistemas","")</f>
        <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653" priority="30">
      <formula>+IF($F$43="no",1,0)</formula>
    </cfRule>
  </conditionalFormatting>
  <conditionalFormatting sqref="F32:M33">
    <cfRule type="expression" dxfId="1652" priority="29">
      <formula>+IF($Q$30="NA",1,0)</formula>
    </cfRule>
  </conditionalFormatting>
  <conditionalFormatting sqref="F33:M33">
    <cfRule type="expression" dxfId="1651" priority="28">
      <formula>+IF($Q$33=0,1,0)</formula>
    </cfRule>
  </conditionalFormatting>
  <conditionalFormatting sqref="F47:M47">
    <cfRule type="expression" dxfId="1650" priority="27">
      <formula>+IF($Q$47=0,1,0)</formula>
    </cfRule>
  </conditionalFormatting>
  <conditionalFormatting sqref="F73:G73">
    <cfRule type="cellIs" dxfId="1649" priority="14" operator="equal">
      <formula>"optimo"</formula>
    </cfRule>
    <cfRule type="cellIs" dxfId="1648" priority="15" operator="equal">
      <formula>"critico"</formula>
    </cfRule>
  </conditionalFormatting>
  <conditionalFormatting sqref="H73:I73">
    <cfRule type="cellIs" dxfId="1647" priority="12" operator="equal">
      <formula>"Adecuado"</formula>
    </cfRule>
    <cfRule type="cellIs" dxfId="1646" priority="13" operator="equal">
      <formula>"en riesgo"</formula>
    </cfRule>
  </conditionalFormatting>
  <conditionalFormatting sqref="J73:K73">
    <cfRule type="cellIs" dxfId="1645" priority="10" operator="equal">
      <formula>"Adecuado"</formula>
    </cfRule>
    <cfRule type="cellIs" dxfId="1644" priority="11" operator="equal">
      <formula>"en riesgo"</formula>
    </cfRule>
  </conditionalFormatting>
  <conditionalFormatting sqref="L73:M73">
    <cfRule type="cellIs" dxfId="1643" priority="8" operator="equal">
      <formula>"optimo"</formula>
    </cfRule>
    <cfRule type="cellIs" dxfId="1642" priority="9" operator="equal">
      <formula>"critico"</formula>
    </cfRule>
  </conditionalFormatting>
  <conditionalFormatting sqref="F75:M86">
    <cfRule type="expression" dxfId="1641" priority="7">
      <formula>+IF($AK75=0,1)</formula>
    </cfRule>
  </conditionalFormatting>
  <conditionalFormatting sqref="F103:G104">
    <cfRule type="expression" dxfId="1640" priority="6">
      <formula>+IF($G$102="No",1,0)</formula>
    </cfRule>
  </conditionalFormatting>
  <conditionalFormatting sqref="F51">
    <cfRule type="expression" dxfId="1639" priority="5">
      <formula>+IF($F$43="no",1,0)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5">
    <tabColor rgb="FF0070C0"/>
  </sheetPr>
  <dimension ref="B1:AV113"/>
  <sheetViews>
    <sheetView zoomScaleNormal="100" workbookViewId="0">
      <selection activeCell="F108" sqref="F108:M11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294</v>
      </c>
      <c r="O10" s="2"/>
    </row>
    <row r="11" spans="2:24" ht="3.95" customHeight="1" x14ac:dyDescent="0.25">
      <c r="B11" s="2"/>
      <c r="D11" s="6"/>
      <c r="O11" s="2"/>
    </row>
    <row r="12" spans="2:24" ht="36" customHeight="1" x14ac:dyDescent="0.25">
      <c r="B12" s="2"/>
      <c r="D12" s="338" t="s">
        <v>5</v>
      </c>
      <c r="E12" s="339"/>
      <c r="F12" s="340" t="s">
        <v>295</v>
      </c>
      <c r="G12" s="341"/>
      <c r="H12" s="341"/>
      <c r="I12" s="341"/>
      <c r="J12" s="341"/>
      <c r="K12" s="341"/>
      <c r="L12" s="341"/>
      <c r="M12" s="342"/>
      <c r="O12" s="2"/>
      <c r="W12" s="3" t="str">
        <f>+F23</f>
        <v>Trimestral</v>
      </c>
      <c r="X12" s="3" t="str">
        <f>+F71</f>
        <v>Marzo</v>
      </c>
    </row>
    <row r="13" spans="2:24" ht="3.95" customHeight="1" x14ac:dyDescent="0.25">
      <c r="B13" s="2"/>
      <c r="O13" s="2"/>
    </row>
    <row r="14" spans="2:24" ht="38.25" customHeight="1" x14ac:dyDescent="0.25">
      <c r="B14" s="2"/>
      <c r="D14" s="338" t="s">
        <v>6</v>
      </c>
      <c r="E14" s="339"/>
      <c r="F14" s="340" t="s">
        <v>1054</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8">
        <v>65</v>
      </c>
      <c r="G22" s="337" t="s">
        <v>9</v>
      </c>
      <c r="H22" s="337"/>
      <c r="I22" s="8">
        <v>70</v>
      </c>
      <c r="K22" s="337" t="s">
        <v>10</v>
      </c>
      <c r="L22" s="337"/>
      <c r="M22" s="9" t="s">
        <v>496</v>
      </c>
      <c r="O22" s="2"/>
    </row>
    <row r="23" spans="2:17" ht="19.5" customHeight="1" x14ac:dyDescent="0.25">
      <c r="B23" s="2"/>
      <c r="D23" s="337" t="s">
        <v>11</v>
      </c>
      <c r="E23" s="337"/>
      <c r="F23" s="4" t="s">
        <v>71</v>
      </c>
      <c r="G23" s="337" t="s">
        <v>12</v>
      </c>
      <c r="H23" s="337"/>
      <c r="I23" s="4" t="s">
        <v>514</v>
      </c>
      <c r="K23" s="337" t="s">
        <v>13</v>
      </c>
      <c r="L23" s="337"/>
      <c r="M23" s="9" t="s">
        <v>2</v>
      </c>
      <c r="O23" s="2"/>
    </row>
    <row r="24" spans="2:17" ht="20.100000000000001" customHeight="1" x14ac:dyDescent="0.25">
      <c r="B24" s="2"/>
      <c r="D24" s="337" t="s">
        <v>14</v>
      </c>
      <c r="E24" s="337"/>
      <c r="F24" s="4" t="s">
        <v>498</v>
      </c>
      <c r="G24" s="337" t="s">
        <v>15</v>
      </c>
      <c r="H24" s="337"/>
      <c r="I24" s="4" t="s">
        <v>519</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soporte</v>
      </c>
    </row>
    <row r="31" spans="2:17" ht="24" customHeight="1" x14ac:dyDescent="0.25">
      <c r="B31" s="2"/>
      <c r="D31" s="347"/>
      <c r="E31" s="348"/>
      <c r="F31" s="4" t="s">
        <v>257</v>
      </c>
      <c r="G31" s="340" t="s">
        <v>258</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1025</v>
      </c>
      <c r="G33" s="340" t="s">
        <v>1015</v>
      </c>
      <c r="H33" s="341"/>
      <c r="I33" s="341"/>
      <c r="J33" s="341"/>
      <c r="K33" s="341"/>
      <c r="L33" s="341"/>
      <c r="M33" s="342"/>
      <c r="O33" s="2"/>
      <c r="Q33" s="3">
        <f>+IFERROR(IF(VLOOKUP(G33,base!$A$26:$C$40,3,FALSE)=F31,1,0),"")</f>
        <v>1</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1716</v>
      </c>
      <c r="G35" s="340" t="s">
        <v>1592</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501</v>
      </c>
      <c r="G45" s="340" t="s">
        <v>515</v>
      </c>
      <c r="H45" s="341"/>
      <c r="I45" s="341"/>
      <c r="J45" s="341"/>
      <c r="K45" s="341"/>
      <c r="L45" s="341"/>
      <c r="M45" s="342"/>
      <c r="O45" s="2"/>
      <c r="Q45" s="3" t="str">
        <f>+IFERROR(VLOOKUP(G45,base!$A$41:$C$45,3,FALSE),"")</f>
        <v>misional</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503</v>
      </c>
      <c r="G47" s="340" t="s">
        <v>995</v>
      </c>
      <c r="H47" s="341"/>
      <c r="I47" s="341"/>
      <c r="J47" s="341"/>
      <c r="K47" s="341"/>
      <c r="L47" s="341"/>
      <c r="M47" s="342"/>
      <c r="O47" s="2"/>
      <c r="Q47" s="3">
        <f>+IF(VLOOKUP(G47,base!$A$46:$C$66,3,FALSE)=F45,1,0)</f>
        <v>1</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920</v>
      </c>
      <c r="G49" s="340" t="s">
        <v>899</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496</v>
      </c>
      <c r="G51" s="337" t="s">
        <v>32</v>
      </c>
      <c r="H51" s="337"/>
      <c r="I51" s="8">
        <v>109</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 customHeight="1" x14ac:dyDescent="0.25">
      <c r="B59" s="2"/>
      <c r="D59" s="337" t="s">
        <v>34</v>
      </c>
      <c r="E59" s="337"/>
      <c r="F59" s="344" t="s">
        <v>1908</v>
      </c>
      <c r="G59" s="344"/>
      <c r="H59" s="344"/>
      <c r="I59" s="344"/>
      <c r="J59" s="344"/>
      <c r="K59" s="344"/>
      <c r="L59" s="344"/>
      <c r="M59" s="344"/>
      <c r="O59" s="2"/>
    </row>
    <row r="60" spans="2:15" ht="27.75" customHeight="1" x14ac:dyDescent="0.25">
      <c r="B60" s="2"/>
      <c r="D60" s="359" t="s">
        <v>35</v>
      </c>
      <c r="E60" s="359"/>
      <c r="F60" s="344" t="s">
        <v>1909</v>
      </c>
      <c r="G60" s="344"/>
      <c r="H60" s="344"/>
      <c r="I60" s="344"/>
      <c r="J60" s="344"/>
      <c r="K60" s="344"/>
      <c r="L60" s="344"/>
      <c r="M60" s="344"/>
      <c r="O60" s="2"/>
    </row>
    <row r="61" spans="2:15" ht="27.75" customHeight="1" x14ac:dyDescent="0.25">
      <c r="B61" s="2"/>
      <c r="D61" s="359" t="s">
        <v>36</v>
      </c>
      <c r="E61" s="359"/>
      <c r="F61" s="344" t="s">
        <v>1910</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43" t="s">
        <v>39</v>
      </c>
      <c r="E71" s="343"/>
      <c r="F71" s="4" t="s">
        <v>47</v>
      </c>
      <c r="G71" s="3">
        <v>3</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v>0.14899999999999999</v>
      </c>
      <c r="H77" s="16">
        <v>0.15</v>
      </c>
      <c r="I77" s="16">
        <v>0.19900000000000001</v>
      </c>
      <c r="J77" s="16">
        <v>0.2</v>
      </c>
      <c r="K77" s="16">
        <v>0.249</v>
      </c>
      <c r="L77" s="16">
        <v>0.25</v>
      </c>
      <c r="M77" s="16"/>
      <c r="O77" s="2"/>
      <c r="AE77" s="3" t="s">
        <v>47</v>
      </c>
      <c r="AF77" s="3">
        <v>3</v>
      </c>
      <c r="AG77" s="3">
        <f t="shared" si="0"/>
        <v>1</v>
      </c>
      <c r="AH77" s="3">
        <f>+IF(AG77=0,0,IF(AG77=1,(SUM($AG$75:AG77)-1),1))</f>
        <v>0</v>
      </c>
      <c r="AI77" s="3">
        <f t="shared" si="1"/>
        <v>0</v>
      </c>
      <c r="AJ77" s="3">
        <f t="shared" si="2"/>
        <v>1</v>
      </c>
      <c r="AK77" s="3">
        <f t="shared" si="3"/>
        <v>1</v>
      </c>
    </row>
    <row r="78" spans="2:37" x14ac:dyDescent="0.25">
      <c r="B78" s="2"/>
      <c r="D78" s="360" t="s">
        <v>48</v>
      </c>
      <c r="E78" s="360"/>
      <c r="F78" s="16" t="s">
        <v>500</v>
      </c>
      <c r="G78" s="16"/>
      <c r="H78" s="16"/>
      <c r="I78" s="16"/>
      <c r="J78" s="16"/>
      <c r="K78" s="16"/>
      <c r="L78" s="16"/>
      <c r="M78" s="16"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60" t="s">
        <v>49</v>
      </c>
      <c r="E79" s="360"/>
      <c r="F79" s="16" t="s">
        <v>500</v>
      </c>
      <c r="G79" s="16"/>
      <c r="H79" s="16"/>
      <c r="I79" s="16"/>
      <c r="J79" s="16"/>
      <c r="K79" s="16"/>
      <c r="L79" s="16"/>
      <c r="M79" s="16" t="s">
        <v>500</v>
      </c>
      <c r="O79" s="2"/>
      <c r="AE79" s="3" t="s">
        <v>49</v>
      </c>
      <c r="AF79" s="3">
        <v>5</v>
      </c>
      <c r="AG79" s="3">
        <f t="shared" si="0"/>
        <v>1</v>
      </c>
      <c r="AH79" s="3">
        <f>+IF(AG79=0,0,IF(AG79=1,(SUM($AG$75:AG79)-1),1))</f>
        <v>2</v>
      </c>
      <c r="AI79" s="3">
        <f t="shared" si="1"/>
        <v>0</v>
      </c>
      <c r="AJ79" s="3">
        <f t="shared" si="2"/>
        <v>0</v>
      </c>
      <c r="AK79" s="3">
        <f t="shared" si="3"/>
        <v>0</v>
      </c>
    </row>
    <row r="80" spans="2:37" x14ac:dyDescent="0.25">
      <c r="B80" s="2"/>
      <c r="D80" s="360" t="s">
        <v>50</v>
      </c>
      <c r="E80" s="360"/>
      <c r="F80" s="16" t="s">
        <v>500</v>
      </c>
      <c r="G80" s="16">
        <v>0.39900000000000002</v>
      </c>
      <c r="H80" s="16">
        <v>0.4</v>
      </c>
      <c r="I80" s="16">
        <v>0.44900000000000001</v>
      </c>
      <c r="J80" s="16">
        <v>0.45</v>
      </c>
      <c r="K80" s="16">
        <v>0.499</v>
      </c>
      <c r="L80" s="16">
        <v>0.5</v>
      </c>
      <c r="M80" s="16" t="s">
        <v>500</v>
      </c>
      <c r="O80" s="2"/>
      <c r="AE80" s="3" t="s">
        <v>50</v>
      </c>
      <c r="AF80" s="3">
        <v>6</v>
      </c>
      <c r="AG80" s="3">
        <f t="shared" si="0"/>
        <v>1</v>
      </c>
      <c r="AH80" s="3">
        <f>+IF(AG80=0,0,IF(AG80=1,(SUM($AG$75:AG80)-1),1))</f>
        <v>3</v>
      </c>
      <c r="AI80" s="3">
        <f t="shared" si="1"/>
        <v>1</v>
      </c>
      <c r="AJ80" s="3">
        <f t="shared" si="2"/>
        <v>0</v>
      </c>
      <c r="AK80" s="3">
        <f t="shared" si="3"/>
        <v>1</v>
      </c>
    </row>
    <row r="81" spans="2:37" x14ac:dyDescent="0.25">
      <c r="B81" s="2"/>
      <c r="D81" s="360" t="s">
        <v>53</v>
      </c>
      <c r="E81" s="360"/>
      <c r="F81" s="16" t="s">
        <v>500</v>
      </c>
      <c r="G81" s="16"/>
      <c r="H81" s="16"/>
      <c r="I81" s="16"/>
      <c r="J81" s="16"/>
      <c r="K81" s="16"/>
      <c r="L81" s="16"/>
      <c r="M81" s="16" t="s">
        <v>500</v>
      </c>
      <c r="O81" s="2"/>
      <c r="AE81" s="3" t="s">
        <v>53</v>
      </c>
      <c r="AF81" s="3">
        <v>7</v>
      </c>
      <c r="AG81" s="3">
        <f t="shared" si="0"/>
        <v>1</v>
      </c>
      <c r="AH81" s="3">
        <f>+IF(AG81=0,0,IF(AG81=1,(SUM($AG$75:AG81)-1),1))</f>
        <v>4</v>
      </c>
      <c r="AI81" s="3">
        <f t="shared" si="1"/>
        <v>0</v>
      </c>
      <c r="AJ81" s="3">
        <f t="shared" si="2"/>
        <v>0</v>
      </c>
      <c r="AK81" s="3">
        <f t="shared" si="3"/>
        <v>0</v>
      </c>
    </row>
    <row r="82" spans="2:37" x14ac:dyDescent="0.25">
      <c r="B82" s="2"/>
      <c r="D82" s="360" t="s">
        <v>54</v>
      </c>
      <c r="E82" s="360"/>
      <c r="F82" s="16" t="s">
        <v>500</v>
      </c>
      <c r="G82" s="16"/>
      <c r="H82" s="16"/>
      <c r="I82" s="16"/>
      <c r="J82" s="16"/>
      <c r="K82" s="16"/>
      <c r="L82" s="16"/>
      <c r="M82" s="16"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60" t="s">
        <v>55</v>
      </c>
      <c r="E83" s="360"/>
      <c r="F83" s="16" t="s">
        <v>500</v>
      </c>
      <c r="G83" s="16" t="s">
        <v>1911</v>
      </c>
      <c r="H83" s="16">
        <v>0.65</v>
      </c>
      <c r="I83" s="16">
        <v>0.69899999999999995</v>
      </c>
      <c r="J83" s="16">
        <v>0.7</v>
      </c>
      <c r="K83" s="16">
        <v>0.749</v>
      </c>
      <c r="L83" s="16">
        <v>0.75</v>
      </c>
      <c r="M83" s="16" t="s">
        <v>500</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60" t="s">
        <v>56</v>
      </c>
      <c r="E84" s="360"/>
      <c r="F84" s="16" t="s">
        <v>500</v>
      </c>
      <c r="G84" s="16"/>
      <c r="H84" s="16"/>
      <c r="I84" s="16"/>
      <c r="J84" s="16"/>
      <c r="K84" s="16"/>
      <c r="L84" s="16"/>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60" t="s">
        <v>57</v>
      </c>
      <c r="E85" s="360"/>
      <c r="F85" s="16" t="s">
        <v>500</v>
      </c>
      <c r="G85" s="16"/>
      <c r="H85" s="16"/>
      <c r="I85" s="16"/>
      <c r="J85" s="16"/>
      <c r="K85" s="16"/>
      <c r="L85" s="16"/>
      <c r="M85" s="16"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60" t="s">
        <v>58</v>
      </c>
      <c r="E86" s="360"/>
      <c r="F86" s="16" t="s">
        <v>500</v>
      </c>
      <c r="G86" s="16">
        <v>0.89900000000000002</v>
      </c>
      <c r="H86" s="16">
        <v>0.9</v>
      </c>
      <c r="I86" s="16">
        <v>0.94899999999999995</v>
      </c>
      <c r="J86" s="16">
        <v>0.95</v>
      </c>
      <c r="K86" s="16">
        <v>0.999</v>
      </c>
      <c r="L86" s="16"/>
      <c r="M86" s="16">
        <v>1</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66" customHeight="1" x14ac:dyDescent="0.25">
      <c r="B88" s="2"/>
      <c r="D88" s="338" t="s">
        <v>59</v>
      </c>
      <c r="E88" s="339"/>
      <c r="F88" s="340" t="s">
        <v>1017</v>
      </c>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2" customHeight="1" x14ac:dyDescent="0.25">
      <c r="B97" s="2"/>
      <c r="D97" s="359" t="s">
        <v>35</v>
      </c>
      <c r="E97" s="359"/>
      <c r="F97" s="344" t="s">
        <v>1041</v>
      </c>
      <c r="G97" s="344"/>
      <c r="H97" s="344"/>
      <c r="I97" s="344"/>
      <c r="J97" s="344"/>
      <c r="K97" s="344"/>
      <c r="L97" s="344"/>
      <c r="M97" s="344"/>
      <c r="O97" s="2"/>
    </row>
    <row r="98" spans="2:15" ht="42" customHeight="1" x14ac:dyDescent="0.25">
      <c r="B98" s="2"/>
      <c r="D98" s="359" t="s">
        <v>36</v>
      </c>
      <c r="E98" s="359"/>
      <c r="F98" s="344" t="s">
        <v>1029</v>
      </c>
      <c r="G98" s="344"/>
      <c r="H98" s="344"/>
      <c r="I98" s="344"/>
      <c r="J98" s="344"/>
      <c r="K98" s="344"/>
      <c r="L98" s="344"/>
      <c r="M98" s="344"/>
      <c r="O98" s="2"/>
    </row>
    <row r="99" spans="2:15" ht="3.95" customHeight="1" x14ac:dyDescent="0.25">
      <c r="B99" s="2"/>
      <c r="O99" s="2"/>
    </row>
    <row r="100" spans="2:15" ht="58.5" customHeight="1" x14ac:dyDescent="0.25">
      <c r="B100" s="2"/>
      <c r="D100" s="338" t="s">
        <v>62</v>
      </c>
      <c r="E100" s="339"/>
      <c r="F100" s="340" t="s">
        <v>1018</v>
      </c>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2</v>
      </c>
      <c r="K102" s="20"/>
      <c r="O102" s="2"/>
    </row>
    <row r="103" spans="2:15" ht="19.5" customHeight="1" x14ac:dyDescent="0.25">
      <c r="B103" s="2"/>
      <c r="D103" s="331"/>
      <c r="E103" s="332"/>
      <c r="F103" s="19" t="s">
        <v>66</v>
      </c>
      <c r="G103" s="4"/>
      <c r="K103" s="21"/>
      <c r="O103" s="2"/>
    </row>
    <row r="104" spans="2:15" ht="27.75" customHeight="1" x14ac:dyDescent="0.25">
      <c r="B104" s="2"/>
      <c r="D104" s="331"/>
      <c r="E104" s="332"/>
      <c r="F104" s="19" t="s">
        <v>67</v>
      </c>
      <c r="G104" s="333"/>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Director(a) Abastecimiento</v>
      </c>
      <c r="H108" s="334"/>
      <c r="I108" s="334"/>
      <c r="J108" s="334"/>
      <c r="K108" s="334"/>
      <c r="L108" s="334"/>
      <c r="M108" s="335"/>
      <c r="O108" s="2"/>
    </row>
    <row r="109" spans="2:15" ht="17.25" customHeight="1" x14ac:dyDescent="0.25">
      <c r="B109" s="2"/>
      <c r="D109" s="331"/>
      <c r="E109" s="332"/>
      <c r="F109" s="19" t="s">
        <v>2042</v>
      </c>
      <c r="G109" s="333" t="str">
        <f>+IF(M23="Si","Coordinador(a) Planeación y Sistemas","")</f>
        <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638" priority="31">
      <formula>+IF($F$43="no",1,0)</formula>
    </cfRule>
  </conditionalFormatting>
  <conditionalFormatting sqref="F32:M33">
    <cfRule type="expression" dxfId="1637" priority="30">
      <formula>+IF($Q$30="NA",1,0)</formula>
    </cfRule>
  </conditionalFormatting>
  <conditionalFormatting sqref="F33:M33">
    <cfRule type="expression" dxfId="1636" priority="29">
      <formula>+IF($Q$33=0,1,0)</formula>
    </cfRule>
  </conditionalFormatting>
  <conditionalFormatting sqref="F47:M47">
    <cfRule type="expression" dxfId="1635" priority="28">
      <formula>+IF($Q$47=0,1,0)</formula>
    </cfRule>
  </conditionalFormatting>
  <conditionalFormatting sqref="F73:G73">
    <cfRule type="cellIs" dxfId="1634" priority="18" operator="equal">
      <formula>"optimo"</formula>
    </cfRule>
    <cfRule type="cellIs" dxfId="1633" priority="19" operator="equal">
      <formula>"critico"</formula>
    </cfRule>
  </conditionalFormatting>
  <conditionalFormatting sqref="H73:I73">
    <cfRule type="cellIs" dxfId="1632" priority="16" operator="equal">
      <formula>"Adecuado"</formula>
    </cfRule>
    <cfRule type="cellIs" dxfId="1631" priority="17" operator="equal">
      <formula>"en riesgo"</formula>
    </cfRule>
  </conditionalFormatting>
  <conditionalFormatting sqref="J73:K73">
    <cfRule type="cellIs" dxfId="1630" priority="14" operator="equal">
      <formula>"Adecuado"</formula>
    </cfRule>
    <cfRule type="cellIs" dxfId="1629" priority="15" operator="equal">
      <formula>"en riesgo"</formula>
    </cfRule>
  </conditionalFormatting>
  <conditionalFormatting sqref="L73:M73">
    <cfRule type="cellIs" dxfId="1628" priority="12" operator="equal">
      <formula>"optimo"</formula>
    </cfRule>
    <cfRule type="cellIs" dxfId="1627" priority="13" operator="equal">
      <formula>"critico"</formula>
    </cfRule>
  </conditionalFormatting>
  <conditionalFormatting sqref="F75:M86">
    <cfRule type="expression" dxfId="1626" priority="11">
      <formula>+IF($AK75=0,1)</formula>
    </cfRule>
  </conditionalFormatting>
  <conditionalFormatting sqref="F51">
    <cfRule type="expression" dxfId="1625" priority="9">
      <formula>+IF($F$43="no",1,0)</formula>
    </cfRule>
  </conditionalFormatting>
  <conditionalFormatting sqref="F103:G104">
    <cfRule type="expression" dxfId="1624" priority="4">
      <formula>+IF($G$102="No",1,0)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6">
    <tabColor rgb="FF0070C0"/>
  </sheetPr>
  <dimension ref="B1:AV113"/>
  <sheetViews>
    <sheetView topLeftCell="A49" zoomScaleNormal="100" workbookViewId="0">
      <selection activeCell="F76" sqref="F76:M76"/>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296</v>
      </c>
      <c r="O10" s="2"/>
    </row>
    <row r="11" spans="2:24" ht="3.95" customHeight="1" x14ac:dyDescent="0.25">
      <c r="B11" s="2"/>
      <c r="D11" s="6"/>
      <c r="O11" s="2"/>
    </row>
    <row r="12" spans="2:24" ht="36" customHeight="1" x14ac:dyDescent="0.25">
      <c r="B12" s="2"/>
      <c r="D12" s="338" t="s">
        <v>5</v>
      </c>
      <c r="E12" s="339"/>
      <c r="F12" s="340" t="s">
        <v>297</v>
      </c>
      <c r="G12" s="341"/>
      <c r="H12" s="341"/>
      <c r="I12" s="341"/>
      <c r="J12" s="341"/>
      <c r="K12" s="341"/>
      <c r="L12" s="341"/>
      <c r="M12" s="342"/>
      <c r="O12" s="2"/>
      <c r="W12" s="3" t="str">
        <f>+F23</f>
        <v>Mensual</v>
      </c>
      <c r="X12" s="3" t="str">
        <f>+F71</f>
        <v>Marzo</v>
      </c>
    </row>
    <row r="13" spans="2:24" ht="3.95" customHeight="1" x14ac:dyDescent="0.25">
      <c r="B13" s="2"/>
      <c r="O13" s="2"/>
    </row>
    <row r="14" spans="2:24" ht="38.25" customHeight="1" x14ac:dyDescent="0.25">
      <c r="B14" s="2"/>
      <c r="D14" s="338" t="s">
        <v>6</v>
      </c>
      <c r="E14" s="339"/>
      <c r="F14" s="340" t="s">
        <v>1048</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8">
        <v>0</v>
      </c>
      <c r="G22" s="337" t="s">
        <v>9</v>
      </c>
      <c r="H22" s="337"/>
      <c r="I22" s="17">
        <v>1</v>
      </c>
      <c r="K22" s="337" t="s">
        <v>10</v>
      </c>
      <c r="L22" s="337"/>
      <c r="M22" s="9" t="s">
        <v>496</v>
      </c>
      <c r="O22" s="2"/>
    </row>
    <row r="23" spans="2:17" ht="19.5" customHeight="1" x14ac:dyDescent="0.25">
      <c r="B23" s="2"/>
      <c r="D23" s="337" t="s">
        <v>11</v>
      </c>
      <c r="E23" s="337"/>
      <c r="F23" s="4" t="s">
        <v>84</v>
      </c>
      <c r="G23" s="337" t="s">
        <v>12</v>
      </c>
      <c r="H23" s="337"/>
      <c r="I23" s="4" t="s">
        <v>497</v>
      </c>
      <c r="K23" s="337" t="s">
        <v>13</v>
      </c>
      <c r="L23" s="337"/>
      <c r="M23" s="9" t="s">
        <v>496</v>
      </c>
      <c r="O23" s="2"/>
    </row>
    <row r="24" spans="2:17" ht="20.100000000000001" customHeight="1" x14ac:dyDescent="0.25">
      <c r="B24" s="2"/>
      <c r="D24" s="337" t="s">
        <v>14</v>
      </c>
      <c r="E24" s="337"/>
      <c r="F24" s="4" t="s">
        <v>81</v>
      </c>
      <c r="G24" s="337" t="s">
        <v>15</v>
      </c>
      <c r="H24" s="337"/>
      <c r="I24" s="4" t="s">
        <v>533</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soporte</v>
      </c>
    </row>
    <row r="31" spans="2:17" ht="24" customHeight="1" x14ac:dyDescent="0.25">
      <c r="B31" s="2"/>
      <c r="D31" s="347"/>
      <c r="E31" s="348"/>
      <c r="F31" s="4" t="s">
        <v>257</v>
      </c>
      <c r="G31" s="340" t="s">
        <v>258</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1025</v>
      </c>
      <c r="G33" s="340" t="s">
        <v>1015</v>
      </c>
      <c r="H33" s="341"/>
      <c r="I33" s="341"/>
      <c r="J33" s="341"/>
      <c r="K33" s="341"/>
      <c r="L33" s="341"/>
      <c r="M33" s="342"/>
      <c r="O33" s="2"/>
      <c r="Q33" s="3">
        <f>+IFERROR(IF(VLOOKUP(G33,base!$A$26:$C$40,3,FALSE)=F31,1,0),"")</f>
        <v>1</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1716</v>
      </c>
      <c r="G35" s="340" t="s">
        <v>1592</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501</v>
      </c>
      <c r="G45" s="340" t="s">
        <v>502</v>
      </c>
      <c r="H45" s="341"/>
      <c r="I45" s="341"/>
      <c r="J45" s="341"/>
      <c r="K45" s="341"/>
      <c r="L45" s="341"/>
      <c r="M45" s="342"/>
      <c r="O45" s="2"/>
      <c r="Q45" s="3" t="str">
        <f>+IFERROR(VLOOKUP(G45,base!$A$41:$C$45,3,FALSE),"")</f>
        <v>misional</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503</v>
      </c>
      <c r="G47" s="340" t="s">
        <v>995</v>
      </c>
      <c r="H47" s="341"/>
      <c r="I47" s="341"/>
      <c r="J47" s="341"/>
      <c r="K47" s="341"/>
      <c r="L47" s="341"/>
      <c r="M47" s="342"/>
      <c r="O47" s="2"/>
      <c r="Q47" s="3">
        <f>+IF(VLOOKUP(G47,base!$A$46:$C$66,3,FALSE)=F45,1,0)</f>
        <v>1</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920</v>
      </c>
      <c r="G49" s="340" t="s">
        <v>899</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69"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 customHeight="1" x14ac:dyDescent="0.25">
      <c r="B59" s="2"/>
      <c r="D59" s="337" t="s">
        <v>34</v>
      </c>
      <c r="E59" s="337"/>
      <c r="F59" s="344" t="s">
        <v>1049</v>
      </c>
      <c r="G59" s="344"/>
      <c r="H59" s="344"/>
      <c r="I59" s="344"/>
      <c r="J59" s="344"/>
      <c r="K59" s="344"/>
      <c r="L59" s="344"/>
      <c r="M59" s="344"/>
      <c r="O59" s="2"/>
    </row>
    <row r="60" spans="2:15" ht="27.75" customHeight="1" x14ac:dyDescent="0.25">
      <c r="B60" s="2"/>
      <c r="D60" s="359" t="s">
        <v>35</v>
      </c>
      <c r="E60" s="359"/>
      <c r="F60" s="344" t="s">
        <v>1050</v>
      </c>
      <c r="G60" s="344"/>
      <c r="H60" s="344"/>
      <c r="I60" s="344"/>
      <c r="J60" s="344"/>
      <c r="K60" s="344"/>
      <c r="L60" s="344"/>
      <c r="M60" s="344"/>
      <c r="O60" s="2"/>
    </row>
    <row r="61" spans="2:15" ht="27.75" customHeight="1" x14ac:dyDescent="0.25">
      <c r="B61" s="2"/>
      <c r="D61" s="359" t="s">
        <v>36</v>
      </c>
      <c r="E61" s="359"/>
      <c r="F61" s="344" t="s">
        <v>1051</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43" t="s">
        <v>39</v>
      </c>
      <c r="E71" s="343"/>
      <c r="F71" s="4" t="s">
        <v>47</v>
      </c>
      <c r="G71" s="3">
        <v>3</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v>0.91900000000000004</v>
      </c>
      <c r="H77" s="16">
        <v>0.92</v>
      </c>
      <c r="I77" s="16">
        <v>0.93899999999999995</v>
      </c>
      <c r="J77" s="16">
        <v>0.94</v>
      </c>
      <c r="K77" s="16">
        <v>0.99399999999999999</v>
      </c>
      <c r="L77" s="16">
        <v>0.995</v>
      </c>
      <c r="M77" s="16"/>
      <c r="O77" s="2"/>
      <c r="AE77" s="3" t="s">
        <v>47</v>
      </c>
      <c r="AF77" s="3">
        <v>3</v>
      </c>
      <c r="AG77" s="3">
        <f t="shared" si="0"/>
        <v>1</v>
      </c>
      <c r="AH77" s="3">
        <f>+IF(AG77=0,0,IF(AG77=1,(SUM($AG$75:AG77)-1),1))</f>
        <v>0</v>
      </c>
      <c r="AI77" s="3">
        <f t="shared" si="1"/>
        <v>0</v>
      </c>
      <c r="AJ77" s="3">
        <f t="shared" si="2"/>
        <v>1</v>
      </c>
      <c r="AK77" s="3">
        <f t="shared" si="3"/>
        <v>1</v>
      </c>
    </row>
    <row r="78" spans="2:37" x14ac:dyDescent="0.25">
      <c r="B78" s="2"/>
      <c r="D78" s="360" t="s">
        <v>48</v>
      </c>
      <c r="E78" s="360"/>
      <c r="F78" s="16" t="s">
        <v>500</v>
      </c>
      <c r="G78" s="16">
        <v>0.91900000000000004</v>
      </c>
      <c r="H78" s="16">
        <v>0.92</v>
      </c>
      <c r="I78" s="16">
        <v>0.93899999999999995</v>
      </c>
      <c r="J78" s="16">
        <v>0.94</v>
      </c>
      <c r="K78" s="16">
        <v>0.99399999999999999</v>
      </c>
      <c r="L78" s="16">
        <v>0.995</v>
      </c>
      <c r="M78" s="16"/>
      <c r="O78" s="2"/>
      <c r="AE78" s="3" t="s">
        <v>48</v>
      </c>
      <c r="AF78" s="3">
        <v>4</v>
      </c>
      <c r="AG78" s="3">
        <f t="shared" si="0"/>
        <v>1</v>
      </c>
      <c r="AH78" s="3">
        <f>+IF(AG78=0,0,IF(AG78=1,(SUM($AG$75:AG78)-1),1))</f>
        <v>1</v>
      </c>
      <c r="AI78" s="3">
        <f t="shared" si="1"/>
        <v>1</v>
      </c>
      <c r="AJ78" s="3">
        <f t="shared" si="2"/>
        <v>0</v>
      </c>
      <c r="AK78" s="3">
        <f t="shared" si="3"/>
        <v>1</v>
      </c>
    </row>
    <row r="79" spans="2:37" x14ac:dyDescent="0.25">
      <c r="B79" s="2"/>
      <c r="D79" s="360" t="s">
        <v>49</v>
      </c>
      <c r="E79" s="360"/>
      <c r="F79" s="16" t="s">
        <v>500</v>
      </c>
      <c r="G79" s="16">
        <v>0.91900000000000004</v>
      </c>
      <c r="H79" s="16">
        <v>0.92</v>
      </c>
      <c r="I79" s="16">
        <v>0.93899999999999995</v>
      </c>
      <c r="J79" s="16">
        <v>0.94</v>
      </c>
      <c r="K79" s="16">
        <v>0.99399999999999999</v>
      </c>
      <c r="L79" s="16">
        <v>0.995</v>
      </c>
      <c r="M79" s="16"/>
      <c r="O79" s="2"/>
      <c r="AE79" s="3" t="s">
        <v>49</v>
      </c>
      <c r="AF79" s="3">
        <v>5</v>
      </c>
      <c r="AG79" s="3">
        <f t="shared" si="0"/>
        <v>1</v>
      </c>
      <c r="AH79" s="3">
        <f>+IF(AG79=0,0,IF(AG79=1,(SUM($AG$75:AG79)-1),1))</f>
        <v>2</v>
      </c>
      <c r="AI79" s="3">
        <f t="shared" si="1"/>
        <v>1</v>
      </c>
      <c r="AJ79" s="3">
        <f t="shared" si="2"/>
        <v>0</v>
      </c>
      <c r="AK79" s="3">
        <f t="shared" si="3"/>
        <v>1</v>
      </c>
    </row>
    <row r="80" spans="2:37" x14ac:dyDescent="0.25">
      <c r="B80" s="2"/>
      <c r="D80" s="360" t="s">
        <v>50</v>
      </c>
      <c r="E80" s="360"/>
      <c r="F80" s="16" t="s">
        <v>500</v>
      </c>
      <c r="G80" s="16">
        <v>0.91900000000000004</v>
      </c>
      <c r="H80" s="16">
        <v>0.92</v>
      </c>
      <c r="I80" s="16">
        <v>0.93899999999999995</v>
      </c>
      <c r="J80" s="16">
        <v>0.94</v>
      </c>
      <c r="K80" s="16">
        <v>0.99399999999999999</v>
      </c>
      <c r="L80" s="16">
        <v>0.995</v>
      </c>
      <c r="M80" s="16"/>
      <c r="O80" s="2"/>
      <c r="AE80" s="3" t="s">
        <v>50</v>
      </c>
      <c r="AF80" s="3">
        <v>6</v>
      </c>
      <c r="AG80" s="3">
        <f t="shared" si="0"/>
        <v>1</v>
      </c>
      <c r="AH80" s="3">
        <f>+IF(AG80=0,0,IF(AG80=1,(SUM($AG$75:AG80)-1),1))</f>
        <v>3</v>
      </c>
      <c r="AI80" s="3">
        <f t="shared" si="1"/>
        <v>1</v>
      </c>
      <c r="AJ80" s="3">
        <f t="shared" si="2"/>
        <v>0</v>
      </c>
      <c r="AK80" s="3">
        <f t="shared" si="3"/>
        <v>1</v>
      </c>
    </row>
    <row r="81" spans="2:37" x14ac:dyDescent="0.25">
      <c r="B81" s="2"/>
      <c r="D81" s="360" t="s">
        <v>53</v>
      </c>
      <c r="E81" s="360"/>
      <c r="F81" s="16" t="s">
        <v>500</v>
      </c>
      <c r="G81" s="28">
        <v>0.91900000000000004</v>
      </c>
      <c r="H81" s="28">
        <v>0.92</v>
      </c>
      <c r="I81" s="28">
        <v>0.93899999999999995</v>
      </c>
      <c r="J81" s="28">
        <v>0.94</v>
      </c>
      <c r="K81" s="16">
        <v>0.99399999999999999</v>
      </c>
      <c r="L81" s="16">
        <v>0.995</v>
      </c>
      <c r="M81" s="16"/>
      <c r="O81" s="2"/>
      <c r="AE81" s="3" t="s">
        <v>53</v>
      </c>
      <c r="AF81" s="3">
        <v>7</v>
      </c>
      <c r="AG81" s="3">
        <f t="shared" si="0"/>
        <v>1</v>
      </c>
      <c r="AH81" s="3">
        <f>+IF(AG81=0,0,IF(AG81=1,(SUM($AG$75:AG81)-1),1))</f>
        <v>4</v>
      </c>
      <c r="AI81" s="3">
        <f t="shared" si="1"/>
        <v>1</v>
      </c>
      <c r="AJ81" s="3">
        <f t="shared" si="2"/>
        <v>0</v>
      </c>
      <c r="AK81" s="3">
        <f t="shared" si="3"/>
        <v>1</v>
      </c>
    </row>
    <row r="82" spans="2:37" x14ac:dyDescent="0.25">
      <c r="B82" s="2"/>
      <c r="D82" s="360" t="s">
        <v>54</v>
      </c>
      <c r="E82" s="360"/>
      <c r="F82" s="16" t="s">
        <v>500</v>
      </c>
      <c r="G82" s="28">
        <v>0.91900000000000004</v>
      </c>
      <c r="H82" s="28">
        <v>0.92</v>
      </c>
      <c r="I82" s="28">
        <v>0.93899999999999995</v>
      </c>
      <c r="J82" s="28">
        <v>0.94</v>
      </c>
      <c r="K82" s="16">
        <v>0.99399999999999999</v>
      </c>
      <c r="L82" s="16">
        <v>0.995</v>
      </c>
      <c r="M82" s="16"/>
      <c r="O82" s="2"/>
      <c r="AE82" s="3" t="s">
        <v>54</v>
      </c>
      <c r="AF82" s="3">
        <v>8</v>
      </c>
      <c r="AG82" s="3">
        <f t="shared" si="0"/>
        <v>1</v>
      </c>
      <c r="AH82" s="3">
        <f>+IF(AG82=0,0,IF(AG82=1,(SUM($AG$75:AG82)-1),1))</f>
        <v>5</v>
      </c>
      <c r="AI82" s="3">
        <f t="shared" si="1"/>
        <v>1</v>
      </c>
      <c r="AJ82" s="3">
        <f t="shared" si="2"/>
        <v>0</v>
      </c>
      <c r="AK82" s="3">
        <f t="shared" si="3"/>
        <v>1</v>
      </c>
    </row>
    <row r="83" spans="2:37" x14ac:dyDescent="0.25">
      <c r="B83" s="2"/>
      <c r="D83" s="360" t="s">
        <v>55</v>
      </c>
      <c r="E83" s="360"/>
      <c r="F83" s="16" t="s">
        <v>500</v>
      </c>
      <c r="G83" s="28">
        <v>0.91900000000000004</v>
      </c>
      <c r="H83" s="28">
        <v>0.92</v>
      </c>
      <c r="I83" s="28">
        <v>0.93899999999999995</v>
      </c>
      <c r="J83" s="28">
        <v>0.94</v>
      </c>
      <c r="K83" s="16">
        <v>0.99399999999999999</v>
      </c>
      <c r="L83" s="16">
        <v>0.995</v>
      </c>
      <c r="M83" s="16"/>
      <c r="O83" s="2"/>
      <c r="AE83" s="3" t="s">
        <v>55</v>
      </c>
      <c r="AF83" s="3">
        <v>9</v>
      </c>
      <c r="AG83" s="3">
        <f t="shared" si="0"/>
        <v>1</v>
      </c>
      <c r="AH83" s="3">
        <f>+IF(AG83=0,0,IF(AG83=1,(SUM($AG$75:AG83)-1),1))</f>
        <v>6</v>
      </c>
      <c r="AI83" s="3">
        <f t="shared" si="1"/>
        <v>1</v>
      </c>
      <c r="AJ83" s="3">
        <f t="shared" si="2"/>
        <v>0</v>
      </c>
      <c r="AK83" s="3">
        <f t="shared" si="3"/>
        <v>1</v>
      </c>
    </row>
    <row r="84" spans="2:37" x14ac:dyDescent="0.25">
      <c r="B84" s="2"/>
      <c r="D84" s="360" t="s">
        <v>56</v>
      </c>
      <c r="E84" s="360"/>
      <c r="F84" s="16" t="s">
        <v>500</v>
      </c>
      <c r="G84" s="28">
        <v>0.91900000000000004</v>
      </c>
      <c r="H84" s="28">
        <v>0.92</v>
      </c>
      <c r="I84" s="28">
        <v>0.93899999999999995</v>
      </c>
      <c r="J84" s="28">
        <v>0.94</v>
      </c>
      <c r="K84" s="16">
        <v>0.99399999999999999</v>
      </c>
      <c r="L84" s="16">
        <v>0.995</v>
      </c>
      <c r="M84" s="16"/>
      <c r="O84" s="2"/>
      <c r="AE84" s="3" t="s">
        <v>56</v>
      </c>
      <c r="AF84" s="3">
        <v>10</v>
      </c>
      <c r="AG84" s="3">
        <f t="shared" si="0"/>
        <v>1</v>
      </c>
      <c r="AH84" s="3">
        <f>+IF(AG84=0,0,IF(AG84=1,(SUM($AG$75:AG84)-1),1))</f>
        <v>7</v>
      </c>
      <c r="AI84" s="3">
        <f t="shared" si="1"/>
        <v>1</v>
      </c>
      <c r="AJ84" s="3">
        <f t="shared" si="2"/>
        <v>0</v>
      </c>
      <c r="AK84" s="3">
        <f t="shared" si="3"/>
        <v>1</v>
      </c>
    </row>
    <row r="85" spans="2:37" x14ac:dyDescent="0.25">
      <c r="B85" s="2"/>
      <c r="D85" s="360" t="s">
        <v>57</v>
      </c>
      <c r="E85" s="360"/>
      <c r="F85" s="16" t="s">
        <v>500</v>
      </c>
      <c r="G85" s="16">
        <v>0.91900000000000004</v>
      </c>
      <c r="H85" s="16">
        <v>0.92</v>
      </c>
      <c r="I85" s="16">
        <v>0.93899999999999995</v>
      </c>
      <c r="J85" s="16">
        <v>0.94</v>
      </c>
      <c r="K85" s="16">
        <v>0.99399999999999999</v>
      </c>
      <c r="L85" s="16">
        <v>0.995</v>
      </c>
      <c r="M85" s="16"/>
      <c r="O85" s="2"/>
      <c r="AE85" s="3" t="s">
        <v>57</v>
      </c>
      <c r="AF85" s="3">
        <v>11</v>
      </c>
      <c r="AG85" s="3">
        <f t="shared" si="0"/>
        <v>1</v>
      </c>
      <c r="AH85" s="3">
        <f>+IF(AG85=0,0,IF(AG85=1,(SUM($AG$75:AG85)-1),1))</f>
        <v>8</v>
      </c>
      <c r="AI85" s="3">
        <f t="shared" si="1"/>
        <v>1</v>
      </c>
      <c r="AJ85" s="3">
        <f t="shared" si="2"/>
        <v>0</v>
      </c>
      <c r="AK85" s="3">
        <f t="shared" si="3"/>
        <v>1</v>
      </c>
    </row>
    <row r="86" spans="2:37" x14ac:dyDescent="0.25">
      <c r="B86" s="2"/>
      <c r="D86" s="360" t="s">
        <v>58</v>
      </c>
      <c r="E86" s="360"/>
      <c r="F86" s="16" t="s">
        <v>500</v>
      </c>
      <c r="G86" s="16">
        <v>0.91900000000000004</v>
      </c>
      <c r="H86" s="16">
        <v>0.92</v>
      </c>
      <c r="I86" s="16">
        <v>0.93899999999999995</v>
      </c>
      <c r="J86" s="16">
        <v>0.94</v>
      </c>
      <c r="K86" s="16">
        <v>0.999</v>
      </c>
      <c r="L86" s="16" t="s">
        <v>500</v>
      </c>
      <c r="M86" s="16">
        <v>1</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66" customHeight="1" x14ac:dyDescent="0.25">
      <c r="B88" s="2"/>
      <c r="D88" s="338" t="s">
        <v>59</v>
      </c>
      <c r="E88" s="339"/>
      <c r="F88" s="340" t="s">
        <v>2075</v>
      </c>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2" customHeight="1" x14ac:dyDescent="0.25">
      <c r="B97" s="2"/>
      <c r="D97" s="359" t="s">
        <v>35</v>
      </c>
      <c r="E97" s="359"/>
      <c r="F97" s="344" t="s">
        <v>1052</v>
      </c>
      <c r="G97" s="344"/>
      <c r="H97" s="344"/>
      <c r="I97" s="344"/>
      <c r="J97" s="344"/>
      <c r="K97" s="344"/>
      <c r="L97" s="344"/>
      <c r="M97" s="344"/>
      <c r="O97" s="2"/>
    </row>
    <row r="98" spans="2:15" ht="42" customHeight="1" x14ac:dyDescent="0.25">
      <c r="B98" s="2"/>
      <c r="D98" s="359" t="s">
        <v>36</v>
      </c>
      <c r="E98" s="359"/>
      <c r="F98" s="344" t="s">
        <v>1053</v>
      </c>
      <c r="G98" s="344"/>
      <c r="H98" s="344"/>
      <c r="I98" s="344"/>
      <c r="J98" s="344"/>
      <c r="K98" s="344"/>
      <c r="L98" s="344"/>
      <c r="M98" s="344"/>
      <c r="O98" s="2"/>
    </row>
    <row r="99" spans="2:15" ht="3.95" customHeight="1" x14ac:dyDescent="0.25">
      <c r="B99" s="2"/>
      <c r="O99" s="2"/>
    </row>
    <row r="100" spans="2:15" ht="87" customHeight="1" x14ac:dyDescent="0.25">
      <c r="B100" s="2"/>
      <c r="D100" s="338" t="s">
        <v>62</v>
      </c>
      <c r="E100" s="339"/>
      <c r="F100" s="340" t="s">
        <v>1020</v>
      </c>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496</v>
      </c>
      <c r="K102" s="20"/>
      <c r="O102" s="2"/>
    </row>
    <row r="103" spans="2:15" ht="19.5" customHeight="1" x14ac:dyDescent="0.25">
      <c r="B103" s="2"/>
      <c r="D103" s="331"/>
      <c r="E103" s="332"/>
      <c r="F103" s="19" t="s">
        <v>66</v>
      </c>
      <c r="G103" s="4" t="s">
        <v>1824</v>
      </c>
      <c r="K103" s="21"/>
      <c r="O103" s="2"/>
    </row>
    <row r="104" spans="2:15" ht="27.75" customHeight="1" x14ac:dyDescent="0.25">
      <c r="B104" s="2"/>
      <c r="D104" s="331"/>
      <c r="E104" s="332"/>
      <c r="F104" s="19" t="s">
        <v>67</v>
      </c>
      <c r="G104" s="333" t="s">
        <v>297</v>
      </c>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Director(a) Abastecimiento</v>
      </c>
      <c r="H108" s="334"/>
      <c r="I108" s="334"/>
      <c r="J108" s="334"/>
      <c r="K108" s="334"/>
      <c r="L108" s="334"/>
      <c r="M108" s="335"/>
      <c r="O108" s="2"/>
    </row>
    <row r="109" spans="2:15" ht="17.25" customHeight="1" x14ac:dyDescent="0.25">
      <c r="B109" s="2"/>
      <c r="D109" s="331"/>
      <c r="E109" s="332"/>
      <c r="F109" s="19" t="s">
        <v>2042</v>
      </c>
      <c r="G109" s="333" t="str">
        <f>+IF(M23="Si","Coordinador(a) Planeación y Sistemas","")</f>
        <v>Coordinador(a) Planeación y Sistemas</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623" priority="23">
      <formula>+IF($F$43="no",1,0)</formula>
    </cfRule>
  </conditionalFormatting>
  <conditionalFormatting sqref="F32:M33">
    <cfRule type="expression" dxfId="1622" priority="22">
      <formula>+IF($Q$30="NA",1,0)</formula>
    </cfRule>
  </conditionalFormatting>
  <conditionalFormatting sqref="F33:M33">
    <cfRule type="expression" dxfId="1621" priority="21">
      <formula>+IF($Q$33=0,1,0)</formula>
    </cfRule>
  </conditionalFormatting>
  <conditionalFormatting sqref="F47:M47">
    <cfRule type="expression" dxfId="1620" priority="20">
      <formula>+IF($Q$47=0,1,0)</formula>
    </cfRule>
  </conditionalFormatting>
  <conditionalFormatting sqref="F73:G73">
    <cfRule type="cellIs" dxfId="1619" priority="17" operator="equal">
      <formula>"optimo"</formula>
    </cfRule>
    <cfRule type="cellIs" dxfId="1618" priority="18" operator="equal">
      <formula>"critico"</formula>
    </cfRule>
  </conditionalFormatting>
  <conditionalFormatting sqref="H73:I73">
    <cfRule type="cellIs" dxfId="1617" priority="15" operator="equal">
      <formula>"Adecuado"</formula>
    </cfRule>
    <cfRule type="cellIs" dxfId="1616" priority="16" operator="equal">
      <formula>"en riesgo"</formula>
    </cfRule>
  </conditionalFormatting>
  <conditionalFormatting sqref="J73:K73">
    <cfRule type="cellIs" dxfId="1615" priority="13" operator="equal">
      <formula>"Adecuado"</formula>
    </cfRule>
    <cfRule type="cellIs" dxfId="1614" priority="14" operator="equal">
      <formula>"en riesgo"</formula>
    </cfRule>
  </conditionalFormatting>
  <conditionalFormatting sqref="L73:M73">
    <cfRule type="cellIs" dxfId="1613" priority="11" operator="equal">
      <formula>"optimo"</formula>
    </cfRule>
    <cfRule type="cellIs" dxfId="1612" priority="12" operator="equal">
      <formula>"critico"</formula>
    </cfRule>
  </conditionalFormatting>
  <conditionalFormatting sqref="F75:M86">
    <cfRule type="expression" dxfId="1611" priority="10">
      <formula>+IF($AK75=0,1)</formula>
    </cfRule>
  </conditionalFormatting>
  <conditionalFormatting sqref="F103:G104">
    <cfRule type="expression" dxfId="1610" priority="9">
      <formula>+IF($G$102="No",1,0)</formula>
    </cfRule>
  </conditionalFormatting>
  <conditionalFormatting sqref="F51">
    <cfRule type="expression" dxfId="1609" priority="8">
      <formula>+IF($F$43="no",1,0)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7">
    <tabColor rgb="FF0070C0"/>
  </sheetPr>
  <dimension ref="B1:AV113"/>
  <sheetViews>
    <sheetView zoomScaleNormal="100" workbookViewId="0">
      <selection activeCell="F81" sqref="F81"/>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298</v>
      </c>
      <c r="O10" s="2"/>
    </row>
    <row r="11" spans="2:24" ht="3.95" customHeight="1" x14ac:dyDescent="0.25">
      <c r="B11" s="2"/>
      <c r="D11" s="6"/>
      <c r="O11" s="2"/>
    </row>
    <row r="12" spans="2:24" ht="36" customHeight="1" x14ac:dyDescent="0.25">
      <c r="B12" s="2"/>
      <c r="D12" s="338" t="s">
        <v>5</v>
      </c>
      <c r="E12" s="339"/>
      <c r="F12" s="340" t="s">
        <v>1055</v>
      </c>
      <c r="G12" s="341"/>
      <c r="H12" s="341"/>
      <c r="I12" s="341"/>
      <c r="J12" s="341"/>
      <c r="K12" s="341"/>
      <c r="L12" s="341"/>
      <c r="M12" s="342"/>
      <c r="O12" s="2"/>
      <c r="W12" s="3" t="str">
        <f>+F23</f>
        <v>Mensual</v>
      </c>
      <c r="X12" s="3" t="str">
        <f>+F71</f>
        <v>Julio</v>
      </c>
    </row>
    <row r="13" spans="2:24" ht="3.95" customHeight="1" x14ac:dyDescent="0.25">
      <c r="B13" s="2"/>
      <c r="O13" s="2"/>
    </row>
    <row r="14" spans="2:24" ht="38.25" customHeight="1" x14ac:dyDescent="0.25">
      <c r="B14" s="2"/>
      <c r="D14" s="338" t="s">
        <v>6</v>
      </c>
      <c r="E14" s="339"/>
      <c r="F14" s="340" t="s">
        <v>1042</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8" t="s">
        <v>512</v>
      </c>
      <c r="G22" s="337" t="s">
        <v>9</v>
      </c>
      <c r="H22" s="337"/>
      <c r="I22" s="17">
        <v>0.95</v>
      </c>
      <c r="K22" s="337" t="s">
        <v>10</v>
      </c>
      <c r="L22" s="337"/>
      <c r="M22" s="9" t="s">
        <v>496</v>
      </c>
      <c r="O22" s="2"/>
    </row>
    <row r="23" spans="2:17" ht="19.5" customHeight="1" x14ac:dyDescent="0.25">
      <c r="B23" s="2"/>
      <c r="D23" s="337" t="s">
        <v>11</v>
      </c>
      <c r="E23" s="337"/>
      <c r="F23" s="4" t="s">
        <v>84</v>
      </c>
      <c r="G23" s="337" t="s">
        <v>12</v>
      </c>
      <c r="H23" s="337"/>
      <c r="I23" s="4" t="s">
        <v>497</v>
      </c>
      <c r="K23" s="337" t="s">
        <v>13</v>
      </c>
      <c r="L23" s="337"/>
      <c r="M23" s="9" t="s">
        <v>2</v>
      </c>
      <c r="O23" s="2"/>
    </row>
    <row r="24" spans="2:17" ht="20.100000000000001" customHeight="1" x14ac:dyDescent="0.25">
      <c r="B24" s="2"/>
      <c r="D24" s="337" t="s">
        <v>14</v>
      </c>
      <c r="E24" s="337"/>
      <c r="F24" s="4" t="s">
        <v>81</v>
      </c>
      <c r="G24" s="337" t="s">
        <v>15</v>
      </c>
      <c r="H24" s="337"/>
      <c r="I24" s="4" t="s">
        <v>533</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soporte</v>
      </c>
    </row>
    <row r="31" spans="2:17" ht="24" customHeight="1" x14ac:dyDescent="0.25">
      <c r="B31" s="2"/>
      <c r="D31" s="347"/>
      <c r="E31" s="348"/>
      <c r="F31" s="4" t="s">
        <v>257</v>
      </c>
      <c r="G31" s="340" t="s">
        <v>258</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1025</v>
      </c>
      <c r="G33" s="340" t="s">
        <v>1015</v>
      </c>
      <c r="H33" s="341"/>
      <c r="I33" s="341"/>
      <c r="J33" s="341"/>
      <c r="K33" s="341"/>
      <c r="L33" s="341"/>
      <c r="M33" s="342"/>
      <c r="O33" s="2"/>
      <c r="Q33" s="3">
        <f>+IFERROR(IF(VLOOKUP(G33,base!$A$26:$C$40,3,FALSE)=F31,1,0),"")</f>
        <v>1</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1716</v>
      </c>
      <c r="G35" s="340" t="s">
        <v>1592</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2</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500</v>
      </c>
      <c r="G45" s="340" t="s">
        <v>512</v>
      </c>
      <c r="H45" s="341"/>
      <c r="I45" s="341"/>
      <c r="J45" s="341"/>
      <c r="K45" s="341"/>
      <c r="L45" s="341"/>
      <c r="M45" s="342"/>
      <c r="O45" s="2"/>
      <c r="Q45" s="3" t="str">
        <f>+IFERROR(VLOOKUP(G45,base!$A$41:$C$45,3,FALSE),"")</f>
        <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500</v>
      </c>
      <c r="G47" s="340"/>
      <c r="H47" s="341"/>
      <c r="I47" s="341"/>
      <c r="J47" s="341"/>
      <c r="K47" s="341"/>
      <c r="L47" s="341"/>
      <c r="M47" s="342"/>
      <c r="O47" s="2"/>
      <c r="Q47" s="3" t="e">
        <f>+IF(VLOOKUP(G47,base!$A$46:$C$66,3,FALSE)=F45,1,0)</f>
        <v>#N/A</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920</v>
      </c>
      <c r="G49" s="340" t="s">
        <v>899</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8"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 customHeight="1" x14ac:dyDescent="0.25">
      <c r="B59" s="2"/>
      <c r="D59" s="337" t="s">
        <v>34</v>
      </c>
      <c r="E59" s="337"/>
      <c r="F59" s="344" t="s">
        <v>1043</v>
      </c>
      <c r="G59" s="344"/>
      <c r="H59" s="344"/>
      <c r="I59" s="344"/>
      <c r="J59" s="344"/>
      <c r="K59" s="344"/>
      <c r="L59" s="344"/>
      <c r="M59" s="344"/>
      <c r="O59" s="2"/>
    </row>
    <row r="60" spans="2:15" ht="27.75" customHeight="1" x14ac:dyDescent="0.25">
      <c r="B60" s="2"/>
      <c r="D60" s="359" t="s">
        <v>35</v>
      </c>
      <c r="E60" s="359"/>
      <c r="F60" s="344" t="s">
        <v>1044</v>
      </c>
      <c r="G60" s="344"/>
      <c r="H60" s="344"/>
      <c r="I60" s="344"/>
      <c r="J60" s="344"/>
      <c r="K60" s="344"/>
      <c r="L60" s="344"/>
      <c r="M60" s="344"/>
      <c r="O60" s="2"/>
    </row>
    <row r="61" spans="2:15" ht="27.75" customHeight="1" x14ac:dyDescent="0.25">
      <c r="B61" s="2"/>
      <c r="D61" s="359" t="s">
        <v>36</v>
      </c>
      <c r="E61" s="359"/>
      <c r="F61" s="344" t="s">
        <v>1045</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43" t="s">
        <v>39</v>
      </c>
      <c r="E71" s="343"/>
      <c r="F71" s="4" t="s">
        <v>53</v>
      </c>
      <c r="G71" s="3">
        <v>4</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60" t="s">
        <v>48</v>
      </c>
      <c r="E78" s="360"/>
      <c r="F78" s="16" t="s">
        <v>500</v>
      </c>
      <c r="G78" s="16"/>
      <c r="H78" s="16"/>
      <c r="I78" s="16"/>
      <c r="J78" s="16"/>
      <c r="K78" s="16"/>
      <c r="L78" s="16"/>
      <c r="M78" s="16" t="s">
        <v>500</v>
      </c>
      <c r="O78" s="2"/>
      <c r="AE78" s="3" t="s">
        <v>48</v>
      </c>
      <c r="AF78" s="3">
        <v>4</v>
      </c>
      <c r="AG78" s="3">
        <f t="shared" si="0"/>
        <v>1</v>
      </c>
      <c r="AH78" s="3">
        <f>+IF(AG78=0,0,IF(AG78=1,(SUM($AG$75:AG78)-1),1))</f>
        <v>0</v>
      </c>
      <c r="AI78" s="3">
        <f t="shared" si="1"/>
        <v>0</v>
      </c>
      <c r="AJ78" s="3">
        <f t="shared" si="2"/>
        <v>0</v>
      </c>
      <c r="AK78" s="3">
        <f t="shared" si="3"/>
        <v>0</v>
      </c>
    </row>
    <row r="79" spans="2:37" x14ac:dyDescent="0.25">
      <c r="B79" s="2"/>
      <c r="D79" s="360" t="s">
        <v>49</v>
      </c>
      <c r="E79" s="360"/>
      <c r="F79" s="16"/>
      <c r="G79" s="16"/>
      <c r="H79" s="16"/>
      <c r="I79" s="16"/>
      <c r="J79" s="16"/>
      <c r="K79" s="16"/>
      <c r="L79" s="16"/>
      <c r="M79" s="16"/>
      <c r="O79" s="2"/>
      <c r="AE79" s="3" t="s">
        <v>49</v>
      </c>
      <c r="AF79" s="3">
        <v>5</v>
      </c>
      <c r="AG79" s="3">
        <f t="shared" si="0"/>
        <v>1</v>
      </c>
      <c r="AH79" s="3">
        <f>+IF(AG79=0,0,IF(AG79=1,(SUM($AG$75:AG79)-1),1))</f>
        <v>1</v>
      </c>
      <c r="AI79" s="3">
        <f t="shared" si="1"/>
        <v>1</v>
      </c>
      <c r="AJ79" s="3">
        <f t="shared" si="2"/>
        <v>0</v>
      </c>
      <c r="AK79" s="3">
        <f t="shared" si="3"/>
        <v>1</v>
      </c>
    </row>
    <row r="80" spans="2:37" x14ac:dyDescent="0.25">
      <c r="B80" s="2"/>
      <c r="D80" s="360" t="s">
        <v>50</v>
      </c>
      <c r="E80" s="360"/>
      <c r="F80" s="16"/>
      <c r="G80" s="16"/>
      <c r="H80" s="16"/>
      <c r="I80" s="16"/>
      <c r="J80" s="16"/>
      <c r="K80" s="16"/>
      <c r="L80" s="16"/>
      <c r="M80" s="16"/>
      <c r="O80" s="2"/>
      <c r="AE80" s="3" t="s">
        <v>50</v>
      </c>
      <c r="AF80" s="3">
        <v>6</v>
      </c>
      <c r="AG80" s="3">
        <f t="shared" si="0"/>
        <v>1</v>
      </c>
      <c r="AH80" s="3">
        <f>+IF(AG80=0,0,IF(AG80=1,(SUM($AG$75:AG80)-1),1))</f>
        <v>2</v>
      </c>
      <c r="AI80" s="3">
        <f t="shared" si="1"/>
        <v>1</v>
      </c>
      <c r="AJ80" s="3">
        <f t="shared" si="2"/>
        <v>0</v>
      </c>
      <c r="AK80" s="3">
        <f t="shared" si="3"/>
        <v>1</v>
      </c>
    </row>
    <row r="81" spans="2:37" x14ac:dyDescent="0.25">
      <c r="B81" s="2"/>
      <c r="D81" s="360" t="s">
        <v>53</v>
      </c>
      <c r="E81" s="360"/>
      <c r="F81" s="16" t="s">
        <v>500</v>
      </c>
      <c r="G81" s="16">
        <v>0.54900000000000004</v>
      </c>
      <c r="H81" s="16">
        <v>0.55000000000000004</v>
      </c>
      <c r="I81" s="16">
        <v>0.79900000000000004</v>
      </c>
      <c r="J81" s="16">
        <v>0.8</v>
      </c>
      <c r="K81" s="16">
        <v>0.94899999999999995</v>
      </c>
      <c r="L81" s="16">
        <v>0.95</v>
      </c>
      <c r="M81" s="16" t="s">
        <v>500</v>
      </c>
      <c r="O81" s="2"/>
      <c r="AE81" s="3" t="s">
        <v>53</v>
      </c>
      <c r="AF81" s="3">
        <v>7</v>
      </c>
      <c r="AG81" s="3">
        <f t="shared" si="0"/>
        <v>1</v>
      </c>
      <c r="AH81" s="3">
        <f>+IF(AG81=0,0,IF(AG81=1,(SUM($AG$75:AG81)-1),1))</f>
        <v>3</v>
      </c>
      <c r="AI81" s="3">
        <f t="shared" si="1"/>
        <v>1</v>
      </c>
      <c r="AJ81" s="3">
        <f t="shared" si="2"/>
        <v>1</v>
      </c>
      <c r="AK81" s="3">
        <f t="shared" si="3"/>
        <v>1</v>
      </c>
    </row>
    <row r="82" spans="2:37" x14ac:dyDescent="0.25">
      <c r="B82" s="2"/>
      <c r="D82" s="360" t="s">
        <v>54</v>
      </c>
      <c r="E82" s="360"/>
      <c r="F82" s="16" t="s">
        <v>500</v>
      </c>
      <c r="G82" s="16">
        <v>0.54900000000000004</v>
      </c>
      <c r="H82" s="16">
        <v>0.55000000000000004</v>
      </c>
      <c r="I82" s="16">
        <v>0.79900000000000004</v>
      </c>
      <c r="J82" s="16">
        <v>0.8</v>
      </c>
      <c r="K82" s="16">
        <v>0.94899999999999995</v>
      </c>
      <c r="L82" s="16">
        <v>0.95</v>
      </c>
      <c r="M82" s="16" t="s">
        <v>500</v>
      </c>
      <c r="O82" s="2"/>
      <c r="AE82" s="3" t="s">
        <v>54</v>
      </c>
      <c r="AF82" s="3">
        <v>8</v>
      </c>
      <c r="AG82" s="3">
        <f t="shared" si="0"/>
        <v>1</v>
      </c>
      <c r="AH82" s="3">
        <f>+IF(AG82=0,0,IF(AG82=1,(SUM($AG$75:AG82)-1),1))</f>
        <v>4</v>
      </c>
      <c r="AI82" s="3">
        <f t="shared" si="1"/>
        <v>1</v>
      </c>
      <c r="AJ82" s="3">
        <f t="shared" si="2"/>
        <v>0</v>
      </c>
      <c r="AK82" s="3">
        <f t="shared" si="3"/>
        <v>1</v>
      </c>
    </row>
    <row r="83" spans="2:37" x14ac:dyDescent="0.25">
      <c r="B83" s="2"/>
      <c r="D83" s="360" t="s">
        <v>55</v>
      </c>
      <c r="E83" s="360"/>
      <c r="F83" s="16" t="s">
        <v>500</v>
      </c>
      <c r="G83" s="16">
        <v>0.54900000000000004</v>
      </c>
      <c r="H83" s="16">
        <v>0.55000000000000004</v>
      </c>
      <c r="I83" s="16">
        <v>0.79900000000000004</v>
      </c>
      <c r="J83" s="16">
        <v>0.8</v>
      </c>
      <c r="K83" s="16">
        <v>0.94899999999999995</v>
      </c>
      <c r="L83" s="16">
        <v>0.95</v>
      </c>
      <c r="M83" s="16" t="s">
        <v>500</v>
      </c>
      <c r="O83" s="2"/>
      <c r="AE83" s="3" t="s">
        <v>55</v>
      </c>
      <c r="AF83" s="3">
        <v>9</v>
      </c>
      <c r="AG83" s="3">
        <f t="shared" si="0"/>
        <v>1</v>
      </c>
      <c r="AH83" s="3">
        <f>+IF(AG83=0,0,IF(AG83=1,(SUM($AG$75:AG83)-1),1))</f>
        <v>5</v>
      </c>
      <c r="AI83" s="3">
        <f t="shared" si="1"/>
        <v>1</v>
      </c>
      <c r="AJ83" s="3">
        <f t="shared" si="2"/>
        <v>0</v>
      </c>
      <c r="AK83" s="3">
        <f t="shared" si="3"/>
        <v>1</v>
      </c>
    </row>
    <row r="84" spans="2:37" x14ac:dyDescent="0.25">
      <c r="B84" s="2"/>
      <c r="D84" s="360" t="s">
        <v>56</v>
      </c>
      <c r="E84" s="360"/>
      <c r="F84" s="16" t="s">
        <v>500</v>
      </c>
      <c r="G84" s="16">
        <v>0.54900000000000004</v>
      </c>
      <c r="H84" s="16">
        <v>0.55000000000000004</v>
      </c>
      <c r="I84" s="16">
        <v>0.79900000000000004</v>
      </c>
      <c r="J84" s="16">
        <v>0.8</v>
      </c>
      <c r="K84" s="16">
        <v>0.94899999999999995</v>
      </c>
      <c r="L84" s="16">
        <v>0.95</v>
      </c>
      <c r="M84" s="16" t="s">
        <v>500</v>
      </c>
      <c r="O84" s="2"/>
      <c r="AE84" s="3" t="s">
        <v>56</v>
      </c>
      <c r="AF84" s="3">
        <v>10</v>
      </c>
      <c r="AG84" s="3">
        <f t="shared" si="0"/>
        <v>1</v>
      </c>
      <c r="AH84" s="3">
        <f>+IF(AG84=0,0,IF(AG84=1,(SUM($AG$75:AG84)-1),1))</f>
        <v>6</v>
      </c>
      <c r="AI84" s="3">
        <f t="shared" si="1"/>
        <v>1</v>
      </c>
      <c r="AJ84" s="3">
        <f t="shared" si="2"/>
        <v>0</v>
      </c>
      <c r="AK84" s="3">
        <f t="shared" si="3"/>
        <v>1</v>
      </c>
    </row>
    <row r="85" spans="2:37" x14ac:dyDescent="0.25">
      <c r="B85" s="2"/>
      <c r="D85" s="360" t="s">
        <v>57</v>
      </c>
      <c r="E85" s="360"/>
      <c r="F85" s="16" t="s">
        <v>500</v>
      </c>
      <c r="G85" s="16">
        <v>0.54900000000000004</v>
      </c>
      <c r="H85" s="16">
        <v>0.55000000000000004</v>
      </c>
      <c r="I85" s="16">
        <v>0.79900000000000004</v>
      </c>
      <c r="J85" s="16">
        <v>0.8</v>
      </c>
      <c r="K85" s="16">
        <v>0.94899999999999995</v>
      </c>
      <c r="L85" s="16">
        <v>0.95</v>
      </c>
      <c r="M85" s="16" t="s">
        <v>500</v>
      </c>
      <c r="O85" s="2"/>
      <c r="AE85" s="3" t="s">
        <v>57</v>
      </c>
      <c r="AF85" s="3">
        <v>11</v>
      </c>
      <c r="AG85" s="3">
        <f t="shared" si="0"/>
        <v>1</v>
      </c>
      <c r="AH85" s="3">
        <f>+IF(AG85=0,0,IF(AG85=1,(SUM($AG$75:AG85)-1),1))</f>
        <v>7</v>
      </c>
      <c r="AI85" s="3">
        <f t="shared" si="1"/>
        <v>1</v>
      </c>
      <c r="AJ85" s="3">
        <f t="shared" si="2"/>
        <v>0</v>
      </c>
      <c r="AK85" s="3">
        <f t="shared" si="3"/>
        <v>1</v>
      </c>
    </row>
    <row r="86" spans="2:37" x14ac:dyDescent="0.25">
      <c r="B86" s="2"/>
      <c r="D86" s="360" t="s">
        <v>58</v>
      </c>
      <c r="E86" s="360"/>
      <c r="F86" s="16" t="s">
        <v>500</v>
      </c>
      <c r="G86" s="16">
        <v>0.54900000000000004</v>
      </c>
      <c r="H86" s="16">
        <v>0.55000000000000004</v>
      </c>
      <c r="I86" s="16">
        <v>0.79900000000000004</v>
      </c>
      <c r="J86" s="16">
        <v>0.8</v>
      </c>
      <c r="K86" s="16">
        <v>0.94899999999999995</v>
      </c>
      <c r="L86" s="16">
        <v>0.95</v>
      </c>
      <c r="M86" s="16" t="s">
        <v>500</v>
      </c>
      <c r="O86" s="2"/>
      <c r="AE86" s="3" t="s">
        <v>58</v>
      </c>
      <c r="AF86" s="65">
        <v>12</v>
      </c>
      <c r="AG86" s="3">
        <f t="shared" si="0"/>
        <v>1</v>
      </c>
      <c r="AH86" s="3">
        <f>+IF(AG86=0,0,IF(AG86=1,(SUM($AG$75:AG86)-1),1))</f>
        <v>8</v>
      </c>
      <c r="AI86" s="3">
        <f t="shared" si="1"/>
        <v>1</v>
      </c>
      <c r="AJ86" s="3">
        <f t="shared" si="2"/>
        <v>0</v>
      </c>
      <c r="AK86" s="3">
        <f t="shared" si="3"/>
        <v>1</v>
      </c>
    </row>
    <row r="87" spans="2:37" ht="3.75" customHeight="1" x14ac:dyDescent="0.25">
      <c r="B87" s="2"/>
      <c r="O87" s="2"/>
    </row>
    <row r="88" spans="2:37" ht="66" customHeight="1" x14ac:dyDescent="0.25">
      <c r="B88" s="2"/>
      <c r="D88" s="338" t="s">
        <v>59</v>
      </c>
      <c r="E88" s="339"/>
      <c r="F88" s="340" t="s">
        <v>1021</v>
      </c>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2" customHeight="1" x14ac:dyDescent="0.25">
      <c r="B97" s="2"/>
      <c r="D97" s="359" t="s">
        <v>35</v>
      </c>
      <c r="E97" s="359"/>
      <c r="F97" s="344" t="s">
        <v>1046</v>
      </c>
      <c r="G97" s="344"/>
      <c r="H97" s="344"/>
      <c r="I97" s="344"/>
      <c r="J97" s="344"/>
      <c r="K97" s="344"/>
      <c r="L97" s="344"/>
      <c r="M97" s="344"/>
      <c r="O97" s="2"/>
    </row>
    <row r="98" spans="2:15" ht="42" customHeight="1" x14ac:dyDescent="0.25">
      <c r="B98" s="2"/>
      <c r="D98" s="359" t="s">
        <v>36</v>
      </c>
      <c r="E98" s="359"/>
      <c r="F98" s="344" t="s">
        <v>1047</v>
      </c>
      <c r="G98" s="344"/>
      <c r="H98" s="344"/>
      <c r="I98" s="344"/>
      <c r="J98" s="344"/>
      <c r="K98" s="344"/>
      <c r="L98" s="344"/>
      <c r="M98" s="344"/>
      <c r="O98" s="2"/>
    </row>
    <row r="99" spans="2:15" ht="3.95" customHeight="1" x14ac:dyDescent="0.25">
      <c r="B99" s="2"/>
      <c r="O99" s="2"/>
    </row>
    <row r="100" spans="2:15" ht="58.5" customHeight="1" x14ac:dyDescent="0.25">
      <c r="B100" s="2"/>
      <c r="D100" s="338" t="s">
        <v>62</v>
      </c>
      <c r="E100" s="339"/>
      <c r="F100" s="340" t="s">
        <v>1018</v>
      </c>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1</v>
      </c>
      <c r="K102" s="20"/>
      <c r="O102" s="2"/>
    </row>
    <row r="103" spans="2:15" ht="19.5" customHeight="1" x14ac:dyDescent="0.25">
      <c r="B103" s="2"/>
      <c r="D103" s="331"/>
      <c r="E103" s="332"/>
      <c r="F103" s="19" t="s">
        <v>66</v>
      </c>
      <c r="G103" s="4" t="s">
        <v>299</v>
      </c>
      <c r="K103" s="21"/>
      <c r="O103" s="2"/>
    </row>
    <row r="104" spans="2:15" ht="27.75" customHeight="1" x14ac:dyDescent="0.25">
      <c r="B104" s="2"/>
      <c r="D104" s="331"/>
      <c r="E104" s="332"/>
      <c r="F104" s="19" t="s">
        <v>67</v>
      </c>
      <c r="G104" s="333" t="s">
        <v>1825</v>
      </c>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Director(a) Abastecimiento</v>
      </c>
      <c r="H108" s="334"/>
      <c r="I108" s="334"/>
      <c r="J108" s="334"/>
      <c r="K108" s="334"/>
      <c r="L108" s="334"/>
      <c r="M108" s="335"/>
      <c r="O108" s="2"/>
    </row>
    <row r="109" spans="2:15" ht="17.25" customHeight="1" x14ac:dyDescent="0.25">
      <c r="B109" s="2"/>
      <c r="D109" s="331"/>
      <c r="E109" s="332"/>
      <c r="F109" s="19" t="s">
        <v>2042</v>
      </c>
      <c r="G109" s="333" t="str">
        <f>+IF(M23="Si","Coordinador(a) Planeación y Sistemas","")</f>
        <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608" priority="25">
      <formula>+IF($F$43="no",1,0)</formula>
    </cfRule>
  </conditionalFormatting>
  <conditionalFormatting sqref="F32:M33">
    <cfRule type="expression" dxfId="1607" priority="24">
      <formula>+IF($Q$30="NA",1,0)</formula>
    </cfRule>
  </conditionalFormatting>
  <conditionalFormatting sqref="F33:M33">
    <cfRule type="expression" dxfId="1606" priority="23">
      <formula>+IF($Q$33=0,1,0)</formula>
    </cfRule>
  </conditionalFormatting>
  <conditionalFormatting sqref="F47:M47">
    <cfRule type="expression" dxfId="1605" priority="22">
      <formula>+IF($Q$47=0,1,0)</formula>
    </cfRule>
  </conditionalFormatting>
  <conditionalFormatting sqref="F73:G73">
    <cfRule type="cellIs" dxfId="1604" priority="17" operator="equal">
      <formula>"optimo"</formula>
    </cfRule>
    <cfRule type="cellIs" dxfId="1603" priority="18" operator="equal">
      <formula>"critico"</formula>
    </cfRule>
  </conditionalFormatting>
  <conditionalFormatting sqref="H73:I73">
    <cfRule type="cellIs" dxfId="1602" priority="15" operator="equal">
      <formula>"Adecuado"</formula>
    </cfRule>
    <cfRule type="cellIs" dxfId="1601" priority="16" operator="equal">
      <formula>"en riesgo"</formula>
    </cfRule>
  </conditionalFormatting>
  <conditionalFormatting sqref="J73:K73">
    <cfRule type="cellIs" dxfId="1600" priority="13" operator="equal">
      <formula>"Adecuado"</formula>
    </cfRule>
    <cfRule type="cellIs" dxfId="1599" priority="14" operator="equal">
      <formula>"en riesgo"</formula>
    </cfRule>
  </conditionalFormatting>
  <conditionalFormatting sqref="L73:M73">
    <cfRule type="cellIs" dxfId="1598" priority="11" operator="equal">
      <formula>"optimo"</formula>
    </cfRule>
    <cfRule type="cellIs" dxfId="1597" priority="12" operator="equal">
      <formula>"critico"</formula>
    </cfRule>
  </conditionalFormatting>
  <conditionalFormatting sqref="F103:G104">
    <cfRule type="expression" dxfId="1596" priority="9">
      <formula>+IF($G$102="No",1,0)</formula>
    </cfRule>
  </conditionalFormatting>
  <conditionalFormatting sqref="F51">
    <cfRule type="expression" dxfId="1595" priority="8">
      <formula>+IF($F$43="no",1,0)</formula>
    </cfRule>
  </conditionalFormatting>
  <conditionalFormatting sqref="F75:M80">
    <cfRule type="expression" dxfId="1594" priority="1">
      <formula>+IF($AK75=0,1)</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8">
    <tabColor rgb="FF0070C0"/>
  </sheetPr>
  <dimension ref="B1:AV113"/>
  <sheetViews>
    <sheetView zoomScaleNormal="100" workbookViewId="0">
      <selection activeCell="F108" sqref="F108:M11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299</v>
      </c>
      <c r="O10" s="2"/>
    </row>
    <row r="11" spans="2:24" ht="3.95" customHeight="1" x14ac:dyDescent="0.25">
      <c r="B11" s="2"/>
      <c r="D11" s="6"/>
      <c r="O11" s="2"/>
    </row>
    <row r="12" spans="2:24" ht="36" customHeight="1" x14ac:dyDescent="0.25">
      <c r="B12" s="2"/>
      <c r="D12" s="338" t="s">
        <v>5</v>
      </c>
      <c r="E12" s="339"/>
      <c r="F12" s="340" t="s">
        <v>300</v>
      </c>
      <c r="G12" s="341"/>
      <c r="H12" s="341"/>
      <c r="I12" s="341"/>
      <c r="J12" s="341"/>
      <c r="K12" s="341"/>
      <c r="L12" s="341"/>
      <c r="M12" s="342"/>
      <c r="O12" s="2"/>
      <c r="W12" s="3" t="str">
        <f>+F23</f>
        <v>Mensual</v>
      </c>
      <c r="X12" s="3" t="str">
        <f>+F71</f>
        <v>Enero</v>
      </c>
    </row>
    <row r="13" spans="2:24" ht="3.95" customHeight="1" x14ac:dyDescent="0.25">
      <c r="B13" s="2"/>
      <c r="O13" s="2"/>
    </row>
    <row r="14" spans="2:24" ht="38.25" customHeight="1" x14ac:dyDescent="0.25">
      <c r="B14" s="2"/>
      <c r="D14" s="338" t="s">
        <v>6</v>
      </c>
      <c r="E14" s="339"/>
      <c r="F14" s="340" t="s">
        <v>1037</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8">
        <v>0</v>
      </c>
      <c r="G22" s="337" t="s">
        <v>9</v>
      </c>
      <c r="H22" s="337"/>
      <c r="I22" s="17">
        <v>1</v>
      </c>
      <c r="K22" s="337" t="s">
        <v>10</v>
      </c>
      <c r="L22" s="337"/>
      <c r="M22" s="9" t="s">
        <v>496</v>
      </c>
      <c r="O22" s="2"/>
    </row>
    <row r="23" spans="2:17" ht="19.5" customHeight="1" x14ac:dyDescent="0.25">
      <c r="B23" s="2"/>
      <c r="D23" s="337" t="s">
        <v>11</v>
      </c>
      <c r="E23" s="337"/>
      <c r="F23" s="4" t="s">
        <v>84</v>
      </c>
      <c r="G23" s="337" t="s">
        <v>12</v>
      </c>
      <c r="H23" s="337"/>
      <c r="I23" s="4" t="s">
        <v>497</v>
      </c>
      <c r="K23" s="337" t="s">
        <v>13</v>
      </c>
      <c r="L23" s="337"/>
      <c r="M23" s="9" t="s">
        <v>2</v>
      </c>
      <c r="O23" s="2"/>
    </row>
    <row r="24" spans="2:17" ht="20.100000000000001" customHeight="1" x14ac:dyDescent="0.25">
      <c r="B24" s="2"/>
      <c r="D24" s="337" t="s">
        <v>14</v>
      </c>
      <c r="E24" s="337"/>
      <c r="F24" s="4" t="s">
        <v>81</v>
      </c>
      <c r="G24" s="337" t="s">
        <v>15</v>
      </c>
      <c r="H24" s="337"/>
      <c r="I24" s="4" t="s">
        <v>533</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soporte</v>
      </c>
    </row>
    <row r="31" spans="2:17" ht="24" customHeight="1" x14ac:dyDescent="0.25">
      <c r="B31" s="2"/>
      <c r="D31" s="347"/>
      <c r="E31" s="348"/>
      <c r="F31" s="4" t="s">
        <v>257</v>
      </c>
      <c r="G31" s="340" t="s">
        <v>258</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1025</v>
      </c>
      <c r="G33" s="340" t="s">
        <v>1015</v>
      </c>
      <c r="H33" s="341"/>
      <c r="I33" s="341"/>
      <c r="J33" s="341"/>
      <c r="K33" s="341"/>
      <c r="L33" s="341"/>
      <c r="M33" s="342"/>
      <c r="O33" s="2"/>
      <c r="Q33" s="3">
        <f>+IFERROR(IF(VLOOKUP(G33,base!$A$26:$C$40,3,FALSE)=F31,1,0),"")</f>
        <v>1</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1716</v>
      </c>
      <c r="G35" s="340" t="s">
        <v>1592</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2</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500</v>
      </c>
      <c r="G45" s="340" t="s">
        <v>512</v>
      </c>
      <c r="H45" s="341"/>
      <c r="I45" s="341"/>
      <c r="J45" s="341"/>
      <c r="K45" s="341"/>
      <c r="L45" s="341"/>
      <c r="M45" s="342"/>
      <c r="O45" s="2"/>
      <c r="Q45" s="3" t="str">
        <f>+IFERROR(VLOOKUP(G45,base!$A$41:$C$45,3,FALSE),"")</f>
        <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500</v>
      </c>
      <c r="G47" s="340"/>
      <c r="H47" s="341"/>
      <c r="I47" s="341"/>
      <c r="J47" s="341"/>
      <c r="K47" s="341"/>
      <c r="L47" s="341"/>
      <c r="M47" s="342"/>
      <c r="O47" s="2"/>
      <c r="Q47" s="3" t="e">
        <f>+IF(VLOOKUP(G47,base!$A$46:$C$66,3,FALSE)=F45,1,0)</f>
        <v>#N/A</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920</v>
      </c>
      <c r="G49" s="340" t="s">
        <v>899</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8"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 customHeight="1" x14ac:dyDescent="0.25">
      <c r="B59" s="2"/>
      <c r="D59" s="337" t="s">
        <v>34</v>
      </c>
      <c r="E59" s="337"/>
      <c r="F59" s="344" t="s">
        <v>1038</v>
      </c>
      <c r="G59" s="344"/>
      <c r="H59" s="344"/>
      <c r="I59" s="344"/>
      <c r="J59" s="344"/>
      <c r="K59" s="344"/>
      <c r="L59" s="344"/>
      <c r="M59" s="344"/>
      <c r="O59" s="2"/>
    </row>
    <row r="60" spans="2:15" ht="27.75" customHeight="1" x14ac:dyDescent="0.25">
      <c r="B60" s="2"/>
      <c r="D60" s="359" t="s">
        <v>35</v>
      </c>
      <c r="E60" s="359"/>
      <c r="F60" s="344" t="s">
        <v>1039</v>
      </c>
      <c r="G60" s="344"/>
      <c r="H60" s="344"/>
      <c r="I60" s="344"/>
      <c r="J60" s="344"/>
      <c r="K60" s="344"/>
      <c r="L60" s="344"/>
      <c r="M60" s="344"/>
      <c r="O60" s="2"/>
    </row>
    <row r="61" spans="2:15" ht="27.75" customHeight="1" x14ac:dyDescent="0.25">
      <c r="B61" s="2"/>
      <c r="D61" s="359" t="s">
        <v>36</v>
      </c>
      <c r="E61" s="359"/>
      <c r="F61" s="344" t="s">
        <v>1040</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43" t="s">
        <v>39</v>
      </c>
      <c r="E71" s="343"/>
      <c r="F71" s="4" t="s">
        <v>46</v>
      </c>
      <c r="G71" s="3">
        <v>1</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v>0.29899999999999999</v>
      </c>
      <c r="H75" s="16">
        <v>0.3</v>
      </c>
      <c r="I75" s="16">
        <v>0.59899999999999998</v>
      </c>
      <c r="J75" s="16">
        <v>0.6</v>
      </c>
      <c r="K75" s="16">
        <v>0.999</v>
      </c>
      <c r="L75" s="16" t="s">
        <v>500</v>
      </c>
      <c r="M75" s="16">
        <v>1</v>
      </c>
      <c r="O75" s="2"/>
      <c r="AE75" s="3" t="s">
        <v>46</v>
      </c>
      <c r="AF75" s="3">
        <v>1</v>
      </c>
      <c r="AG75" s="3">
        <f>+IF(AF75&gt;=$G$71,1,0)</f>
        <v>1</v>
      </c>
      <c r="AH75" s="3">
        <f>+IF(AG75=0,0,IF(AG75=1,(SUM($AG$75:AG75)-1),1))</f>
        <v>0</v>
      </c>
      <c r="AI75" s="3">
        <f>+IF(AH75=0,0,IF(MOD(AH75,$U$69)=0,1,0))</f>
        <v>0</v>
      </c>
      <c r="AJ75" s="3">
        <f>+IF(AE75=$F$71,1,0)</f>
        <v>1</v>
      </c>
      <c r="AK75" s="3">
        <f>+MAX(AI75:AJ75)</f>
        <v>1</v>
      </c>
    </row>
    <row r="76" spans="2:37" x14ac:dyDescent="0.25">
      <c r="B76" s="2"/>
      <c r="D76" s="360" t="s">
        <v>40</v>
      </c>
      <c r="E76" s="360"/>
      <c r="F76" s="16" t="s">
        <v>500</v>
      </c>
      <c r="G76" s="16">
        <v>0.29899999999999999</v>
      </c>
      <c r="H76" s="16">
        <v>0.3</v>
      </c>
      <c r="I76" s="16">
        <v>0.59899999999999998</v>
      </c>
      <c r="J76" s="16">
        <v>0.6</v>
      </c>
      <c r="K76" s="16">
        <v>0.999</v>
      </c>
      <c r="L76" s="16" t="s">
        <v>500</v>
      </c>
      <c r="M76" s="16">
        <v>1</v>
      </c>
      <c r="O76" s="2"/>
      <c r="AE76" s="3" t="s">
        <v>40</v>
      </c>
      <c r="AF76" s="3">
        <v>2</v>
      </c>
      <c r="AG76" s="3">
        <f t="shared" ref="AG76:AG86" si="0">+IF(AF76&gt;=$G$71,1,0)</f>
        <v>1</v>
      </c>
      <c r="AH76" s="3">
        <f>+IF(AG76=0,0,IF(AG76=1,(SUM($AG$75:AG76)-1),1))</f>
        <v>1</v>
      </c>
      <c r="AI76" s="3">
        <f t="shared" ref="AI76:AI86" si="1">+IF(AH76=0,0,IF(MOD(AH76,$U$69)=0,1,0))</f>
        <v>1</v>
      </c>
      <c r="AJ76" s="3">
        <f t="shared" ref="AJ76:AJ86" si="2">+IF(AE76=$F$71,1,0)</f>
        <v>0</v>
      </c>
      <c r="AK76" s="3">
        <f t="shared" ref="AK76:AK86" si="3">+MAX(AI76:AJ76)</f>
        <v>1</v>
      </c>
    </row>
    <row r="77" spans="2:37" x14ac:dyDescent="0.25">
      <c r="B77" s="2"/>
      <c r="D77" s="360" t="s">
        <v>47</v>
      </c>
      <c r="E77" s="360"/>
      <c r="F77" s="16" t="s">
        <v>500</v>
      </c>
      <c r="G77" s="16">
        <v>0.29899999999999999</v>
      </c>
      <c r="H77" s="16">
        <v>0.3</v>
      </c>
      <c r="I77" s="16">
        <v>0.59899999999999998</v>
      </c>
      <c r="J77" s="16">
        <v>0.6</v>
      </c>
      <c r="K77" s="16">
        <v>0.999</v>
      </c>
      <c r="L77" s="16" t="s">
        <v>500</v>
      </c>
      <c r="M77" s="16">
        <v>1</v>
      </c>
      <c r="O77" s="2"/>
      <c r="AE77" s="3" t="s">
        <v>47</v>
      </c>
      <c r="AF77" s="3">
        <v>3</v>
      </c>
      <c r="AG77" s="3">
        <f t="shared" si="0"/>
        <v>1</v>
      </c>
      <c r="AH77" s="3">
        <f>+IF(AG77=0,0,IF(AG77=1,(SUM($AG$75:AG77)-1),1))</f>
        <v>2</v>
      </c>
      <c r="AI77" s="3">
        <f t="shared" si="1"/>
        <v>1</v>
      </c>
      <c r="AJ77" s="3">
        <f t="shared" si="2"/>
        <v>0</v>
      </c>
      <c r="AK77" s="3">
        <f t="shared" si="3"/>
        <v>1</v>
      </c>
    </row>
    <row r="78" spans="2:37" x14ac:dyDescent="0.25">
      <c r="B78" s="2"/>
      <c r="D78" s="360" t="s">
        <v>48</v>
      </c>
      <c r="E78" s="360"/>
      <c r="F78" s="16" t="s">
        <v>500</v>
      </c>
      <c r="G78" s="16">
        <v>0.29899999999999999</v>
      </c>
      <c r="H78" s="16">
        <v>0.3</v>
      </c>
      <c r="I78" s="16">
        <v>0.59899999999999998</v>
      </c>
      <c r="J78" s="16">
        <v>0.6</v>
      </c>
      <c r="K78" s="16">
        <v>0.999</v>
      </c>
      <c r="L78" s="16" t="s">
        <v>500</v>
      </c>
      <c r="M78" s="16">
        <v>1</v>
      </c>
      <c r="O78" s="2"/>
      <c r="AE78" s="3" t="s">
        <v>48</v>
      </c>
      <c r="AF78" s="3">
        <v>4</v>
      </c>
      <c r="AG78" s="3">
        <f t="shared" si="0"/>
        <v>1</v>
      </c>
      <c r="AH78" s="3">
        <f>+IF(AG78=0,0,IF(AG78=1,(SUM($AG$75:AG78)-1),1))</f>
        <v>3</v>
      </c>
      <c r="AI78" s="3">
        <f t="shared" si="1"/>
        <v>1</v>
      </c>
      <c r="AJ78" s="3">
        <f t="shared" si="2"/>
        <v>0</v>
      </c>
      <c r="AK78" s="3">
        <f t="shared" si="3"/>
        <v>1</v>
      </c>
    </row>
    <row r="79" spans="2:37" x14ac:dyDescent="0.25">
      <c r="B79" s="2"/>
      <c r="D79" s="360" t="s">
        <v>49</v>
      </c>
      <c r="E79" s="360"/>
      <c r="F79" s="16" t="s">
        <v>500</v>
      </c>
      <c r="G79" s="16">
        <v>0.29899999999999999</v>
      </c>
      <c r="H79" s="16">
        <v>0.3</v>
      </c>
      <c r="I79" s="16">
        <v>0.59899999999999998</v>
      </c>
      <c r="J79" s="16">
        <v>0.6</v>
      </c>
      <c r="K79" s="16">
        <v>0.999</v>
      </c>
      <c r="L79" s="16" t="s">
        <v>500</v>
      </c>
      <c r="M79" s="16">
        <v>1</v>
      </c>
      <c r="O79" s="2"/>
      <c r="AE79" s="3" t="s">
        <v>49</v>
      </c>
      <c r="AF79" s="3">
        <v>5</v>
      </c>
      <c r="AG79" s="3">
        <f t="shared" si="0"/>
        <v>1</v>
      </c>
      <c r="AH79" s="3">
        <f>+IF(AG79=0,0,IF(AG79=1,(SUM($AG$75:AG79)-1),1))</f>
        <v>4</v>
      </c>
      <c r="AI79" s="3">
        <f t="shared" si="1"/>
        <v>1</v>
      </c>
      <c r="AJ79" s="3">
        <f t="shared" si="2"/>
        <v>0</v>
      </c>
      <c r="AK79" s="3">
        <f t="shared" si="3"/>
        <v>1</v>
      </c>
    </row>
    <row r="80" spans="2:37" x14ac:dyDescent="0.25">
      <c r="B80" s="2"/>
      <c r="D80" s="360" t="s">
        <v>50</v>
      </c>
      <c r="E80" s="360"/>
      <c r="F80" s="16" t="s">
        <v>500</v>
      </c>
      <c r="G80" s="16">
        <v>0.29899999999999999</v>
      </c>
      <c r="H80" s="16">
        <v>0.3</v>
      </c>
      <c r="I80" s="16">
        <v>0.59899999999999998</v>
      </c>
      <c r="J80" s="16">
        <v>0.6</v>
      </c>
      <c r="K80" s="16">
        <v>0.999</v>
      </c>
      <c r="L80" s="16" t="s">
        <v>500</v>
      </c>
      <c r="M80" s="16">
        <v>1</v>
      </c>
      <c r="O80" s="2"/>
      <c r="AE80" s="3" t="s">
        <v>50</v>
      </c>
      <c r="AF80" s="3">
        <v>6</v>
      </c>
      <c r="AG80" s="3">
        <f t="shared" si="0"/>
        <v>1</v>
      </c>
      <c r="AH80" s="3">
        <f>+IF(AG80=0,0,IF(AG80=1,(SUM($AG$75:AG80)-1),1))</f>
        <v>5</v>
      </c>
      <c r="AI80" s="3">
        <f t="shared" si="1"/>
        <v>1</v>
      </c>
      <c r="AJ80" s="3">
        <f t="shared" si="2"/>
        <v>0</v>
      </c>
      <c r="AK80" s="3">
        <f t="shared" si="3"/>
        <v>1</v>
      </c>
    </row>
    <row r="81" spans="2:37" x14ac:dyDescent="0.25">
      <c r="B81" s="2"/>
      <c r="D81" s="360" t="s">
        <v>53</v>
      </c>
      <c r="E81" s="360"/>
      <c r="F81" s="16" t="s">
        <v>500</v>
      </c>
      <c r="G81" s="16">
        <v>0.29899999999999999</v>
      </c>
      <c r="H81" s="16">
        <v>0.3</v>
      </c>
      <c r="I81" s="16">
        <v>0.59899999999999998</v>
      </c>
      <c r="J81" s="16">
        <v>0.6</v>
      </c>
      <c r="K81" s="16">
        <v>0.999</v>
      </c>
      <c r="L81" s="16" t="s">
        <v>500</v>
      </c>
      <c r="M81" s="16">
        <v>1</v>
      </c>
      <c r="O81" s="2"/>
      <c r="AE81" s="3" t="s">
        <v>53</v>
      </c>
      <c r="AF81" s="3">
        <v>7</v>
      </c>
      <c r="AG81" s="3">
        <f t="shared" si="0"/>
        <v>1</v>
      </c>
      <c r="AH81" s="3">
        <f>+IF(AG81=0,0,IF(AG81=1,(SUM($AG$75:AG81)-1),1))</f>
        <v>6</v>
      </c>
      <c r="AI81" s="3">
        <f t="shared" si="1"/>
        <v>1</v>
      </c>
      <c r="AJ81" s="3">
        <f t="shared" si="2"/>
        <v>0</v>
      </c>
      <c r="AK81" s="3">
        <f t="shared" si="3"/>
        <v>1</v>
      </c>
    </row>
    <row r="82" spans="2:37" x14ac:dyDescent="0.25">
      <c r="B82" s="2"/>
      <c r="D82" s="360" t="s">
        <v>54</v>
      </c>
      <c r="E82" s="360"/>
      <c r="F82" s="16" t="s">
        <v>500</v>
      </c>
      <c r="G82" s="16">
        <v>0.29899999999999999</v>
      </c>
      <c r="H82" s="16">
        <v>0.3</v>
      </c>
      <c r="I82" s="16">
        <v>0.59899999999999998</v>
      </c>
      <c r="J82" s="16">
        <v>0.6</v>
      </c>
      <c r="K82" s="16">
        <v>0.999</v>
      </c>
      <c r="L82" s="16" t="s">
        <v>500</v>
      </c>
      <c r="M82" s="16">
        <v>1</v>
      </c>
      <c r="O82" s="2"/>
      <c r="AE82" s="3" t="s">
        <v>54</v>
      </c>
      <c r="AF82" s="3">
        <v>8</v>
      </c>
      <c r="AG82" s="3">
        <f t="shared" si="0"/>
        <v>1</v>
      </c>
      <c r="AH82" s="3">
        <f>+IF(AG82=0,0,IF(AG82=1,(SUM($AG$75:AG82)-1),1))</f>
        <v>7</v>
      </c>
      <c r="AI82" s="3">
        <f t="shared" si="1"/>
        <v>1</v>
      </c>
      <c r="AJ82" s="3">
        <f t="shared" si="2"/>
        <v>0</v>
      </c>
      <c r="AK82" s="3">
        <f t="shared" si="3"/>
        <v>1</v>
      </c>
    </row>
    <row r="83" spans="2:37" x14ac:dyDescent="0.25">
      <c r="B83" s="2"/>
      <c r="D83" s="360" t="s">
        <v>55</v>
      </c>
      <c r="E83" s="360"/>
      <c r="F83" s="16" t="s">
        <v>500</v>
      </c>
      <c r="G83" s="16">
        <v>0.29899999999999999</v>
      </c>
      <c r="H83" s="16">
        <v>0.3</v>
      </c>
      <c r="I83" s="16">
        <v>0.59899999999999998</v>
      </c>
      <c r="J83" s="16">
        <v>0.6</v>
      </c>
      <c r="K83" s="16">
        <v>0.999</v>
      </c>
      <c r="L83" s="16" t="s">
        <v>500</v>
      </c>
      <c r="M83" s="16">
        <v>1</v>
      </c>
      <c r="O83" s="2"/>
      <c r="AE83" s="3" t="s">
        <v>55</v>
      </c>
      <c r="AF83" s="3">
        <v>9</v>
      </c>
      <c r="AG83" s="3">
        <f t="shared" si="0"/>
        <v>1</v>
      </c>
      <c r="AH83" s="3">
        <f>+IF(AG83=0,0,IF(AG83=1,(SUM($AG$75:AG83)-1),1))</f>
        <v>8</v>
      </c>
      <c r="AI83" s="3">
        <f t="shared" si="1"/>
        <v>1</v>
      </c>
      <c r="AJ83" s="3">
        <f t="shared" si="2"/>
        <v>0</v>
      </c>
      <c r="AK83" s="3">
        <f t="shared" si="3"/>
        <v>1</v>
      </c>
    </row>
    <row r="84" spans="2:37" x14ac:dyDescent="0.25">
      <c r="B84" s="2"/>
      <c r="D84" s="360" t="s">
        <v>56</v>
      </c>
      <c r="E84" s="360"/>
      <c r="F84" s="16" t="s">
        <v>500</v>
      </c>
      <c r="G84" s="16">
        <v>0.29899999999999999</v>
      </c>
      <c r="H84" s="16">
        <v>0.3</v>
      </c>
      <c r="I84" s="16">
        <v>0.59899999999999998</v>
      </c>
      <c r="J84" s="16">
        <v>0.6</v>
      </c>
      <c r="K84" s="16">
        <v>0.999</v>
      </c>
      <c r="L84" s="16" t="s">
        <v>500</v>
      </c>
      <c r="M84" s="16">
        <v>1</v>
      </c>
      <c r="O84" s="2"/>
      <c r="AE84" s="3" t="s">
        <v>56</v>
      </c>
      <c r="AF84" s="3">
        <v>10</v>
      </c>
      <c r="AG84" s="3">
        <f t="shared" si="0"/>
        <v>1</v>
      </c>
      <c r="AH84" s="3">
        <f>+IF(AG84=0,0,IF(AG84=1,(SUM($AG$75:AG84)-1),1))</f>
        <v>9</v>
      </c>
      <c r="AI84" s="3">
        <f t="shared" si="1"/>
        <v>1</v>
      </c>
      <c r="AJ84" s="3">
        <f t="shared" si="2"/>
        <v>0</v>
      </c>
      <c r="AK84" s="3">
        <f t="shared" si="3"/>
        <v>1</v>
      </c>
    </row>
    <row r="85" spans="2:37" x14ac:dyDescent="0.25">
      <c r="B85" s="2"/>
      <c r="D85" s="360" t="s">
        <v>57</v>
      </c>
      <c r="E85" s="360"/>
      <c r="F85" s="16" t="s">
        <v>500</v>
      </c>
      <c r="G85" s="16">
        <v>0.29899999999999999</v>
      </c>
      <c r="H85" s="16">
        <v>0.3</v>
      </c>
      <c r="I85" s="16">
        <v>0.59899999999999998</v>
      </c>
      <c r="J85" s="16">
        <v>0.6</v>
      </c>
      <c r="K85" s="16">
        <v>0.999</v>
      </c>
      <c r="L85" s="16" t="s">
        <v>500</v>
      </c>
      <c r="M85" s="16">
        <v>1</v>
      </c>
      <c r="O85" s="2"/>
      <c r="AE85" s="3" t="s">
        <v>57</v>
      </c>
      <c r="AF85" s="3">
        <v>11</v>
      </c>
      <c r="AG85" s="3">
        <f t="shared" si="0"/>
        <v>1</v>
      </c>
      <c r="AH85" s="3">
        <f>+IF(AG85=0,0,IF(AG85=1,(SUM($AG$75:AG85)-1),1))</f>
        <v>10</v>
      </c>
      <c r="AI85" s="3">
        <f t="shared" si="1"/>
        <v>1</v>
      </c>
      <c r="AJ85" s="3">
        <f t="shared" si="2"/>
        <v>0</v>
      </c>
      <c r="AK85" s="3">
        <f t="shared" si="3"/>
        <v>1</v>
      </c>
    </row>
    <row r="86" spans="2:37" x14ac:dyDescent="0.25">
      <c r="B86" s="2"/>
      <c r="D86" s="360" t="s">
        <v>58</v>
      </c>
      <c r="E86" s="360"/>
      <c r="F86" s="16" t="s">
        <v>500</v>
      </c>
      <c r="G86" s="16">
        <v>0.29899999999999999</v>
      </c>
      <c r="H86" s="16">
        <v>0.3</v>
      </c>
      <c r="I86" s="16">
        <v>0.59899999999999998</v>
      </c>
      <c r="J86" s="16">
        <v>0.6</v>
      </c>
      <c r="K86" s="16">
        <v>0.999</v>
      </c>
      <c r="L86" s="16" t="s">
        <v>500</v>
      </c>
      <c r="M86" s="16">
        <v>1</v>
      </c>
      <c r="O86" s="2"/>
      <c r="AE86" s="3" t="s">
        <v>58</v>
      </c>
      <c r="AF86" s="65">
        <v>12</v>
      </c>
      <c r="AG86" s="3">
        <f t="shared" si="0"/>
        <v>1</v>
      </c>
      <c r="AH86" s="3">
        <f>+IF(AG86=0,0,IF(AG86=1,(SUM($AG$75:AG86)-1),1))</f>
        <v>11</v>
      </c>
      <c r="AI86" s="3">
        <f t="shared" si="1"/>
        <v>1</v>
      </c>
      <c r="AJ86" s="3">
        <f t="shared" si="2"/>
        <v>0</v>
      </c>
      <c r="AK86" s="3">
        <f t="shared" si="3"/>
        <v>1</v>
      </c>
    </row>
    <row r="87" spans="2:37" ht="3.75" customHeight="1" x14ac:dyDescent="0.25">
      <c r="B87" s="2"/>
      <c r="O87" s="2"/>
    </row>
    <row r="88" spans="2:37" ht="66" customHeight="1" x14ac:dyDescent="0.25">
      <c r="B88" s="2"/>
      <c r="D88" s="338" t="s">
        <v>59</v>
      </c>
      <c r="E88" s="339"/>
      <c r="F88" s="340"/>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2" customHeight="1" x14ac:dyDescent="0.25">
      <c r="B97" s="2"/>
      <c r="D97" s="359" t="s">
        <v>35</v>
      </c>
      <c r="E97" s="359"/>
      <c r="F97" s="344" t="s">
        <v>1041</v>
      </c>
      <c r="G97" s="344"/>
      <c r="H97" s="344"/>
      <c r="I97" s="344"/>
      <c r="J97" s="344"/>
      <c r="K97" s="344"/>
      <c r="L97" s="344"/>
      <c r="M97" s="344"/>
      <c r="O97" s="2"/>
    </row>
    <row r="98" spans="2:15" ht="42" customHeight="1" x14ac:dyDescent="0.25">
      <c r="B98" s="2"/>
      <c r="D98" s="359" t="s">
        <v>36</v>
      </c>
      <c r="E98" s="359"/>
      <c r="F98" s="344" t="s">
        <v>1041</v>
      </c>
      <c r="G98" s="344"/>
      <c r="H98" s="344"/>
      <c r="I98" s="344"/>
      <c r="J98" s="344"/>
      <c r="K98" s="344"/>
      <c r="L98" s="344"/>
      <c r="M98" s="344"/>
      <c r="O98" s="2"/>
    </row>
    <row r="99" spans="2:15" ht="3.95" customHeight="1" x14ac:dyDescent="0.25">
      <c r="B99" s="2"/>
      <c r="O99" s="2"/>
    </row>
    <row r="100" spans="2:15" ht="89.25" customHeight="1" x14ac:dyDescent="0.25">
      <c r="B100" s="2"/>
      <c r="D100" s="338" t="s">
        <v>62</v>
      </c>
      <c r="E100" s="339"/>
      <c r="F100" s="340" t="s">
        <v>1022</v>
      </c>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1</v>
      </c>
      <c r="K102" s="20"/>
      <c r="O102" s="2"/>
    </row>
    <row r="103" spans="2:15" ht="19.5" customHeight="1" x14ac:dyDescent="0.25">
      <c r="B103" s="2"/>
      <c r="D103" s="331"/>
      <c r="E103" s="332"/>
      <c r="F103" s="19" t="s">
        <v>66</v>
      </c>
      <c r="G103" s="4" t="s">
        <v>301</v>
      </c>
      <c r="K103" s="21"/>
      <c r="O103" s="2"/>
    </row>
    <row r="104" spans="2:15" ht="27.75" customHeight="1" x14ac:dyDescent="0.25">
      <c r="B104" s="2"/>
      <c r="D104" s="331"/>
      <c r="E104" s="332"/>
      <c r="F104" s="19" t="s">
        <v>67</v>
      </c>
      <c r="G104" s="333" t="s">
        <v>1826</v>
      </c>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Director(a) Abastecimiento</v>
      </c>
      <c r="H108" s="334"/>
      <c r="I108" s="334"/>
      <c r="J108" s="334"/>
      <c r="K108" s="334"/>
      <c r="L108" s="334"/>
      <c r="M108" s="335"/>
      <c r="O108" s="2"/>
    </row>
    <row r="109" spans="2:15" ht="17.25" customHeight="1" x14ac:dyDescent="0.25">
      <c r="B109" s="2"/>
      <c r="D109" s="331"/>
      <c r="E109" s="332"/>
      <c r="F109" s="19" t="s">
        <v>2042</v>
      </c>
      <c r="G109" s="333" t="str">
        <f>+IF(M23="Si","Coordinador(a) Planeación y Sistemas","")</f>
        <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593" priority="21">
      <formula>+IF($F$43="no",1,0)</formula>
    </cfRule>
  </conditionalFormatting>
  <conditionalFormatting sqref="F32:M33">
    <cfRule type="expression" dxfId="1592" priority="20">
      <formula>+IF($Q$30="NA",1,0)</formula>
    </cfRule>
  </conditionalFormatting>
  <conditionalFormatting sqref="F33:M33">
    <cfRule type="expression" dxfId="1591" priority="19">
      <formula>+IF($Q$33=0,1,0)</formula>
    </cfRule>
  </conditionalFormatting>
  <conditionalFormatting sqref="F47:M47">
    <cfRule type="expression" dxfId="1590" priority="18">
      <formula>+IF($Q$47=0,1,0)</formula>
    </cfRule>
  </conditionalFormatting>
  <conditionalFormatting sqref="F73:G73">
    <cfRule type="cellIs" dxfId="1589" priority="15" operator="equal">
      <formula>"optimo"</formula>
    </cfRule>
    <cfRule type="cellIs" dxfId="1588" priority="16" operator="equal">
      <formula>"critico"</formula>
    </cfRule>
  </conditionalFormatting>
  <conditionalFormatting sqref="H73:I73">
    <cfRule type="cellIs" dxfId="1587" priority="13" operator="equal">
      <formula>"Adecuado"</formula>
    </cfRule>
    <cfRule type="cellIs" dxfId="1586" priority="14" operator="equal">
      <formula>"en riesgo"</formula>
    </cfRule>
  </conditionalFormatting>
  <conditionalFormatting sqref="J73:K73">
    <cfRule type="cellIs" dxfId="1585" priority="11" operator="equal">
      <formula>"Adecuado"</formula>
    </cfRule>
    <cfRule type="cellIs" dxfId="1584" priority="12" operator="equal">
      <formula>"en riesgo"</formula>
    </cfRule>
  </conditionalFormatting>
  <conditionalFormatting sqref="L73:M73">
    <cfRule type="cellIs" dxfId="1583" priority="9" operator="equal">
      <formula>"optimo"</formula>
    </cfRule>
    <cfRule type="cellIs" dxfId="1582" priority="10" operator="equal">
      <formula>"critico"</formula>
    </cfRule>
  </conditionalFormatting>
  <conditionalFormatting sqref="F75:M86">
    <cfRule type="expression" dxfId="1581" priority="8">
      <formula>+IF($AK75=0,1)</formula>
    </cfRule>
  </conditionalFormatting>
  <conditionalFormatting sqref="F103:G104">
    <cfRule type="expression" dxfId="1580" priority="7">
      <formula>+IF($G$102="No",1,0)</formula>
    </cfRule>
  </conditionalFormatting>
  <conditionalFormatting sqref="F51">
    <cfRule type="expression" dxfId="1579" priority="6">
      <formula>+IF($F$43="no",1,0)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9">
    <tabColor rgb="FF0070C0"/>
  </sheetPr>
  <dimension ref="B1:AV113"/>
  <sheetViews>
    <sheetView topLeftCell="A58" zoomScaleNormal="100" workbookViewId="0">
      <selection activeCell="F108" sqref="F108:M11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301</v>
      </c>
      <c r="O10" s="2"/>
    </row>
    <row r="11" spans="2:24" ht="3.95" customHeight="1" x14ac:dyDescent="0.25">
      <c r="B11" s="2"/>
      <c r="D11" s="6"/>
      <c r="O11" s="2"/>
    </row>
    <row r="12" spans="2:24" ht="36" customHeight="1" x14ac:dyDescent="0.25">
      <c r="B12" s="2"/>
      <c r="D12" s="338" t="s">
        <v>5</v>
      </c>
      <c r="E12" s="339"/>
      <c r="F12" s="340" t="s">
        <v>1030</v>
      </c>
      <c r="G12" s="341"/>
      <c r="H12" s="341"/>
      <c r="I12" s="341"/>
      <c r="J12" s="341"/>
      <c r="K12" s="341"/>
      <c r="L12" s="341"/>
      <c r="M12" s="342"/>
      <c r="O12" s="2"/>
      <c r="W12" s="3" t="str">
        <f>+F23</f>
        <v>Mensual</v>
      </c>
      <c r="X12" s="3" t="str">
        <f>+F71</f>
        <v>Marzo</v>
      </c>
    </row>
    <row r="13" spans="2:24" ht="3.95" customHeight="1" x14ac:dyDescent="0.25">
      <c r="B13" s="2"/>
      <c r="O13" s="2"/>
    </row>
    <row r="14" spans="2:24" ht="38.25" customHeight="1" x14ac:dyDescent="0.25">
      <c r="B14" s="2"/>
      <c r="D14" s="338" t="s">
        <v>6</v>
      </c>
      <c r="E14" s="339"/>
      <c r="F14" s="340" t="s">
        <v>1031</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8" t="s">
        <v>512</v>
      </c>
      <c r="G22" s="337" t="s">
        <v>9</v>
      </c>
      <c r="H22" s="337"/>
      <c r="I22" s="17">
        <v>0.9</v>
      </c>
      <c r="K22" s="337" t="s">
        <v>10</v>
      </c>
      <c r="L22" s="337"/>
      <c r="M22" s="9" t="s">
        <v>496</v>
      </c>
      <c r="O22" s="2"/>
    </row>
    <row r="23" spans="2:17" ht="19.5" customHeight="1" x14ac:dyDescent="0.25">
      <c r="B23" s="2"/>
      <c r="D23" s="337" t="s">
        <v>11</v>
      </c>
      <c r="E23" s="337"/>
      <c r="F23" s="4" t="s">
        <v>84</v>
      </c>
      <c r="G23" s="337" t="s">
        <v>12</v>
      </c>
      <c r="H23" s="337"/>
      <c r="I23" s="4" t="s">
        <v>497</v>
      </c>
      <c r="K23" s="337" t="s">
        <v>13</v>
      </c>
      <c r="L23" s="337"/>
      <c r="M23" s="9" t="s">
        <v>496</v>
      </c>
      <c r="O23" s="2"/>
    </row>
    <row r="24" spans="2:17" ht="20.100000000000001" customHeight="1" x14ac:dyDescent="0.25">
      <c r="B24" s="2"/>
      <c r="D24" s="337" t="s">
        <v>14</v>
      </c>
      <c r="E24" s="337"/>
      <c r="F24" s="4" t="s">
        <v>81</v>
      </c>
      <c r="G24" s="337" t="s">
        <v>15</v>
      </c>
      <c r="H24" s="337"/>
      <c r="I24" s="4" t="s">
        <v>533</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soporte</v>
      </c>
    </row>
    <row r="31" spans="2:17" ht="24" customHeight="1" x14ac:dyDescent="0.25">
      <c r="B31" s="2"/>
      <c r="D31" s="347"/>
      <c r="E31" s="348"/>
      <c r="F31" s="4" t="s">
        <v>257</v>
      </c>
      <c r="G31" s="340" t="s">
        <v>258</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1025</v>
      </c>
      <c r="G33" s="340" t="s">
        <v>1015</v>
      </c>
      <c r="H33" s="341"/>
      <c r="I33" s="341"/>
      <c r="J33" s="341"/>
      <c r="K33" s="341"/>
      <c r="L33" s="341"/>
      <c r="M33" s="342"/>
      <c r="O33" s="2"/>
      <c r="Q33" s="3">
        <f>+IFERROR(IF(VLOOKUP(G33,base!$A$26:$C$40,3,FALSE)=F31,1,0),"")</f>
        <v>1</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1716</v>
      </c>
      <c r="G35" s="340" t="s">
        <v>1592</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2</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500</v>
      </c>
      <c r="G45" s="340" t="s">
        <v>512</v>
      </c>
      <c r="H45" s="341"/>
      <c r="I45" s="341"/>
      <c r="J45" s="341"/>
      <c r="K45" s="341"/>
      <c r="L45" s="341"/>
      <c r="M45" s="342"/>
      <c r="O45" s="2"/>
      <c r="Q45" s="3" t="str">
        <f>+IFERROR(VLOOKUP(G45,base!$A$41:$C$45,3,FALSE),"")</f>
        <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500</v>
      </c>
      <c r="G47" s="340"/>
      <c r="H47" s="341"/>
      <c r="I47" s="341"/>
      <c r="J47" s="341"/>
      <c r="K47" s="341"/>
      <c r="L47" s="341"/>
      <c r="M47" s="342"/>
      <c r="O47" s="2"/>
      <c r="Q47" s="3" t="e">
        <f>+IF(VLOOKUP(G47,base!$A$46:$C$66,3,FALSE)=F45,1,0)</f>
        <v>#N/A</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920</v>
      </c>
      <c r="G49" s="340" t="s">
        <v>899</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8"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 customHeight="1" x14ac:dyDescent="0.25">
      <c r="B59" s="2"/>
      <c r="D59" s="337" t="s">
        <v>34</v>
      </c>
      <c r="E59" s="337"/>
      <c r="F59" s="344" t="s">
        <v>1032</v>
      </c>
      <c r="G59" s="344"/>
      <c r="H59" s="344"/>
      <c r="I59" s="344"/>
      <c r="J59" s="344"/>
      <c r="K59" s="344"/>
      <c r="L59" s="344"/>
      <c r="M59" s="344"/>
      <c r="O59" s="2"/>
    </row>
    <row r="60" spans="2:15" ht="27.75" customHeight="1" x14ac:dyDescent="0.25">
      <c r="B60" s="2"/>
      <c r="D60" s="359" t="s">
        <v>35</v>
      </c>
      <c r="E60" s="359"/>
      <c r="F60" s="344" t="s">
        <v>1033</v>
      </c>
      <c r="G60" s="344"/>
      <c r="H60" s="344"/>
      <c r="I60" s="344"/>
      <c r="J60" s="344"/>
      <c r="K60" s="344"/>
      <c r="L60" s="344"/>
      <c r="M60" s="344"/>
      <c r="O60" s="2"/>
    </row>
    <row r="61" spans="2:15" ht="27.75" customHeight="1" x14ac:dyDescent="0.25">
      <c r="B61" s="2"/>
      <c r="D61" s="359" t="s">
        <v>36</v>
      </c>
      <c r="E61" s="359"/>
      <c r="F61" s="344" t="s">
        <v>1034</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43" t="s">
        <v>39</v>
      </c>
      <c r="E71" s="343"/>
      <c r="F71" s="4" t="s">
        <v>47</v>
      </c>
      <c r="G71" s="3">
        <v>1</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c r="G75" s="16"/>
      <c r="H75" s="16"/>
      <c r="I75" s="16"/>
      <c r="J75" s="16"/>
      <c r="K75" s="16"/>
      <c r="L75" s="16"/>
      <c r="M75" s="16"/>
      <c r="O75" s="2"/>
      <c r="AE75" s="3" t="s">
        <v>46</v>
      </c>
      <c r="AF75" s="3">
        <v>1</v>
      </c>
      <c r="AG75" s="3">
        <f>+IF(AF75&gt;=$G$71,1,0)</f>
        <v>1</v>
      </c>
      <c r="AH75" s="3">
        <f>+IF(AG75=0,0,IF(AG75=1,(SUM($AG$75:AG75)-1),1))</f>
        <v>0</v>
      </c>
      <c r="AI75" s="3">
        <f>+IF(AH75=0,0,IF(MOD(AH75,$U$69)=0,1,0))</f>
        <v>0</v>
      </c>
      <c r="AJ75" s="3">
        <f>+IF(AE75=$F$71,1,0)</f>
        <v>0</v>
      </c>
      <c r="AK75" s="3">
        <f>+MAX(AI75:AJ75)</f>
        <v>0</v>
      </c>
    </row>
    <row r="76" spans="2:37" x14ac:dyDescent="0.25">
      <c r="B76" s="2"/>
      <c r="D76" s="360" t="s">
        <v>40</v>
      </c>
      <c r="E76" s="360"/>
      <c r="F76" s="35"/>
      <c r="G76" s="35"/>
      <c r="H76" s="35"/>
      <c r="I76" s="35"/>
      <c r="J76" s="35"/>
      <c r="K76" s="35"/>
      <c r="L76" s="35"/>
      <c r="M76" s="35"/>
      <c r="O76" s="2"/>
      <c r="AE76" s="3" t="s">
        <v>40</v>
      </c>
      <c r="AF76" s="3">
        <v>2</v>
      </c>
      <c r="AG76" s="3">
        <f t="shared" ref="AG76:AG86" si="0">+IF(AF76&gt;=$G$71,1,0)</f>
        <v>1</v>
      </c>
      <c r="AH76" s="3">
        <f>+IF(AG76=0,0,IF(AG76=1,(SUM($AG$75:AG76)-1),1))</f>
        <v>1</v>
      </c>
      <c r="AI76" s="3">
        <f t="shared" ref="AI76:AI86" si="1">+IF(AH76=0,0,IF(MOD(AH76,$U$69)=0,1,0))</f>
        <v>1</v>
      </c>
      <c r="AJ76" s="3">
        <f t="shared" ref="AJ76:AJ86" si="2">+IF(AE76=$F$71,1,0)</f>
        <v>0</v>
      </c>
      <c r="AK76" s="3">
        <f t="shared" ref="AK76:AK86" si="3">+MAX(AI76:AJ76)</f>
        <v>1</v>
      </c>
    </row>
    <row r="77" spans="2:37" x14ac:dyDescent="0.25">
      <c r="B77" s="2"/>
      <c r="D77" s="360" t="s">
        <v>47</v>
      </c>
      <c r="E77" s="360"/>
      <c r="F77" s="16" t="s">
        <v>500</v>
      </c>
      <c r="G77" s="16">
        <v>0.59899999999999998</v>
      </c>
      <c r="H77" s="16">
        <v>0.6</v>
      </c>
      <c r="I77" s="16">
        <v>0.79900000000000004</v>
      </c>
      <c r="J77" s="16">
        <v>0.8</v>
      </c>
      <c r="K77" s="16">
        <v>0.89900000000000002</v>
      </c>
      <c r="L77" s="16">
        <v>0.9</v>
      </c>
      <c r="M77" s="16"/>
      <c r="O77" s="2"/>
      <c r="AE77" s="3" t="s">
        <v>47</v>
      </c>
      <c r="AF77" s="3">
        <v>3</v>
      </c>
      <c r="AG77" s="3">
        <f t="shared" si="0"/>
        <v>1</v>
      </c>
      <c r="AH77" s="3">
        <f>+IF(AG77=0,0,IF(AG77=1,(SUM($AG$75:AG77)-1),1))</f>
        <v>2</v>
      </c>
      <c r="AI77" s="3">
        <f t="shared" si="1"/>
        <v>1</v>
      </c>
      <c r="AJ77" s="3">
        <f t="shared" si="2"/>
        <v>1</v>
      </c>
      <c r="AK77" s="3">
        <f t="shared" si="3"/>
        <v>1</v>
      </c>
    </row>
    <row r="78" spans="2:37" x14ac:dyDescent="0.25">
      <c r="B78" s="2"/>
      <c r="D78" s="360" t="s">
        <v>48</v>
      </c>
      <c r="E78" s="360"/>
      <c r="F78" s="16" t="s">
        <v>500</v>
      </c>
      <c r="G78" s="16">
        <v>0.59899999999999998</v>
      </c>
      <c r="H78" s="16">
        <v>0.6</v>
      </c>
      <c r="I78" s="16">
        <v>0.79900000000000004</v>
      </c>
      <c r="J78" s="16">
        <v>0.8</v>
      </c>
      <c r="K78" s="16">
        <v>0.89900000000000002</v>
      </c>
      <c r="L78" s="16">
        <v>0.9</v>
      </c>
      <c r="M78" s="16"/>
      <c r="O78" s="2"/>
      <c r="AE78" s="3" t="s">
        <v>48</v>
      </c>
      <c r="AF78" s="3">
        <v>4</v>
      </c>
      <c r="AG78" s="3">
        <f t="shared" si="0"/>
        <v>1</v>
      </c>
      <c r="AH78" s="3">
        <f>+IF(AG78=0,0,IF(AG78=1,(SUM($AG$75:AG78)-1),1))</f>
        <v>3</v>
      </c>
      <c r="AI78" s="3">
        <f t="shared" si="1"/>
        <v>1</v>
      </c>
      <c r="AJ78" s="3">
        <f t="shared" si="2"/>
        <v>0</v>
      </c>
      <c r="AK78" s="3">
        <f t="shared" si="3"/>
        <v>1</v>
      </c>
    </row>
    <row r="79" spans="2:37" x14ac:dyDescent="0.25">
      <c r="B79" s="2"/>
      <c r="D79" s="360" t="s">
        <v>49</v>
      </c>
      <c r="E79" s="360"/>
      <c r="F79" s="16" t="s">
        <v>500</v>
      </c>
      <c r="G79" s="16">
        <v>0.59899999999999998</v>
      </c>
      <c r="H79" s="16">
        <v>0.6</v>
      </c>
      <c r="I79" s="16">
        <v>0.79900000000000004</v>
      </c>
      <c r="J79" s="16">
        <v>0.8</v>
      </c>
      <c r="K79" s="16">
        <v>0.89900000000000002</v>
      </c>
      <c r="L79" s="16">
        <v>0.9</v>
      </c>
      <c r="M79" s="16"/>
      <c r="O79" s="2"/>
      <c r="AE79" s="3" t="s">
        <v>49</v>
      </c>
      <c r="AF79" s="3">
        <v>5</v>
      </c>
      <c r="AG79" s="3">
        <f t="shared" si="0"/>
        <v>1</v>
      </c>
      <c r="AH79" s="3">
        <f>+IF(AG79=0,0,IF(AG79=1,(SUM($AG$75:AG79)-1),1))</f>
        <v>4</v>
      </c>
      <c r="AI79" s="3">
        <f t="shared" si="1"/>
        <v>1</v>
      </c>
      <c r="AJ79" s="3">
        <f t="shared" si="2"/>
        <v>0</v>
      </c>
      <c r="AK79" s="3">
        <f t="shared" si="3"/>
        <v>1</v>
      </c>
    </row>
    <row r="80" spans="2:37" x14ac:dyDescent="0.25">
      <c r="B80" s="2"/>
      <c r="D80" s="360" t="s">
        <v>50</v>
      </c>
      <c r="E80" s="360"/>
      <c r="F80" s="16" t="s">
        <v>500</v>
      </c>
      <c r="G80" s="16">
        <v>0.59899999999999998</v>
      </c>
      <c r="H80" s="16">
        <v>0.6</v>
      </c>
      <c r="I80" s="16">
        <v>0.79900000000000004</v>
      </c>
      <c r="J80" s="16">
        <v>0.8</v>
      </c>
      <c r="K80" s="16">
        <v>0.89900000000000002</v>
      </c>
      <c r="L80" s="16">
        <v>0.9</v>
      </c>
      <c r="M80" s="16"/>
      <c r="O80" s="2"/>
      <c r="AE80" s="3" t="s">
        <v>50</v>
      </c>
      <c r="AF80" s="3">
        <v>6</v>
      </c>
      <c r="AG80" s="3">
        <f t="shared" si="0"/>
        <v>1</v>
      </c>
      <c r="AH80" s="3">
        <f>+IF(AG80=0,0,IF(AG80=1,(SUM($AG$75:AG80)-1),1))</f>
        <v>5</v>
      </c>
      <c r="AI80" s="3">
        <f t="shared" si="1"/>
        <v>1</v>
      </c>
      <c r="AJ80" s="3">
        <f t="shared" si="2"/>
        <v>0</v>
      </c>
      <c r="AK80" s="3">
        <f t="shared" si="3"/>
        <v>1</v>
      </c>
    </row>
    <row r="81" spans="2:37" x14ac:dyDescent="0.25">
      <c r="B81" s="2"/>
      <c r="D81" s="360" t="s">
        <v>53</v>
      </c>
      <c r="E81" s="360"/>
      <c r="F81" s="16" t="s">
        <v>500</v>
      </c>
      <c r="G81" s="16">
        <v>0.59899999999999998</v>
      </c>
      <c r="H81" s="16">
        <v>0.6</v>
      </c>
      <c r="I81" s="16">
        <v>0.79900000000000004</v>
      </c>
      <c r="J81" s="16">
        <v>0.8</v>
      </c>
      <c r="K81" s="16">
        <v>0.89900000000000002</v>
      </c>
      <c r="L81" s="16">
        <v>0.9</v>
      </c>
      <c r="M81" s="16"/>
      <c r="O81" s="2"/>
      <c r="AE81" s="3" t="s">
        <v>53</v>
      </c>
      <c r="AF81" s="3">
        <v>7</v>
      </c>
      <c r="AG81" s="3">
        <f t="shared" si="0"/>
        <v>1</v>
      </c>
      <c r="AH81" s="3">
        <f>+IF(AG81=0,0,IF(AG81=1,(SUM($AG$75:AG81)-1),1))</f>
        <v>6</v>
      </c>
      <c r="AI81" s="3">
        <f t="shared" si="1"/>
        <v>1</v>
      </c>
      <c r="AJ81" s="3">
        <f t="shared" si="2"/>
        <v>0</v>
      </c>
      <c r="AK81" s="3">
        <f t="shared" si="3"/>
        <v>1</v>
      </c>
    </row>
    <row r="82" spans="2:37" x14ac:dyDescent="0.25">
      <c r="B82" s="2"/>
      <c r="D82" s="360" t="s">
        <v>54</v>
      </c>
      <c r="E82" s="360"/>
      <c r="F82" s="16" t="s">
        <v>500</v>
      </c>
      <c r="G82" s="16">
        <v>0.59899999999999998</v>
      </c>
      <c r="H82" s="16">
        <v>0.6</v>
      </c>
      <c r="I82" s="16">
        <v>0.79900000000000004</v>
      </c>
      <c r="J82" s="16">
        <v>0.8</v>
      </c>
      <c r="K82" s="16">
        <v>0.89900000000000002</v>
      </c>
      <c r="L82" s="16">
        <v>0.9</v>
      </c>
      <c r="M82" s="16"/>
      <c r="O82" s="2"/>
      <c r="AE82" s="3" t="s">
        <v>54</v>
      </c>
      <c r="AF82" s="3">
        <v>8</v>
      </c>
      <c r="AG82" s="3">
        <f t="shared" si="0"/>
        <v>1</v>
      </c>
      <c r="AH82" s="3">
        <f>+IF(AG82=0,0,IF(AG82=1,(SUM($AG$75:AG82)-1),1))</f>
        <v>7</v>
      </c>
      <c r="AI82" s="3">
        <f t="shared" si="1"/>
        <v>1</v>
      </c>
      <c r="AJ82" s="3">
        <f t="shared" si="2"/>
        <v>0</v>
      </c>
      <c r="AK82" s="3">
        <f t="shared" si="3"/>
        <v>1</v>
      </c>
    </row>
    <row r="83" spans="2:37" x14ac:dyDescent="0.25">
      <c r="B83" s="2"/>
      <c r="D83" s="360" t="s">
        <v>55</v>
      </c>
      <c r="E83" s="360"/>
      <c r="F83" s="16" t="s">
        <v>500</v>
      </c>
      <c r="G83" s="16">
        <v>0.59899999999999998</v>
      </c>
      <c r="H83" s="16">
        <v>0.6</v>
      </c>
      <c r="I83" s="16">
        <v>0.79900000000000004</v>
      </c>
      <c r="J83" s="16">
        <v>0.8</v>
      </c>
      <c r="K83" s="16">
        <v>0.89900000000000002</v>
      </c>
      <c r="L83" s="16">
        <v>0.9</v>
      </c>
      <c r="M83" s="16"/>
      <c r="O83" s="2"/>
      <c r="AE83" s="3" t="s">
        <v>55</v>
      </c>
      <c r="AF83" s="3">
        <v>9</v>
      </c>
      <c r="AG83" s="3">
        <f t="shared" si="0"/>
        <v>1</v>
      </c>
      <c r="AH83" s="3">
        <f>+IF(AG83=0,0,IF(AG83=1,(SUM($AG$75:AG83)-1),1))</f>
        <v>8</v>
      </c>
      <c r="AI83" s="3">
        <f t="shared" si="1"/>
        <v>1</v>
      </c>
      <c r="AJ83" s="3">
        <f t="shared" si="2"/>
        <v>0</v>
      </c>
      <c r="AK83" s="3">
        <f t="shared" si="3"/>
        <v>1</v>
      </c>
    </row>
    <row r="84" spans="2:37" x14ac:dyDescent="0.25">
      <c r="B84" s="2"/>
      <c r="D84" s="360" t="s">
        <v>56</v>
      </c>
      <c r="E84" s="360"/>
      <c r="F84" s="16" t="s">
        <v>500</v>
      </c>
      <c r="G84" s="16">
        <v>0.59899999999999998</v>
      </c>
      <c r="H84" s="16">
        <v>0.6</v>
      </c>
      <c r="I84" s="16">
        <v>0.79900000000000004</v>
      </c>
      <c r="J84" s="16">
        <v>0.8</v>
      </c>
      <c r="K84" s="16">
        <v>0.89900000000000002</v>
      </c>
      <c r="L84" s="16">
        <v>0.9</v>
      </c>
      <c r="M84" s="16"/>
      <c r="O84" s="2"/>
      <c r="AE84" s="3" t="s">
        <v>56</v>
      </c>
      <c r="AF84" s="3">
        <v>10</v>
      </c>
      <c r="AG84" s="3">
        <f t="shared" si="0"/>
        <v>1</v>
      </c>
      <c r="AH84" s="3">
        <f>+IF(AG84=0,0,IF(AG84=1,(SUM($AG$75:AG84)-1),1))</f>
        <v>9</v>
      </c>
      <c r="AI84" s="3">
        <f t="shared" si="1"/>
        <v>1</v>
      </c>
      <c r="AJ84" s="3">
        <f t="shared" si="2"/>
        <v>0</v>
      </c>
      <c r="AK84" s="3">
        <f t="shared" si="3"/>
        <v>1</v>
      </c>
    </row>
    <row r="85" spans="2:37" x14ac:dyDescent="0.25">
      <c r="B85" s="2"/>
      <c r="D85" s="360" t="s">
        <v>57</v>
      </c>
      <c r="E85" s="360"/>
      <c r="F85" s="16" t="s">
        <v>500</v>
      </c>
      <c r="G85" s="16">
        <v>0.59899999999999998</v>
      </c>
      <c r="H85" s="16">
        <v>0.6</v>
      </c>
      <c r="I85" s="16">
        <v>0.79900000000000004</v>
      </c>
      <c r="J85" s="16">
        <v>0.8</v>
      </c>
      <c r="K85" s="16">
        <v>0.89900000000000002</v>
      </c>
      <c r="L85" s="16">
        <v>0.9</v>
      </c>
      <c r="M85" s="16"/>
      <c r="O85" s="2"/>
      <c r="AE85" s="3" t="s">
        <v>57</v>
      </c>
      <c r="AF85" s="3">
        <v>11</v>
      </c>
      <c r="AG85" s="3">
        <f t="shared" si="0"/>
        <v>1</v>
      </c>
      <c r="AH85" s="3">
        <f>+IF(AG85=0,0,IF(AG85=1,(SUM($AG$75:AG85)-1),1))</f>
        <v>10</v>
      </c>
      <c r="AI85" s="3">
        <f t="shared" si="1"/>
        <v>1</v>
      </c>
      <c r="AJ85" s="3">
        <f t="shared" si="2"/>
        <v>0</v>
      </c>
      <c r="AK85" s="3">
        <f t="shared" si="3"/>
        <v>1</v>
      </c>
    </row>
    <row r="86" spans="2:37" x14ac:dyDescent="0.25">
      <c r="B86" s="2"/>
      <c r="D86" s="360" t="s">
        <v>58</v>
      </c>
      <c r="E86" s="360"/>
      <c r="F86" s="16" t="s">
        <v>500</v>
      </c>
      <c r="G86" s="16">
        <v>0.59899999999999998</v>
      </c>
      <c r="H86" s="16">
        <v>0.6</v>
      </c>
      <c r="I86" s="16">
        <v>0.79900000000000004</v>
      </c>
      <c r="J86" s="16">
        <v>0.8</v>
      </c>
      <c r="K86" s="16">
        <v>0.89900000000000002</v>
      </c>
      <c r="L86" s="16">
        <v>0.9</v>
      </c>
      <c r="M86" s="16"/>
      <c r="O86" s="2"/>
      <c r="AE86" s="3" t="s">
        <v>58</v>
      </c>
      <c r="AF86" s="65">
        <v>12</v>
      </c>
      <c r="AG86" s="3">
        <f t="shared" si="0"/>
        <v>1</v>
      </c>
      <c r="AH86" s="3">
        <f>+IF(AG86=0,0,IF(AG86=1,(SUM($AG$75:AG86)-1),1))</f>
        <v>11</v>
      </c>
      <c r="AI86" s="3">
        <f t="shared" si="1"/>
        <v>1</v>
      </c>
      <c r="AJ86" s="3">
        <f t="shared" si="2"/>
        <v>0</v>
      </c>
      <c r="AK86" s="3">
        <f t="shared" si="3"/>
        <v>1</v>
      </c>
    </row>
    <row r="87" spans="2:37" ht="3.75" customHeight="1" x14ac:dyDescent="0.25">
      <c r="B87" s="2"/>
      <c r="O87" s="2"/>
    </row>
    <row r="88" spans="2:37" ht="66" customHeight="1" x14ac:dyDescent="0.25">
      <c r="B88" s="2"/>
      <c r="D88" s="338" t="s">
        <v>59</v>
      </c>
      <c r="E88" s="339"/>
      <c r="F88" s="340" t="s">
        <v>1019</v>
      </c>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2" customHeight="1" x14ac:dyDescent="0.25">
      <c r="B97" s="2"/>
      <c r="D97" s="359" t="s">
        <v>35</v>
      </c>
      <c r="E97" s="359"/>
      <c r="F97" s="344" t="s">
        <v>1035</v>
      </c>
      <c r="G97" s="344"/>
      <c r="H97" s="344"/>
      <c r="I97" s="344"/>
      <c r="J97" s="344"/>
      <c r="K97" s="344"/>
      <c r="L97" s="344"/>
      <c r="M97" s="344"/>
      <c r="O97" s="2"/>
    </row>
    <row r="98" spans="2:15" ht="42" customHeight="1" x14ac:dyDescent="0.25">
      <c r="B98" s="2"/>
      <c r="D98" s="359" t="s">
        <v>36</v>
      </c>
      <c r="E98" s="359"/>
      <c r="F98" s="344" t="s">
        <v>1036</v>
      </c>
      <c r="G98" s="344"/>
      <c r="H98" s="344"/>
      <c r="I98" s="344"/>
      <c r="J98" s="344"/>
      <c r="K98" s="344"/>
      <c r="L98" s="344"/>
      <c r="M98" s="344"/>
      <c r="O98" s="2"/>
    </row>
    <row r="99" spans="2:15" ht="3.95" customHeight="1" x14ac:dyDescent="0.25">
      <c r="B99" s="2"/>
      <c r="O99" s="2"/>
    </row>
    <row r="100" spans="2:15" ht="143.25" customHeight="1" x14ac:dyDescent="0.25">
      <c r="B100" s="2"/>
      <c r="D100" s="338" t="s">
        <v>62</v>
      </c>
      <c r="E100" s="339"/>
      <c r="F100" s="340" t="s">
        <v>1023</v>
      </c>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2</v>
      </c>
      <c r="K102" s="20"/>
      <c r="O102" s="2"/>
    </row>
    <row r="103" spans="2:15" ht="19.5" customHeight="1" x14ac:dyDescent="0.25">
      <c r="B103" s="2"/>
      <c r="D103" s="331"/>
      <c r="E103" s="332"/>
      <c r="F103" s="19" t="s">
        <v>66</v>
      </c>
      <c r="G103" s="4"/>
      <c r="K103" s="21"/>
      <c r="O103" s="2"/>
    </row>
    <row r="104" spans="2:15" ht="27.75" customHeight="1" x14ac:dyDescent="0.25">
      <c r="B104" s="2"/>
      <c r="D104" s="331"/>
      <c r="E104" s="332"/>
      <c r="F104" s="19" t="s">
        <v>67</v>
      </c>
      <c r="G104" s="333"/>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Director(a) Abastecimiento</v>
      </c>
      <c r="H108" s="334"/>
      <c r="I108" s="334"/>
      <c r="J108" s="334"/>
      <c r="K108" s="334"/>
      <c r="L108" s="334"/>
      <c r="M108" s="335"/>
      <c r="O108" s="2"/>
    </row>
    <row r="109" spans="2:15" ht="17.25" customHeight="1" x14ac:dyDescent="0.25">
      <c r="B109" s="2"/>
      <c r="D109" s="331"/>
      <c r="E109" s="332"/>
      <c r="F109" s="19" t="s">
        <v>2042</v>
      </c>
      <c r="G109" s="333" t="str">
        <f>+IF(M23="Si","Coordinador(a) Planeación y Sistemas","")</f>
        <v>Coordinador(a) Planeación y Sistemas</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578" priority="21">
      <formula>+IF($F$43="no",1,0)</formula>
    </cfRule>
  </conditionalFormatting>
  <conditionalFormatting sqref="F32:M33">
    <cfRule type="expression" dxfId="1577" priority="20">
      <formula>+IF($Q$30="NA",1,0)</formula>
    </cfRule>
  </conditionalFormatting>
  <conditionalFormatting sqref="F33:M33">
    <cfRule type="expression" dxfId="1576" priority="19">
      <formula>+IF($Q$33=0,1,0)</formula>
    </cfRule>
  </conditionalFormatting>
  <conditionalFormatting sqref="F47:M47">
    <cfRule type="expression" dxfId="1575" priority="18">
      <formula>+IF($Q$47=0,1,0)</formula>
    </cfRule>
  </conditionalFormatting>
  <conditionalFormatting sqref="F73:G73">
    <cfRule type="cellIs" dxfId="1574" priority="15" operator="equal">
      <formula>"optimo"</formula>
    </cfRule>
    <cfRule type="cellIs" dxfId="1573" priority="16" operator="equal">
      <formula>"critico"</formula>
    </cfRule>
  </conditionalFormatting>
  <conditionalFormatting sqref="H73:I73">
    <cfRule type="cellIs" dxfId="1572" priority="13" operator="equal">
      <formula>"Adecuado"</formula>
    </cfRule>
    <cfRule type="cellIs" dxfId="1571" priority="14" operator="equal">
      <formula>"en riesgo"</formula>
    </cfRule>
  </conditionalFormatting>
  <conditionalFormatting sqref="J73:K73">
    <cfRule type="cellIs" dxfId="1570" priority="11" operator="equal">
      <formula>"Adecuado"</formula>
    </cfRule>
    <cfRule type="cellIs" dxfId="1569" priority="12" operator="equal">
      <formula>"en riesgo"</formula>
    </cfRule>
  </conditionalFormatting>
  <conditionalFormatting sqref="L73:M73">
    <cfRule type="cellIs" dxfId="1568" priority="9" operator="equal">
      <formula>"optimo"</formula>
    </cfRule>
    <cfRule type="cellIs" dxfId="1567" priority="10" operator="equal">
      <formula>"critico"</formula>
    </cfRule>
  </conditionalFormatting>
  <conditionalFormatting sqref="F75:M86">
    <cfRule type="expression" dxfId="1566" priority="8">
      <formula>+IF($AK75=0,1)</formula>
    </cfRule>
  </conditionalFormatting>
  <conditionalFormatting sqref="F103:G104">
    <cfRule type="expression" dxfId="1565" priority="7">
      <formula>+IF($G$102="No",1,0)</formula>
    </cfRule>
  </conditionalFormatting>
  <conditionalFormatting sqref="F51">
    <cfRule type="expression" dxfId="1564" priority="6">
      <formula>+IF($F$43="no",1,0)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tabColor rgb="FF75C4FF"/>
  </sheetPr>
  <dimension ref="B1:AV113"/>
  <sheetViews>
    <sheetView topLeftCell="A67" zoomScaleNormal="100" workbookViewId="0">
      <selection activeCell="L79" sqref="L79"/>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122</v>
      </c>
      <c r="O10" s="2"/>
    </row>
    <row r="11" spans="2:24" ht="3.95" customHeight="1" x14ac:dyDescent="0.25">
      <c r="B11" s="2"/>
      <c r="D11" s="6"/>
      <c r="O11" s="2"/>
    </row>
    <row r="12" spans="2:24" ht="36" customHeight="1" x14ac:dyDescent="0.25">
      <c r="B12" s="2"/>
      <c r="D12" s="338" t="s">
        <v>5</v>
      </c>
      <c r="E12" s="339"/>
      <c r="F12" s="340" t="s">
        <v>2097</v>
      </c>
      <c r="G12" s="341"/>
      <c r="H12" s="341"/>
      <c r="I12" s="341"/>
      <c r="J12" s="341"/>
      <c r="K12" s="341"/>
      <c r="L12" s="341"/>
      <c r="M12" s="342"/>
      <c r="O12" s="2"/>
      <c r="W12" s="3" t="str">
        <f>+F23</f>
        <v>Mensual</v>
      </c>
      <c r="X12" s="3" t="str">
        <f>+F71</f>
        <v>Marzo</v>
      </c>
    </row>
    <row r="13" spans="2:24" ht="3.95" customHeight="1" x14ac:dyDescent="0.25">
      <c r="B13" s="2"/>
      <c r="O13" s="2"/>
    </row>
    <row r="14" spans="2:24" ht="36" customHeight="1" x14ac:dyDescent="0.25">
      <c r="B14" s="2"/>
      <c r="D14" s="338" t="s">
        <v>6</v>
      </c>
      <c r="E14" s="339"/>
      <c r="F14" s="340" t="s">
        <v>2108</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8" t="s">
        <v>512</v>
      </c>
      <c r="G22" s="337" t="s">
        <v>9</v>
      </c>
      <c r="H22" s="337"/>
      <c r="I22" s="8">
        <v>70</v>
      </c>
      <c r="K22" s="337" t="s">
        <v>10</v>
      </c>
      <c r="L22" s="337"/>
      <c r="M22" s="9" t="s">
        <v>496</v>
      </c>
      <c r="O22" s="2"/>
    </row>
    <row r="23" spans="2:17" ht="19.5" customHeight="1" x14ac:dyDescent="0.25">
      <c r="B23" s="2"/>
      <c r="D23" s="337" t="s">
        <v>11</v>
      </c>
      <c r="E23" s="337"/>
      <c r="F23" s="4" t="s">
        <v>84</v>
      </c>
      <c r="G23" s="337" t="s">
        <v>12</v>
      </c>
      <c r="H23" s="337"/>
      <c r="I23" s="4" t="s">
        <v>553</v>
      </c>
      <c r="K23" s="337" t="s">
        <v>13</v>
      </c>
      <c r="L23" s="337"/>
      <c r="M23" s="9" t="s">
        <v>2</v>
      </c>
      <c r="O23" s="2"/>
    </row>
    <row r="24" spans="2:17" ht="20.100000000000001" customHeight="1" x14ac:dyDescent="0.25">
      <c r="B24" s="2"/>
      <c r="D24" s="337" t="s">
        <v>14</v>
      </c>
      <c r="E24" s="337"/>
      <c r="F24" s="4" t="s">
        <v>498</v>
      </c>
      <c r="G24" s="337" t="s">
        <v>15</v>
      </c>
      <c r="H24" s="337"/>
      <c r="I24" s="4" t="s">
        <v>533</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20</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NA</v>
      </c>
    </row>
    <row r="31" spans="2:17" ht="24" customHeight="1" x14ac:dyDescent="0.25">
      <c r="B31" s="2"/>
      <c r="D31" s="347"/>
      <c r="E31" s="348"/>
      <c r="F31" s="4" t="s">
        <v>109</v>
      </c>
      <c r="G31" s="340" t="s">
        <v>110</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500</v>
      </c>
      <c r="G33" s="340"/>
      <c r="H33" s="341"/>
      <c r="I33" s="341"/>
      <c r="J33" s="341"/>
      <c r="K33" s="341"/>
      <c r="L33" s="341"/>
      <c r="M33" s="342"/>
      <c r="O33" s="2"/>
      <c r="Q33" s="3" t="str">
        <f>+IFERROR(IF(VLOOKUP(G33,base!$A$26:$C$40,3,FALSE)=F31,1,0),"")</f>
        <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1711</v>
      </c>
      <c r="G35" s="340" t="s">
        <v>1587</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501</v>
      </c>
      <c r="G45" s="340" t="s">
        <v>502</v>
      </c>
      <c r="H45" s="341"/>
      <c r="I45" s="341"/>
      <c r="J45" s="341"/>
      <c r="K45" s="341"/>
      <c r="L45" s="341"/>
      <c r="M45" s="342"/>
      <c r="O45" s="2"/>
      <c r="Q45" s="3" t="str">
        <f>+IFERROR(VLOOKUP(G45,base!$A$41:$C$45,3,FALSE),"")</f>
        <v>misional</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503</v>
      </c>
      <c r="G47" s="340" t="s">
        <v>504</v>
      </c>
      <c r="H47" s="341"/>
      <c r="I47" s="341"/>
      <c r="J47" s="341"/>
      <c r="K47" s="341"/>
      <c r="L47" s="341"/>
      <c r="M47" s="342"/>
      <c r="O47" s="2"/>
      <c r="Q47" s="3">
        <f>+IF(VLOOKUP(G47,base!$A$46:$C$66,3,FALSE)=F45,1,0)</f>
        <v>1</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535</v>
      </c>
      <c r="G49" s="340" t="s">
        <v>30</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496</v>
      </c>
      <c r="G51" s="337" t="s">
        <v>32</v>
      </c>
      <c r="H51" s="337"/>
      <c r="I51" s="8">
        <v>150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75" customHeight="1" x14ac:dyDescent="0.25">
      <c r="B59" s="2"/>
      <c r="D59" s="337" t="s">
        <v>34</v>
      </c>
      <c r="E59" s="337"/>
      <c r="F59" s="344" t="s">
        <v>2098</v>
      </c>
      <c r="G59" s="344"/>
      <c r="H59" s="344"/>
      <c r="I59" s="344"/>
      <c r="J59" s="344"/>
      <c r="K59" s="344"/>
      <c r="L59" s="344"/>
      <c r="M59" s="344"/>
      <c r="O59" s="2"/>
    </row>
    <row r="60" spans="2:15" ht="27" customHeight="1" x14ac:dyDescent="0.25">
      <c r="B60" s="2"/>
      <c r="D60" s="359" t="s">
        <v>35</v>
      </c>
      <c r="E60" s="359"/>
      <c r="F60" s="344" t="s">
        <v>2099</v>
      </c>
      <c r="G60" s="344"/>
      <c r="H60" s="344"/>
      <c r="I60" s="344"/>
      <c r="J60" s="344"/>
      <c r="K60" s="344"/>
      <c r="L60" s="344"/>
      <c r="M60" s="344"/>
      <c r="O60" s="2"/>
    </row>
    <row r="61" spans="2:15" ht="27" customHeight="1" x14ac:dyDescent="0.25">
      <c r="B61" s="2"/>
      <c r="D61" s="359" t="s">
        <v>36</v>
      </c>
      <c r="E61" s="359"/>
      <c r="F61" s="344" t="s">
        <v>625</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43" t="s">
        <v>39</v>
      </c>
      <c r="E71" s="343"/>
      <c r="F71" s="4" t="s">
        <v>47</v>
      </c>
      <c r="G71" s="3">
        <v>3</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v>4.9000000000000002E-2</v>
      </c>
      <c r="H77" s="16">
        <v>0.05</v>
      </c>
      <c r="I77" s="16">
        <v>9.9000000000000005E-2</v>
      </c>
      <c r="J77" s="16">
        <v>0.1</v>
      </c>
      <c r="K77" s="16">
        <v>0.14899999999999999</v>
      </c>
      <c r="L77" s="16">
        <v>0.15</v>
      </c>
      <c r="M77" s="16" t="s">
        <v>500</v>
      </c>
      <c r="O77" s="2"/>
      <c r="AE77" s="3" t="s">
        <v>47</v>
      </c>
      <c r="AF77" s="3">
        <v>3</v>
      </c>
      <c r="AG77" s="3">
        <f t="shared" si="0"/>
        <v>1</v>
      </c>
      <c r="AH77" s="3">
        <f>+IF(AG77=0,0,IF(AG77=1,(SUM($AG$75:AG77)-1),1))</f>
        <v>0</v>
      </c>
      <c r="AI77" s="3">
        <f t="shared" si="1"/>
        <v>0</v>
      </c>
      <c r="AJ77" s="3">
        <f t="shared" si="2"/>
        <v>1</v>
      </c>
      <c r="AK77" s="3">
        <f t="shared" si="3"/>
        <v>1</v>
      </c>
    </row>
    <row r="78" spans="2:37" x14ac:dyDescent="0.25">
      <c r="B78" s="2"/>
      <c r="D78" s="360" t="s">
        <v>48</v>
      </c>
      <c r="E78" s="360"/>
      <c r="F78" s="16" t="s">
        <v>500</v>
      </c>
      <c r="G78" s="16">
        <v>4.9000000000000002E-2</v>
      </c>
      <c r="H78" s="16">
        <v>0.05</v>
      </c>
      <c r="I78" s="16">
        <v>9.9000000000000005E-2</v>
      </c>
      <c r="J78" s="16">
        <v>0.1</v>
      </c>
      <c r="K78" s="16">
        <v>0.14899999999999999</v>
      </c>
      <c r="L78" s="16">
        <v>0.15</v>
      </c>
      <c r="M78" s="16" t="s">
        <v>500</v>
      </c>
      <c r="O78" s="2"/>
      <c r="AE78" s="3" t="s">
        <v>48</v>
      </c>
      <c r="AF78" s="3">
        <v>4</v>
      </c>
      <c r="AG78" s="3">
        <f t="shared" si="0"/>
        <v>1</v>
      </c>
      <c r="AH78" s="3">
        <f>+IF(AG78=0,0,IF(AG78=1,(SUM($AG$75:AG78)-1),1))</f>
        <v>1</v>
      </c>
      <c r="AI78" s="3">
        <f t="shared" si="1"/>
        <v>1</v>
      </c>
      <c r="AJ78" s="3">
        <f t="shared" si="2"/>
        <v>0</v>
      </c>
      <c r="AK78" s="3">
        <f t="shared" si="3"/>
        <v>1</v>
      </c>
    </row>
    <row r="79" spans="2:37" x14ac:dyDescent="0.25">
      <c r="B79" s="2"/>
      <c r="D79" s="360" t="s">
        <v>49</v>
      </c>
      <c r="E79" s="360"/>
      <c r="F79" s="16" t="s">
        <v>500</v>
      </c>
      <c r="G79" s="16">
        <v>9.9000000000000005E-2</v>
      </c>
      <c r="H79" s="16">
        <v>0.1</v>
      </c>
      <c r="I79" s="16">
        <v>0.19900000000000001</v>
      </c>
      <c r="J79" s="16">
        <v>0.2</v>
      </c>
      <c r="K79" s="16">
        <v>0.29899999999999999</v>
      </c>
      <c r="L79" s="16">
        <v>0.3</v>
      </c>
      <c r="M79" s="16" t="s">
        <v>500</v>
      </c>
      <c r="O79" s="2"/>
      <c r="AE79" s="3" t="s">
        <v>49</v>
      </c>
      <c r="AF79" s="3">
        <v>5</v>
      </c>
      <c r="AG79" s="3">
        <f t="shared" si="0"/>
        <v>1</v>
      </c>
      <c r="AH79" s="3">
        <f>+IF(AG79=0,0,IF(AG79=1,(SUM($AG$75:AG79)-1),1))</f>
        <v>2</v>
      </c>
      <c r="AI79" s="3">
        <f t="shared" si="1"/>
        <v>1</v>
      </c>
      <c r="AJ79" s="3">
        <f t="shared" si="2"/>
        <v>0</v>
      </c>
      <c r="AK79" s="3">
        <f t="shared" si="3"/>
        <v>1</v>
      </c>
    </row>
    <row r="80" spans="2:37" x14ac:dyDescent="0.25">
      <c r="B80" s="2"/>
      <c r="D80" s="360" t="s">
        <v>50</v>
      </c>
      <c r="E80" s="360"/>
      <c r="F80" s="16" t="s">
        <v>500</v>
      </c>
      <c r="G80" s="16">
        <v>0.14899999999999999</v>
      </c>
      <c r="H80" s="16">
        <v>0.15</v>
      </c>
      <c r="I80" s="16">
        <v>0.29899999999999999</v>
      </c>
      <c r="J80" s="16">
        <v>0.3</v>
      </c>
      <c r="K80" s="16">
        <v>0.44900000000000001</v>
      </c>
      <c r="L80" s="16">
        <v>0.45</v>
      </c>
      <c r="M80" s="16" t="s">
        <v>500</v>
      </c>
      <c r="O80" s="2"/>
      <c r="AE80" s="3" t="s">
        <v>50</v>
      </c>
      <c r="AF80" s="3">
        <v>6</v>
      </c>
      <c r="AG80" s="3">
        <f t="shared" si="0"/>
        <v>1</v>
      </c>
      <c r="AH80" s="3">
        <f>+IF(AG80=0,0,IF(AG80=1,(SUM($AG$75:AG80)-1),1))</f>
        <v>3</v>
      </c>
      <c r="AI80" s="3">
        <f t="shared" si="1"/>
        <v>1</v>
      </c>
      <c r="AJ80" s="3">
        <f t="shared" si="2"/>
        <v>0</v>
      </c>
      <c r="AK80" s="3">
        <f t="shared" si="3"/>
        <v>1</v>
      </c>
    </row>
    <row r="81" spans="2:37" x14ac:dyDescent="0.25">
      <c r="B81" s="2"/>
      <c r="D81" s="360" t="s">
        <v>53</v>
      </c>
      <c r="E81" s="360"/>
      <c r="F81" s="16" t="s">
        <v>500</v>
      </c>
      <c r="G81" s="16">
        <v>0.19900000000000001</v>
      </c>
      <c r="H81" s="16">
        <v>0.2</v>
      </c>
      <c r="I81" s="16">
        <v>0.39900000000000002</v>
      </c>
      <c r="J81" s="16">
        <v>0.4</v>
      </c>
      <c r="K81" s="16">
        <v>0.59899999999999998</v>
      </c>
      <c r="L81" s="16">
        <v>0.6</v>
      </c>
      <c r="M81" s="16" t="s">
        <v>500</v>
      </c>
      <c r="O81" s="2"/>
      <c r="AE81" s="3" t="s">
        <v>53</v>
      </c>
      <c r="AF81" s="3">
        <v>7</v>
      </c>
      <c r="AG81" s="3">
        <f t="shared" si="0"/>
        <v>1</v>
      </c>
      <c r="AH81" s="3">
        <f>+IF(AG81=0,0,IF(AG81=1,(SUM($AG$75:AG81)-1),1))</f>
        <v>4</v>
      </c>
      <c r="AI81" s="3">
        <f t="shared" si="1"/>
        <v>1</v>
      </c>
      <c r="AJ81" s="3">
        <f t="shared" si="2"/>
        <v>0</v>
      </c>
      <c r="AK81" s="3">
        <f t="shared" si="3"/>
        <v>1</v>
      </c>
    </row>
    <row r="82" spans="2:37" x14ac:dyDescent="0.25">
      <c r="B82" s="2"/>
      <c r="D82" s="360" t="s">
        <v>54</v>
      </c>
      <c r="E82" s="360"/>
      <c r="F82" s="16" t="s">
        <v>500</v>
      </c>
      <c r="G82" s="16">
        <v>0.29899999999999999</v>
      </c>
      <c r="H82" s="16">
        <v>0.3</v>
      </c>
      <c r="I82" s="16">
        <v>0.499</v>
      </c>
      <c r="J82" s="16">
        <v>0.5</v>
      </c>
      <c r="K82" s="16">
        <v>0.749</v>
      </c>
      <c r="L82" s="16">
        <v>0.75</v>
      </c>
      <c r="M82" s="16" t="s">
        <v>500</v>
      </c>
      <c r="O82" s="2"/>
      <c r="AE82" s="3" t="s">
        <v>54</v>
      </c>
      <c r="AF82" s="3">
        <v>8</v>
      </c>
      <c r="AG82" s="3">
        <f t="shared" si="0"/>
        <v>1</v>
      </c>
      <c r="AH82" s="3">
        <f>+IF(AG82=0,0,IF(AG82=1,(SUM($AG$75:AG82)-1),1))</f>
        <v>5</v>
      </c>
      <c r="AI82" s="3">
        <f t="shared" si="1"/>
        <v>1</v>
      </c>
      <c r="AJ82" s="3">
        <f t="shared" si="2"/>
        <v>0</v>
      </c>
      <c r="AK82" s="3">
        <f t="shared" si="3"/>
        <v>1</v>
      </c>
    </row>
    <row r="83" spans="2:37" x14ac:dyDescent="0.25">
      <c r="B83" s="2"/>
      <c r="D83" s="360" t="s">
        <v>55</v>
      </c>
      <c r="E83" s="360"/>
      <c r="F83" s="16" t="s">
        <v>500</v>
      </c>
      <c r="G83" s="16">
        <v>0.39900000000000002</v>
      </c>
      <c r="H83" s="16">
        <v>0.4</v>
      </c>
      <c r="I83" s="16">
        <v>0.59899999999999998</v>
      </c>
      <c r="J83" s="16">
        <v>0.6</v>
      </c>
      <c r="K83" s="16">
        <v>0.89900000000000002</v>
      </c>
      <c r="L83" s="16">
        <v>0.9</v>
      </c>
      <c r="M83" s="16" t="s">
        <v>500</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60" t="s">
        <v>56</v>
      </c>
      <c r="E84" s="360"/>
      <c r="F84" s="16" t="s">
        <v>500</v>
      </c>
      <c r="G84" s="16">
        <v>0.499</v>
      </c>
      <c r="H84" s="16">
        <v>0.5</v>
      </c>
      <c r="I84" s="16">
        <v>0.69899999999999995</v>
      </c>
      <c r="J84" s="16">
        <v>0.7</v>
      </c>
      <c r="K84" s="16">
        <v>0.999</v>
      </c>
      <c r="L84" s="16"/>
      <c r="M84" s="16">
        <v>1</v>
      </c>
      <c r="O84" s="2"/>
      <c r="AE84" s="3" t="s">
        <v>56</v>
      </c>
      <c r="AF84" s="3">
        <v>10</v>
      </c>
      <c r="AG84" s="3">
        <f t="shared" si="0"/>
        <v>1</v>
      </c>
      <c r="AH84" s="3">
        <f>+IF(AG84=0,0,IF(AG84=1,(SUM($AG$75:AG84)-1),1))</f>
        <v>7</v>
      </c>
      <c r="AI84" s="3">
        <f t="shared" si="1"/>
        <v>1</v>
      </c>
      <c r="AJ84" s="3">
        <f t="shared" si="2"/>
        <v>0</v>
      </c>
      <c r="AK84" s="3">
        <f t="shared" si="3"/>
        <v>1</v>
      </c>
    </row>
    <row r="85" spans="2:37" x14ac:dyDescent="0.25">
      <c r="B85" s="2"/>
      <c r="D85" s="360" t="s">
        <v>57</v>
      </c>
      <c r="E85" s="360"/>
      <c r="F85" s="16" t="s">
        <v>500</v>
      </c>
      <c r="G85" s="16">
        <v>0.499</v>
      </c>
      <c r="H85" s="16">
        <v>0.5</v>
      </c>
      <c r="I85" s="16">
        <v>0.69899999999999995</v>
      </c>
      <c r="J85" s="16">
        <v>0.7</v>
      </c>
      <c r="K85" s="16">
        <v>0.999</v>
      </c>
      <c r="L85" s="16"/>
      <c r="M85" s="16">
        <v>1</v>
      </c>
      <c r="O85" s="2"/>
      <c r="AE85" s="3" t="s">
        <v>57</v>
      </c>
      <c r="AF85" s="3">
        <v>11</v>
      </c>
      <c r="AG85" s="3">
        <f t="shared" si="0"/>
        <v>1</v>
      </c>
      <c r="AH85" s="3">
        <f>+IF(AG85=0,0,IF(AG85=1,(SUM($AG$75:AG85)-1),1))</f>
        <v>8</v>
      </c>
      <c r="AI85" s="3">
        <f t="shared" si="1"/>
        <v>1</v>
      </c>
      <c r="AJ85" s="3">
        <f t="shared" si="2"/>
        <v>0</v>
      </c>
      <c r="AK85" s="3">
        <f t="shared" si="3"/>
        <v>1</v>
      </c>
    </row>
    <row r="86" spans="2:37" x14ac:dyDescent="0.25">
      <c r="B86" s="2"/>
      <c r="D86" s="360" t="s">
        <v>58</v>
      </c>
      <c r="E86" s="360"/>
      <c r="F86" s="16" t="s">
        <v>500</v>
      </c>
      <c r="G86" s="16">
        <v>0.499</v>
      </c>
      <c r="H86" s="16">
        <v>0.5</v>
      </c>
      <c r="I86" s="16">
        <v>0.69899999999999995</v>
      </c>
      <c r="J86" s="16">
        <v>0.7</v>
      </c>
      <c r="K86" s="16">
        <v>0.999</v>
      </c>
      <c r="L86" s="16"/>
      <c r="M86" s="16">
        <v>1</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66" customHeight="1" x14ac:dyDescent="0.25">
      <c r="B88" s="2"/>
      <c r="D88" s="338" t="s">
        <v>59</v>
      </c>
      <c r="E88" s="339"/>
      <c r="F88" s="340"/>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28.5" customHeight="1" x14ac:dyDescent="0.25">
      <c r="B97" s="2"/>
      <c r="D97" s="359" t="s">
        <v>35</v>
      </c>
      <c r="E97" s="359"/>
      <c r="F97" s="344" t="s">
        <v>2101</v>
      </c>
      <c r="G97" s="344"/>
      <c r="H97" s="344"/>
      <c r="I97" s="344"/>
      <c r="J97" s="344"/>
      <c r="K97" s="344"/>
      <c r="L97" s="344"/>
      <c r="M97" s="344"/>
      <c r="O97" s="2"/>
    </row>
    <row r="98" spans="2:15" ht="28.5" customHeight="1" x14ac:dyDescent="0.25">
      <c r="B98" s="2"/>
      <c r="D98" s="359" t="s">
        <v>36</v>
      </c>
      <c r="E98" s="359"/>
      <c r="F98" s="344" t="s">
        <v>491</v>
      </c>
      <c r="G98" s="344"/>
      <c r="H98" s="344"/>
      <c r="I98" s="344"/>
      <c r="J98" s="344"/>
      <c r="K98" s="344"/>
      <c r="L98" s="344"/>
      <c r="M98" s="344"/>
      <c r="O98" s="2"/>
    </row>
    <row r="99" spans="2:15" ht="3.95" customHeight="1" x14ac:dyDescent="0.25">
      <c r="B99" s="2"/>
      <c r="O99" s="2"/>
    </row>
    <row r="100" spans="2:15" ht="87.75" customHeight="1" x14ac:dyDescent="0.25">
      <c r="B100" s="2"/>
      <c r="D100" s="338" t="s">
        <v>62</v>
      </c>
      <c r="E100" s="339"/>
      <c r="F100" s="340" t="s">
        <v>78</v>
      </c>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2</v>
      </c>
      <c r="K102" s="20"/>
      <c r="O102" s="2"/>
    </row>
    <row r="103" spans="2:15" ht="19.5" customHeight="1" x14ac:dyDescent="0.25">
      <c r="B103" s="2"/>
      <c r="D103" s="331"/>
      <c r="E103" s="332"/>
      <c r="F103" s="19" t="s">
        <v>66</v>
      </c>
      <c r="G103" s="4"/>
      <c r="K103" s="21"/>
      <c r="O103" s="2"/>
    </row>
    <row r="104" spans="2:15" ht="27.75" customHeight="1" x14ac:dyDescent="0.25">
      <c r="B104" s="2"/>
      <c r="D104" s="331"/>
      <c r="E104" s="332"/>
      <c r="F104" s="19" t="s">
        <v>67</v>
      </c>
      <c r="G104" s="333"/>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69</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 xml:space="preserve">Director(a) Primera Infancia </v>
      </c>
      <c r="H108" s="334"/>
      <c r="I108" s="334"/>
      <c r="J108" s="334"/>
      <c r="K108" s="334"/>
      <c r="L108" s="334"/>
      <c r="M108" s="335"/>
      <c r="O108" s="2"/>
    </row>
    <row r="109" spans="2:15" ht="17.25" customHeight="1" x14ac:dyDescent="0.25">
      <c r="B109" s="2"/>
      <c r="D109" s="331"/>
      <c r="E109" s="332"/>
      <c r="F109" s="19" t="s">
        <v>2042</v>
      </c>
      <c r="G109" s="333" t="str">
        <f>+IF(M23="Si","Coordinador(a) Planeación y Sistemas","")</f>
        <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F51 G102">
    <cfRule type="expression" dxfId="3367" priority="29">
      <formula>+IF($F$43="no",1,0)</formula>
    </cfRule>
  </conditionalFormatting>
  <conditionalFormatting sqref="F32:M33">
    <cfRule type="expression" dxfId="3366" priority="28">
      <formula>+IF($Q$30="NA",1,0)</formula>
    </cfRule>
  </conditionalFormatting>
  <conditionalFormatting sqref="F33:M33">
    <cfRule type="expression" dxfId="3365" priority="27">
      <formula>+IF($Q$33=0,1,0)</formula>
    </cfRule>
  </conditionalFormatting>
  <conditionalFormatting sqref="F47:M47">
    <cfRule type="expression" dxfId="3364" priority="26">
      <formula>+IF($Q$47=0,1,0)</formula>
    </cfRule>
  </conditionalFormatting>
  <conditionalFormatting sqref="F73:G73">
    <cfRule type="cellIs" dxfId="3363" priority="12" operator="equal">
      <formula>"optimo"</formula>
    </cfRule>
    <cfRule type="cellIs" dxfId="3362" priority="13" operator="equal">
      <formula>"critico"</formula>
    </cfRule>
  </conditionalFormatting>
  <conditionalFormatting sqref="H73:I73">
    <cfRule type="cellIs" dxfId="3361" priority="10" operator="equal">
      <formula>"Adecuado"</formula>
    </cfRule>
    <cfRule type="cellIs" dxfId="3360" priority="11" operator="equal">
      <formula>"en riesgo"</formula>
    </cfRule>
  </conditionalFormatting>
  <conditionalFormatting sqref="J73:K73">
    <cfRule type="cellIs" dxfId="3359" priority="8" operator="equal">
      <formula>"Adecuado"</formula>
    </cfRule>
    <cfRule type="cellIs" dxfId="3358" priority="9" operator="equal">
      <formula>"en riesgo"</formula>
    </cfRule>
  </conditionalFormatting>
  <conditionalFormatting sqref="L73:M73">
    <cfRule type="cellIs" dxfId="3357" priority="6" operator="equal">
      <formula>"optimo"</formula>
    </cfRule>
    <cfRule type="cellIs" dxfId="3356" priority="7" operator="equal">
      <formula>"critico"</formula>
    </cfRule>
  </conditionalFormatting>
  <conditionalFormatting sqref="F75:M86">
    <cfRule type="expression" dxfId="3355" priority="5">
      <formula>+IF($AK75=0,1)</formula>
    </cfRule>
  </conditionalFormatting>
  <conditionalFormatting sqref="F103:G104">
    <cfRule type="expression" dxfId="3354" priority="4">
      <formula>+IF($G$102="No",1,0)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7">
    <tabColor rgb="FF0070C0"/>
  </sheetPr>
  <dimension ref="B1:AV113"/>
  <sheetViews>
    <sheetView topLeftCell="A61" zoomScaleNormal="100" workbookViewId="0">
      <selection activeCell="F88" sqref="F88:M88"/>
    </sheetView>
  </sheetViews>
  <sheetFormatPr baseColWidth="10" defaultRowHeight="12.75" x14ac:dyDescent="0.25"/>
  <cols>
    <col min="1" max="1" width="1.140625" style="104" customWidth="1"/>
    <col min="2" max="2" width="0.5703125" style="104" customWidth="1"/>
    <col min="3" max="3" width="1.42578125" style="104" customWidth="1"/>
    <col min="4" max="4" width="11" style="104" customWidth="1"/>
    <col min="5" max="13" width="11.42578125" style="104" customWidth="1"/>
    <col min="14" max="14" width="1.42578125" style="104" customWidth="1"/>
    <col min="15" max="15" width="0.5703125" style="104" customWidth="1"/>
    <col min="16" max="16" width="11.42578125" style="105"/>
    <col min="17" max="18" width="11.42578125" style="105" customWidth="1"/>
    <col min="19" max="19" width="11.42578125" style="105"/>
    <col min="20" max="20" width="2.7109375" style="105" customWidth="1"/>
    <col min="21" max="21" width="11.42578125" style="105"/>
    <col min="22" max="22" width="2.7109375" style="105" customWidth="1"/>
    <col min="23" max="23" width="11.42578125" style="105"/>
    <col min="24" max="24" width="2.7109375" style="105" customWidth="1"/>
    <col min="25" max="25" width="11.42578125" style="105"/>
    <col min="26" max="26" width="2.7109375" style="105" customWidth="1"/>
    <col min="27" max="27" width="11.42578125" style="105"/>
    <col min="28" max="28" width="2.7109375" style="105" customWidth="1"/>
    <col min="29" max="31" width="11.42578125" style="105"/>
    <col min="32" max="37" width="3.140625" style="105" customWidth="1"/>
    <col min="38" max="45" width="7.42578125" style="105" customWidth="1"/>
    <col min="46" max="48" width="11.42578125" style="105"/>
    <col min="49" max="16384" width="11.42578125" style="104"/>
  </cols>
  <sheetData>
    <row r="1" spans="2:19" ht="3.95" customHeight="1" x14ac:dyDescent="0.25"/>
    <row r="2" spans="2:19" ht="3.95" customHeight="1" x14ac:dyDescent="0.25">
      <c r="B2" s="106"/>
      <c r="C2" s="106"/>
      <c r="D2" s="106"/>
      <c r="E2" s="106"/>
      <c r="F2" s="106"/>
      <c r="G2" s="106"/>
      <c r="H2" s="106"/>
      <c r="I2" s="106"/>
      <c r="J2" s="106"/>
      <c r="K2" s="106"/>
      <c r="L2" s="106"/>
      <c r="M2" s="106"/>
      <c r="N2" s="106"/>
      <c r="O2" s="106"/>
    </row>
    <row r="3" spans="2:19" ht="20.25" customHeight="1" x14ac:dyDescent="0.25">
      <c r="B3" s="106"/>
      <c r="C3" s="411" t="s">
        <v>0</v>
      </c>
      <c r="D3" s="411"/>
      <c r="E3" s="411"/>
      <c r="F3" s="411"/>
      <c r="G3" s="411"/>
      <c r="H3" s="411"/>
      <c r="I3" s="411"/>
      <c r="J3" s="411"/>
      <c r="K3" s="411"/>
      <c r="L3" s="411"/>
      <c r="M3" s="411"/>
      <c r="N3" s="411"/>
      <c r="O3" s="106"/>
    </row>
    <row r="4" spans="2:19" ht="20.25" customHeight="1" x14ac:dyDescent="0.25">
      <c r="B4" s="106"/>
      <c r="C4" s="411"/>
      <c r="D4" s="411"/>
      <c r="E4" s="411"/>
      <c r="F4" s="411"/>
      <c r="G4" s="411"/>
      <c r="H4" s="411"/>
      <c r="I4" s="411"/>
      <c r="J4" s="411"/>
      <c r="K4" s="411"/>
      <c r="L4" s="411"/>
      <c r="M4" s="411"/>
      <c r="N4" s="411"/>
      <c r="O4" s="106"/>
      <c r="Q4" s="3"/>
      <c r="R4" s="3"/>
      <c r="S4" s="105" t="s">
        <v>1</v>
      </c>
    </row>
    <row r="5" spans="2:19" ht="20.25" customHeight="1" x14ac:dyDescent="0.25">
      <c r="B5" s="106"/>
      <c r="C5" s="411"/>
      <c r="D5" s="411"/>
      <c r="E5" s="411"/>
      <c r="F5" s="411"/>
      <c r="G5" s="411"/>
      <c r="H5" s="411"/>
      <c r="I5" s="411"/>
      <c r="J5" s="411"/>
      <c r="K5" s="411"/>
      <c r="L5" s="411"/>
      <c r="M5" s="411"/>
      <c r="N5" s="411"/>
      <c r="O5" s="106"/>
      <c r="S5" s="105" t="s">
        <v>2</v>
      </c>
    </row>
    <row r="6" spans="2:19" ht="3" customHeight="1" x14ac:dyDescent="0.25">
      <c r="B6" s="106"/>
      <c r="C6" s="106"/>
      <c r="D6" s="106"/>
      <c r="E6" s="106"/>
      <c r="F6" s="106"/>
      <c r="G6" s="106"/>
      <c r="H6" s="106"/>
      <c r="I6" s="106"/>
      <c r="J6" s="106"/>
      <c r="K6" s="106"/>
      <c r="L6" s="106"/>
      <c r="M6" s="106"/>
      <c r="N6" s="106"/>
      <c r="O6" s="106"/>
    </row>
    <row r="7" spans="2:19" ht="3" customHeight="1" x14ac:dyDescent="0.25"/>
    <row r="8" spans="2:19" ht="3.95" customHeight="1" x14ac:dyDescent="0.25">
      <c r="B8" s="106"/>
      <c r="C8" s="106"/>
      <c r="D8" s="106"/>
      <c r="E8" s="106"/>
      <c r="F8" s="106"/>
      <c r="G8" s="106"/>
      <c r="H8" s="106"/>
      <c r="I8" s="106"/>
      <c r="J8" s="106"/>
      <c r="K8" s="106"/>
      <c r="L8" s="106"/>
      <c r="M8" s="106"/>
      <c r="N8" s="106"/>
      <c r="O8" s="106"/>
    </row>
    <row r="9" spans="2:19" ht="3.95" customHeight="1" x14ac:dyDescent="0.25">
      <c r="B9" s="106"/>
      <c r="O9" s="106"/>
    </row>
    <row r="10" spans="2:19" ht="15.75" customHeight="1" x14ac:dyDescent="0.25">
      <c r="B10" s="106"/>
      <c r="D10" s="387" t="s">
        <v>3</v>
      </c>
      <c r="E10" s="387"/>
      <c r="F10" s="107">
        <v>2015</v>
      </c>
      <c r="G10" s="108" t="s">
        <v>4</v>
      </c>
      <c r="H10" s="107" t="s">
        <v>302</v>
      </c>
      <c r="O10" s="106"/>
    </row>
    <row r="11" spans="2:19" ht="3.95" customHeight="1" x14ac:dyDescent="0.25">
      <c r="B11" s="106"/>
      <c r="D11" s="109"/>
      <c r="O11" s="106"/>
    </row>
    <row r="12" spans="2:19" ht="36" customHeight="1" x14ac:dyDescent="0.25">
      <c r="B12" s="106"/>
      <c r="D12" s="378" t="s">
        <v>5</v>
      </c>
      <c r="E12" s="379"/>
      <c r="F12" s="389" t="s">
        <v>1355</v>
      </c>
      <c r="G12" s="390"/>
      <c r="H12" s="390"/>
      <c r="I12" s="390"/>
      <c r="J12" s="390"/>
      <c r="K12" s="390"/>
      <c r="L12" s="390"/>
      <c r="M12" s="391"/>
      <c r="O12" s="106"/>
      <c r="Q12" s="110" t="s">
        <v>1977</v>
      </c>
      <c r="S12" s="111">
        <v>154</v>
      </c>
    </row>
    <row r="13" spans="2:19" ht="3.95" customHeight="1" x14ac:dyDescent="0.25">
      <c r="B13" s="106"/>
      <c r="O13" s="106"/>
    </row>
    <row r="14" spans="2:19" ht="38.25" customHeight="1" x14ac:dyDescent="0.25">
      <c r="B14" s="106"/>
      <c r="D14" s="378" t="s">
        <v>6</v>
      </c>
      <c r="E14" s="379"/>
      <c r="F14" s="389" t="s">
        <v>1327</v>
      </c>
      <c r="G14" s="390"/>
      <c r="H14" s="390"/>
      <c r="I14" s="390"/>
      <c r="J14" s="390"/>
      <c r="K14" s="390"/>
      <c r="L14" s="390"/>
      <c r="M14" s="391"/>
      <c r="O14" s="106"/>
    </row>
    <row r="15" spans="2:19" ht="3.95" customHeight="1" x14ac:dyDescent="0.25">
      <c r="B15" s="106"/>
      <c r="O15" s="106"/>
    </row>
    <row r="16" spans="2:19" ht="3" customHeight="1" x14ac:dyDescent="0.25">
      <c r="B16" s="106"/>
      <c r="C16" s="106"/>
      <c r="D16" s="106"/>
      <c r="E16" s="106"/>
      <c r="F16" s="106"/>
      <c r="G16" s="106"/>
      <c r="H16" s="106"/>
      <c r="I16" s="106"/>
      <c r="J16" s="106"/>
      <c r="K16" s="106"/>
      <c r="L16" s="106"/>
      <c r="M16" s="106"/>
      <c r="N16" s="106"/>
      <c r="O16" s="106"/>
    </row>
    <row r="17" spans="2:17" ht="3" customHeight="1" x14ac:dyDescent="0.25"/>
    <row r="18" spans="2:17" ht="3" customHeight="1" x14ac:dyDescent="0.25">
      <c r="B18" s="106"/>
      <c r="C18" s="106"/>
      <c r="D18" s="106"/>
      <c r="E18" s="106"/>
      <c r="F18" s="106"/>
      <c r="G18" s="106"/>
      <c r="H18" s="106"/>
      <c r="I18" s="106"/>
      <c r="J18" s="106"/>
      <c r="K18" s="106"/>
      <c r="L18" s="106"/>
      <c r="M18" s="106"/>
      <c r="N18" s="106"/>
      <c r="O18" s="106"/>
    </row>
    <row r="19" spans="2:17" ht="3.95" customHeight="1" x14ac:dyDescent="0.25">
      <c r="B19" s="106"/>
      <c r="O19" s="106"/>
    </row>
    <row r="20" spans="2:17" x14ac:dyDescent="0.25">
      <c r="B20" s="106"/>
      <c r="D20" s="112" t="s">
        <v>7</v>
      </c>
      <c r="O20" s="106"/>
    </row>
    <row r="21" spans="2:17" ht="3.95" customHeight="1" x14ac:dyDescent="0.25">
      <c r="B21" s="106"/>
      <c r="O21" s="106"/>
    </row>
    <row r="22" spans="2:17" ht="18.75" customHeight="1" x14ac:dyDescent="0.25">
      <c r="B22" s="106"/>
      <c r="D22" s="387" t="s">
        <v>8</v>
      </c>
      <c r="E22" s="387"/>
      <c r="F22" s="113" t="s">
        <v>1978</v>
      </c>
      <c r="G22" s="387" t="s">
        <v>9</v>
      </c>
      <c r="H22" s="387"/>
      <c r="I22" s="114">
        <f>+IFERROR(VLOOKUP($S$12,[1]Hoja1!$B$5:$AT$190,19,FALSE),"")</f>
        <v>1</v>
      </c>
      <c r="K22" s="387" t="s">
        <v>10</v>
      </c>
      <c r="L22" s="387"/>
      <c r="M22" s="115" t="str">
        <f>+IFERROR(VLOOKUP($S$12,[1]Hoja1!$B$5:$AT$190,22,FALSE),"")</f>
        <v>Si</v>
      </c>
      <c r="O22" s="106"/>
    </row>
    <row r="23" spans="2:17" ht="19.5" customHeight="1" x14ac:dyDescent="0.25">
      <c r="B23" s="106"/>
      <c r="D23" s="387" t="s">
        <v>11</v>
      </c>
      <c r="E23" s="387"/>
      <c r="F23" s="107" t="str">
        <f>+IFERROR(VLOOKUP($S$12,[1]Hoja1!$B$5:$AT$190,33,FALSE),"")</f>
        <v>Mensual</v>
      </c>
      <c r="G23" s="387" t="s">
        <v>12</v>
      </c>
      <c r="H23" s="387"/>
      <c r="I23" s="107" t="str">
        <f>+IFERROR(VLOOKUP($S$12,[1]Hoja1!$B$5:$AT$190,21,FALSE),"")</f>
        <v>Porcentaje</v>
      </c>
      <c r="K23" s="387" t="s">
        <v>13</v>
      </c>
      <c r="L23" s="387"/>
      <c r="M23" s="115" t="str">
        <f>+IFERROR(VLOOKUP($S$12,[1]Hoja1!$B$5:$AT$190,23,FALSE),"")</f>
        <v>No</v>
      </c>
      <c r="O23" s="106"/>
    </row>
    <row r="24" spans="2:17" ht="20.100000000000001" customHeight="1" x14ac:dyDescent="0.25">
      <c r="B24" s="106"/>
      <c r="D24" s="387" t="s">
        <v>14</v>
      </c>
      <c r="E24" s="387"/>
      <c r="F24" s="107" t="s">
        <v>498</v>
      </c>
      <c r="G24" s="387" t="s">
        <v>15</v>
      </c>
      <c r="H24" s="387"/>
      <c r="I24" s="107" t="s">
        <v>103</v>
      </c>
      <c r="K24" s="387" t="s">
        <v>16</v>
      </c>
      <c r="L24" s="387"/>
      <c r="M24" s="115" t="str">
        <f>+IFERROR(VLOOKUP($S$12,[1]Hoja1!$B$5:$AT$190,24,FALSE),"")</f>
        <v>No</v>
      </c>
      <c r="O24" s="106"/>
    </row>
    <row r="25" spans="2:17" ht="20.100000000000001" customHeight="1" x14ac:dyDescent="0.25">
      <c r="B25" s="106"/>
      <c r="D25" s="387" t="s">
        <v>17</v>
      </c>
      <c r="E25" s="387"/>
      <c r="F25" s="107" t="str">
        <f>+IFERROR(VLOOKUP($S$12,[1]Hoja1!$B$5:$AT$190,18,FALSE),"")</f>
        <v>Eficiencia</v>
      </c>
      <c r="O25" s="106"/>
    </row>
    <row r="26" spans="2:17" ht="3.95" customHeight="1" x14ac:dyDescent="0.25">
      <c r="B26" s="106"/>
      <c r="O26" s="106"/>
    </row>
    <row r="27" spans="2:17" x14ac:dyDescent="0.25">
      <c r="B27" s="106"/>
      <c r="D27" s="112" t="s">
        <v>18</v>
      </c>
      <c r="O27" s="106"/>
    </row>
    <row r="28" spans="2:17" ht="3.95" customHeight="1" x14ac:dyDescent="0.25">
      <c r="B28" s="106"/>
      <c r="O28" s="106"/>
    </row>
    <row r="29" spans="2:17" ht="36" customHeight="1" x14ac:dyDescent="0.25">
      <c r="B29" s="106"/>
      <c r="D29" s="393" t="s">
        <v>19</v>
      </c>
      <c r="E29" s="393"/>
      <c r="F29" s="344" t="s">
        <v>891</v>
      </c>
      <c r="G29" s="344"/>
      <c r="H29" s="344"/>
      <c r="I29" s="344"/>
      <c r="J29" s="344"/>
      <c r="K29" s="344"/>
      <c r="L29" s="344"/>
      <c r="M29" s="344"/>
      <c r="O29" s="106"/>
      <c r="P29" s="105" t="s">
        <v>1991</v>
      </c>
    </row>
    <row r="30" spans="2:17" ht="18" customHeight="1" x14ac:dyDescent="0.25">
      <c r="B30" s="106"/>
      <c r="D30" s="404" t="s">
        <v>21</v>
      </c>
      <c r="E30" s="405"/>
      <c r="F30" s="10" t="s">
        <v>22</v>
      </c>
      <c r="G30" s="349" t="s">
        <v>5</v>
      </c>
      <c r="H30" s="350"/>
      <c r="I30" s="350"/>
      <c r="J30" s="350"/>
      <c r="K30" s="350"/>
      <c r="L30" s="350"/>
      <c r="M30" s="351"/>
      <c r="O30" s="106"/>
      <c r="Q30" s="105" t="str">
        <f>+IFERROR(VLOOKUP(G31,[1]base!$A$9:$C$25,3,FALSE),"")</f>
        <v>soporte</v>
      </c>
    </row>
    <row r="31" spans="2:17" ht="24" customHeight="1" x14ac:dyDescent="0.25">
      <c r="B31" s="106"/>
      <c r="D31" s="406"/>
      <c r="E31" s="407"/>
      <c r="F31" s="4" t="s">
        <v>257</v>
      </c>
      <c r="G31" s="340" t="s">
        <v>258</v>
      </c>
      <c r="H31" s="341"/>
      <c r="I31" s="341"/>
      <c r="J31" s="341"/>
      <c r="K31" s="341"/>
      <c r="L31" s="341"/>
      <c r="M31" s="342"/>
      <c r="O31" s="106"/>
    </row>
    <row r="32" spans="2:17" ht="18" customHeight="1" x14ac:dyDescent="0.25">
      <c r="B32" s="106"/>
      <c r="D32" s="404" t="s">
        <v>23</v>
      </c>
      <c r="E32" s="405"/>
      <c r="F32" s="10" t="s">
        <v>22</v>
      </c>
      <c r="G32" s="349" t="s">
        <v>5</v>
      </c>
      <c r="H32" s="350"/>
      <c r="I32" s="350"/>
      <c r="J32" s="350"/>
      <c r="K32" s="350"/>
      <c r="L32" s="350"/>
      <c r="M32" s="351"/>
      <c r="O32" s="106"/>
    </row>
    <row r="33" spans="2:17" ht="24" customHeight="1" x14ac:dyDescent="0.25">
      <c r="B33" s="106"/>
      <c r="D33" s="406"/>
      <c r="E33" s="407"/>
      <c r="F33" s="11" t="s">
        <v>1025</v>
      </c>
      <c r="G33" s="340" t="s">
        <v>1015</v>
      </c>
      <c r="H33" s="341"/>
      <c r="I33" s="341"/>
      <c r="J33" s="341"/>
      <c r="K33" s="341"/>
      <c r="L33" s="341"/>
      <c r="M33" s="342"/>
      <c r="O33" s="106"/>
      <c r="Q33" s="105">
        <f>+IFERROR(IF(VLOOKUP(G33,[1]base!$A$26:$C$40,3,FALSE)=F31,1,0),"")</f>
        <v>1</v>
      </c>
    </row>
    <row r="34" spans="2:17" ht="18" customHeight="1" x14ac:dyDescent="0.25">
      <c r="B34" s="106"/>
      <c r="D34" s="404" t="s">
        <v>24</v>
      </c>
      <c r="E34" s="405"/>
      <c r="F34" s="116" t="s">
        <v>22</v>
      </c>
      <c r="G34" s="408" t="s">
        <v>5</v>
      </c>
      <c r="H34" s="409"/>
      <c r="I34" s="409"/>
      <c r="J34" s="409"/>
      <c r="K34" s="409"/>
      <c r="L34" s="409"/>
      <c r="M34" s="410"/>
      <c r="O34" s="106"/>
    </row>
    <row r="35" spans="2:17" ht="38.25" customHeight="1" x14ac:dyDescent="0.25">
      <c r="B35" s="106"/>
      <c r="D35" s="406"/>
      <c r="E35" s="407"/>
      <c r="F35" s="4" t="s">
        <v>1716</v>
      </c>
      <c r="G35" s="340" t="s">
        <v>1592</v>
      </c>
      <c r="H35" s="341"/>
      <c r="I35" s="341"/>
      <c r="J35" s="341"/>
      <c r="K35" s="341"/>
      <c r="L35" s="341"/>
      <c r="M35" s="342"/>
      <c r="O35" s="106"/>
    </row>
    <row r="36" spans="2:17" ht="3.95" customHeight="1" x14ac:dyDescent="0.25">
      <c r="B36" s="106"/>
      <c r="O36" s="106"/>
    </row>
    <row r="37" spans="2:17" ht="3" customHeight="1" x14ac:dyDescent="0.25">
      <c r="B37" s="106"/>
      <c r="C37" s="106"/>
      <c r="D37" s="106"/>
      <c r="E37" s="106"/>
      <c r="F37" s="106"/>
      <c r="G37" s="106"/>
      <c r="H37" s="106"/>
      <c r="I37" s="106"/>
      <c r="J37" s="106"/>
      <c r="K37" s="106"/>
      <c r="L37" s="106"/>
      <c r="M37" s="106"/>
      <c r="N37" s="106"/>
      <c r="O37" s="106"/>
    </row>
    <row r="38" spans="2:17" ht="3" customHeight="1" x14ac:dyDescent="0.25"/>
    <row r="39" spans="2:17" ht="3" customHeight="1" x14ac:dyDescent="0.25">
      <c r="B39" s="106"/>
      <c r="C39" s="106"/>
      <c r="D39" s="106"/>
      <c r="E39" s="106"/>
      <c r="F39" s="106"/>
      <c r="G39" s="106"/>
      <c r="H39" s="106"/>
      <c r="I39" s="106"/>
      <c r="J39" s="106"/>
      <c r="K39" s="106"/>
      <c r="L39" s="106"/>
      <c r="M39" s="106"/>
      <c r="N39" s="106"/>
      <c r="O39" s="106"/>
    </row>
    <row r="40" spans="2:17" ht="3.95" customHeight="1" x14ac:dyDescent="0.25">
      <c r="B40" s="106"/>
      <c r="D40" s="112"/>
      <c r="O40" s="106"/>
    </row>
    <row r="41" spans="2:17" x14ac:dyDescent="0.25">
      <c r="B41" s="106"/>
      <c r="D41" s="112" t="s">
        <v>25</v>
      </c>
      <c r="O41" s="106"/>
    </row>
    <row r="42" spans="2:17" ht="3.95" customHeight="1" x14ac:dyDescent="0.25">
      <c r="B42" s="106"/>
      <c r="O42" s="106"/>
    </row>
    <row r="43" spans="2:17" ht="20.100000000000001" customHeight="1" x14ac:dyDescent="0.25">
      <c r="B43" s="106"/>
      <c r="D43" s="387" t="s">
        <v>26</v>
      </c>
      <c r="E43" s="387"/>
      <c r="F43" s="107" t="s">
        <v>2</v>
      </c>
      <c r="O43" s="106"/>
    </row>
    <row r="44" spans="2:17" ht="18" customHeight="1" x14ac:dyDescent="0.25">
      <c r="B44" s="106"/>
      <c r="D44" s="397" t="s">
        <v>27</v>
      </c>
      <c r="E44" s="398"/>
      <c r="F44" s="118" t="s">
        <v>22</v>
      </c>
      <c r="G44" s="401" t="s">
        <v>5</v>
      </c>
      <c r="H44" s="402"/>
      <c r="I44" s="402"/>
      <c r="J44" s="402"/>
      <c r="K44" s="402"/>
      <c r="L44" s="402"/>
      <c r="M44" s="403"/>
      <c r="O44" s="106"/>
    </row>
    <row r="45" spans="2:17" ht="18" customHeight="1" x14ac:dyDescent="0.25">
      <c r="B45" s="106"/>
      <c r="D45" s="399"/>
      <c r="E45" s="400"/>
      <c r="F45" s="107" t="str">
        <f>+IFERROR(VLOOKUP(G45,[1]base!$A$41:$B$45,2,FALSE),"")</f>
        <v>LP5</v>
      </c>
      <c r="G45" s="389" t="str">
        <f>+IFERROR(VLOOKUP($S$12,[1]Hoja1!$B$5:$AT$190,6,FALSE),"")</f>
        <v>Gestión Financiera</v>
      </c>
      <c r="H45" s="390"/>
      <c r="I45" s="390"/>
      <c r="J45" s="390"/>
      <c r="K45" s="390"/>
      <c r="L45" s="390"/>
      <c r="M45" s="391"/>
      <c r="O45" s="106"/>
      <c r="Q45" s="105" t="str">
        <f>+IFERROR(VLOOKUP(G45,[1]base!$A$41:$C$45,3,FALSE),"")</f>
        <v>financiera</v>
      </c>
    </row>
    <row r="46" spans="2:17" ht="18" customHeight="1" x14ac:dyDescent="0.25">
      <c r="B46" s="106"/>
      <c r="D46" s="397" t="s">
        <v>28</v>
      </c>
      <c r="E46" s="398"/>
      <c r="F46" s="118" t="s">
        <v>22</v>
      </c>
      <c r="G46" s="401" t="s">
        <v>5</v>
      </c>
      <c r="H46" s="402"/>
      <c r="I46" s="402"/>
      <c r="J46" s="402"/>
      <c r="K46" s="402"/>
      <c r="L46" s="402"/>
      <c r="M46" s="403"/>
      <c r="O46" s="106"/>
    </row>
    <row r="47" spans="2:17" ht="18" customHeight="1" x14ac:dyDescent="0.25">
      <c r="B47" s="106"/>
      <c r="D47" s="399"/>
      <c r="E47" s="400"/>
      <c r="F47" s="107" t="str">
        <f>+IFERROR(VLOOKUP(G47,[1]base!$A$46:$B$66,2,FALSE),"")</f>
        <v/>
      </c>
      <c r="G47" s="389"/>
      <c r="H47" s="390"/>
      <c r="I47" s="390"/>
      <c r="J47" s="390"/>
      <c r="K47" s="390"/>
      <c r="L47" s="390"/>
      <c r="M47" s="391"/>
      <c r="O47" s="106"/>
      <c r="Q47" s="105" t="e">
        <f>+IF(VLOOKUP(G47,[1]base!$A$46:$C$66,3,FALSE)=F45,1,0)</f>
        <v>#N/A</v>
      </c>
    </row>
    <row r="48" spans="2:17" ht="18" customHeight="1" x14ac:dyDescent="0.25">
      <c r="B48" s="106"/>
      <c r="D48" s="397" t="s">
        <v>29</v>
      </c>
      <c r="E48" s="398"/>
      <c r="F48" s="118" t="s">
        <v>22</v>
      </c>
      <c r="G48" s="401" t="s">
        <v>5</v>
      </c>
      <c r="H48" s="402"/>
      <c r="I48" s="402"/>
      <c r="J48" s="402"/>
      <c r="K48" s="402"/>
      <c r="L48" s="402"/>
      <c r="M48" s="403"/>
      <c r="O48" s="106"/>
    </row>
    <row r="49" spans="2:15" ht="29.25" customHeight="1" x14ac:dyDescent="0.25">
      <c r="B49" s="106"/>
      <c r="D49" s="399"/>
      <c r="E49" s="400"/>
      <c r="F49" s="119" t="str">
        <f>+IFERROR(VLOOKUP(G49,[1]base!$G$37:$H$47,2,FALSE),"")</f>
        <v>C-310-300-2</v>
      </c>
      <c r="G49" s="389" t="s">
        <v>899</v>
      </c>
      <c r="H49" s="390"/>
      <c r="I49" s="390"/>
      <c r="J49" s="390"/>
      <c r="K49" s="390"/>
      <c r="L49" s="390"/>
      <c r="M49" s="391"/>
      <c r="O49" s="106"/>
    </row>
    <row r="50" spans="2:15" ht="3.95" customHeight="1" x14ac:dyDescent="0.25">
      <c r="B50" s="106"/>
      <c r="O50" s="106"/>
    </row>
    <row r="51" spans="2:15" ht="20.100000000000001" customHeight="1" x14ac:dyDescent="0.25">
      <c r="B51" s="106"/>
      <c r="D51" s="387" t="s">
        <v>31</v>
      </c>
      <c r="E51" s="387"/>
      <c r="F51" s="107" t="str">
        <f>+IFERROR(VLOOKUP($S$12,[1]Hoja1!$B$5:$AT$190,26,FALSE),"")</f>
        <v>No</v>
      </c>
      <c r="G51" s="387" t="s">
        <v>32</v>
      </c>
      <c r="H51" s="387"/>
      <c r="I51" s="120" t="str">
        <f>+IFERROR(IF(F51="No","",VLOOKUP($S$12,[1]Hoja1!$B$5:$AT$190,20,FALSE)),"")</f>
        <v/>
      </c>
      <c r="O51" s="106"/>
    </row>
    <row r="52" spans="2:15" ht="3.95" customHeight="1" x14ac:dyDescent="0.25">
      <c r="B52" s="106"/>
      <c r="O52" s="106"/>
    </row>
    <row r="53" spans="2:15" ht="3" customHeight="1" x14ac:dyDescent="0.25">
      <c r="B53" s="106"/>
      <c r="C53" s="106"/>
      <c r="D53" s="106"/>
      <c r="E53" s="106"/>
      <c r="F53" s="106"/>
      <c r="G53" s="106"/>
      <c r="H53" s="106"/>
      <c r="I53" s="106"/>
      <c r="J53" s="106"/>
      <c r="K53" s="106"/>
      <c r="L53" s="106"/>
      <c r="M53" s="106"/>
      <c r="N53" s="106"/>
      <c r="O53" s="106"/>
    </row>
    <row r="54" spans="2:15" ht="3" customHeight="1" x14ac:dyDescent="0.25"/>
    <row r="55" spans="2:15" ht="3.95" customHeight="1" x14ac:dyDescent="0.25">
      <c r="B55" s="106"/>
      <c r="C55" s="106"/>
      <c r="D55" s="106"/>
      <c r="E55" s="106"/>
      <c r="F55" s="106"/>
      <c r="G55" s="106"/>
      <c r="H55" s="106"/>
      <c r="I55" s="106"/>
      <c r="J55" s="106"/>
      <c r="K55" s="106"/>
      <c r="L55" s="106"/>
      <c r="M55" s="106"/>
      <c r="N55" s="106"/>
      <c r="O55" s="106"/>
    </row>
    <row r="56" spans="2:15" ht="3.95" customHeight="1" x14ac:dyDescent="0.25">
      <c r="B56" s="106"/>
      <c r="O56" s="106"/>
    </row>
    <row r="57" spans="2:15" x14ac:dyDescent="0.25">
      <c r="B57" s="106"/>
      <c r="D57" s="112" t="s">
        <v>33</v>
      </c>
      <c r="O57" s="106"/>
    </row>
    <row r="58" spans="2:15" ht="3.95" customHeight="1" x14ac:dyDescent="0.25">
      <c r="B58" s="106"/>
      <c r="O58" s="106"/>
    </row>
    <row r="59" spans="2:15" ht="30" customHeight="1" x14ac:dyDescent="0.25">
      <c r="B59" s="106"/>
      <c r="D59" s="387" t="s">
        <v>34</v>
      </c>
      <c r="E59" s="387"/>
      <c r="F59" s="370" t="str">
        <f>+IF(F60="","",F60&amp;" / "&amp;F61)</f>
        <v>Recursos Comprometidos / Meta Mensual de Compromisos</v>
      </c>
      <c r="G59" s="370"/>
      <c r="H59" s="370"/>
      <c r="I59" s="370"/>
      <c r="J59" s="370"/>
      <c r="K59" s="370"/>
      <c r="L59" s="370"/>
      <c r="M59" s="370"/>
      <c r="O59" s="106"/>
    </row>
    <row r="60" spans="2:15" ht="30" customHeight="1" x14ac:dyDescent="0.25">
      <c r="B60" s="106"/>
      <c r="D60" s="369" t="s">
        <v>35</v>
      </c>
      <c r="E60" s="369"/>
      <c r="F60" s="370" t="str">
        <f>+IFERROR(VLOOKUP($S$12,[1]Hoja1!$B$5:$AT$190,28,FALSE),"")</f>
        <v>Recursos Comprometidos</v>
      </c>
      <c r="G60" s="370"/>
      <c r="H60" s="370"/>
      <c r="I60" s="370"/>
      <c r="J60" s="370"/>
      <c r="K60" s="370"/>
      <c r="L60" s="370"/>
      <c r="M60" s="370"/>
      <c r="O60" s="106"/>
    </row>
    <row r="61" spans="2:15" ht="30" customHeight="1" x14ac:dyDescent="0.25">
      <c r="B61" s="106"/>
      <c r="D61" s="369" t="s">
        <v>36</v>
      </c>
      <c r="E61" s="369"/>
      <c r="F61" s="389" t="str">
        <f>+IFERROR(VLOOKUP($S$12,[1]Hoja1!$B$5:$AT$190,30,FALSE),"")</f>
        <v>Meta Mensual de Compromisos</v>
      </c>
      <c r="G61" s="390"/>
      <c r="H61" s="390"/>
      <c r="I61" s="390"/>
      <c r="J61" s="390"/>
      <c r="K61" s="390"/>
      <c r="L61" s="390"/>
      <c r="M61" s="391"/>
      <c r="O61" s="106"/>
    </row>
    <row r="62" spans="2:15" ht="3.95" customHeight="1" x14ac:dyDescent="0.25">
      <c r="B62" s="106"/>
      <c r="O62" s="106"/>
    </row>
    <row r="63" spans="2:15" ht="3" customHeight="1" x14ac:dyDescent="0.25">
      <c r="B63" s="106"/>
      <c r="C63" s="106"/>
      <c r="D63" s="106"/>
      <c r="E63" s="106"/>
      <c r="F63" s="106"/>
      <c r="G63" s="106"/>
      <c r="H63" s="106"/>
      <c r="I63" s="106"/>
      <c r="J63" s="106"/>
      <c r="K63" s="106"/>
      <c r="L63" s="106"/>
      <c r="M63" s="106"/>
      <c r="N63" s="106"/>
      <c r="O63" s="106"/>
    </row>
    <row r="64" spans="2:15" x14ac:dyDescent="0.25">
      <c r="M64" s="121" t="s">
        <v>37</v>
      </c>
    </row>
    <row r="65" spans="2:45" ht="3" customHeight="1" x14ac:dyDescent="0.25">
      <c r="B65" s="106"/>
      <c r="C65" s="106"/>
      <c r="D65" s="106"/>
      <c r="E65" s="106"/>
      <c r="F65" s="106"/>
      <c r="G65" s="106"/>
      <c r="H65" s="106"/>
      <c r="I65" s="106"/>
      <c r="J65" s="106"/>
      <c r="K65" s="106"/>
      <c r="L65" s="106"/>
      <c r="M65" s="106"/>
      <c r="N65" s="106"/>
      <c r="O65" s="106"/>
    </row>
    <row r="66" spans="2:45" ht="3.95" customHeight="1" x14ac:dyDescent="0.25">
      <c r="B66" s="106"/>
      <c r="O66" s="106"/>
    </row>
    <row r="67" spans="2:45" x14ac:dyDescent="0.25">
      <c r="B67" s="106"/>
      <c r="D67" s="392" t="s">
        <v>38</v>
      </c>
      <c r="E67" s="392"/>
      <c r="O67" s="106"/>
    </row>
    <row r="68" spans="2:45" ht="3.95" customHeight="1" x14ac:dyDescent="0.25">
      <c r="B68" s="106"/>
      <c r="D68" s="112"/>
      <c r="E68" s="112"/>
      <c r="O68" s="106"/>
    </row>
    <row r="69" spans="2:45" ht="18.75" customHeight="1" x14ac:dyDescent="0.25">
      <c r="B69" s="106"/>
      <c r="O69" s="106"/>
      <c r="Q69" s="122" t="s">
        <v>11</v>
      </c>
      <c r="S69" s="105" t="str">
        <f>+IF(F23=0,"",F23)</f>
        <v>Mensual</v>
      </c>
      <c r="U69" s="105">
        <f>+IFERROR(VLOOKUP(S69,[1]base!$H$23:$I$28,2,FALSE),"")</f>
        <v>1</v>
      </c>
    </row>
    <row r="70" spans="2:45" ht="3.95" customHeight="1" x14ac:dyDescent="0.25">
      <c r="B70" s="106"/>
      <c r="D70" s="112"/>
      <c r="E70" s="112"/>
      <c r="O70" s="106"/>
    </row>
    <row r="71" spans="2:45" ht="18.75" customHeight="1" x14ac:dyDescent="0.25">
      <c r="B71" s="106"/>
      <c r="D71" s="393" t="s">
        <v>39</v>
      </c>
      <c r="E71" s="393"/>
      <c r="F71" s="107" t="s">
        <v>47</v>
      </c>
      <c r="G71" s="105">
        <f>+IFERROR(VLOOKUP(F71,$AE$75:$AF$86,2,FALSE),"")</f>
        <v>3</v>
      </c>
      <c r="O71" s="106"/>
      <c r="Q71" s="122" t="s">
        <v>14</v>
      </c>
      <c r="S71" s="105" t="str">
        <f>+IF(F24=0,"",F24)</f>
        <v>Creciente</v>
      </c>
    </row>
    <row r="72" spans="2:45" ht="3.95" customHeight="1" x14ac:dyDescent="0.25">
      <c r="B72" s="106"/>
      <c r="D72" s="112"/>
      <c r="E72" s="112"/>
      <c r="O72" s="106"/>
    </row>
    <row r="73" spans="2:45" x14ac:dyDescent="0.25">
      <c r="B73" s="106"/>
      <c r="D73" s="394" t="s">
        <v>41</v>
      </c>
      <c r="E73" s="394"/>
      <c r="F73" s="395" t="s">
        <v>42</v>
      </c>
      <c r="G73" s="396"/>
      <c r="H73" s="395" t="s">
        <v>43</v>
      </c>
      <c r="I73" s="396"/>
      <c r="J73" s="395" t="s">
        <v>44</v>
      </c>
      <c r="K73" s="396"/>
      <c r="L73" s="395" t="s">
        <v>45</v>
      </c>
      <c r="M73" s="396"/>
      <c r="O73" s="106"/>
      <c r="S73" s="111">
        <f>+IFERROR(VLOOKUP(S74,$AE$75:$AK$86,7,FALSE),"")</f>
        <v>0</v>
      </c>
      <c r="U73" s="111">
        <f>+IFERROR(VLOOKUP(U74,$AE$75:$AK$86,7,FALSE),"")</f>
        <v>0</v>
      </c>
      <c r="W73" s="111">
        <f>+IFERROR(VLOOKUP(W74,$AE$75:$AK$86,7,FALSE),"")</f>
        <v>1</v>
      </c>
      <c r="Y73" s="111">
        <f>+IFERROR(VLOOKUP(Y74,$AE$75:$AK$86,7,FALSE),"")</f>
        <v>1</v>
      </c>
      <c r="AA73" s="111">
        <f>+IFERROR(VLOOKUP(AA74,$AE$75:$AK$86,7,FALSE),"")</f>
        <v>1</v>
      </c>
      <c r="AC73" s="111">
        <f>+IFERROR(VLOOKUP(AC74,$AE$75:$AK$86,7,FALSE),"")</f>
        <v>1</v>
      </c>
      <c r="AL73" s="388" t="s">
        <v>42</v>
      </c>
      <c r="AM73" s="388"/>
      <c r="AN73" s="388" t="s">
        <v>43</v>
      </c>
      <c r="AO73" s="388"/>
      <c r="AP73" s="388" t="s">
        <v>44</v>
      </c>
      <c r="AQ73" s="388"/>
      <c r="AR73" s="388" t="s">
        <v>45</v>
      </c>
      <c r="AS73" s="388"/>
    </row>
    <row r="74" spans="2:45" x14ac:dyDescent="0.25">
      <c r="B74" s="106"/>
      <c r="D74" s="394"/>
      <c r="E74" s="394"/>
      <c r="F74" s="123" t="str">
        <f>+IF($F$24="Decreciente","Max","Min")</f>
        <v>Min</v>
      </c>
      <c r="G74" s="123" t="str">
        <f>+IF($F$24="Decreciente","MIn","Max")</f>
        <v>Max</v>
      </c>
      <c r="H74" s="123" t="str">
        <f>+IF($F$24="Decreciente","Max","Min")</f>
        <v>Min</v>
      </c>
      <c r="I74" s="123" t="str">
        <f>+IF($F$24="Decreciente","MIn","Max")</f>
        <v>Max</v>
      </c>
      <c r="J74" s="123" t="str">
        <f>+IF($F$24="Decreciente","Max","Min")</f>
        <v>Min</v>
      </c>
      <c r="K74" s="123" t="str">
        <f>+IF($F$24="Decreciente","MIn","Max")</f>
        <v>Max</v>
      </c>
      <c r="L74" s="123" t="str">
        <f>+IF($F$24="Decreciente","Max","Min")</f>
        <v>Min</v>
      </c>
      <c r="M74" s="123" t="str">
        <f>+IF($F$24="Decreciente","MIn","Max")</f>
        <v>Max</v>
      </c>
      <c r="O74" s="106"/>
      <c r="S74" s="124" t="s">
        <v>46</v>
      </c>
      <c r="T74" s="124"/>
      <c r="U74" s="124" t="s">
        <v>40</v>
      </c>
      <c r="V74" s="124"/>
      <c r="W74" s="124" t="s">
        <v>47</v>
      </c>
      <c r="X74" s="124"/>
      <c r="Y74" s="124" t="s">
        <v>48</v>
      </c>
      <c r="Z74" s="124"/>
      <c r="AA74" s="124" t="s">
        <v>49</v>
      </c>
      <c r="AB74" s="124"/>
      <c r="AC74" s="124" t="s">
        <v>50</v>
      </c>
      <c r="AL74" s="125" t="s">
        <v>51</v>
      </c>
      <c r="AM74" s="125" t="s">
        <v>52</v>
      </c>
      <c r="AN74" s="125" t="s">
        <v>51</v>
      </c>
      <c r="AO74" s="125" t="s">
        <v>52</v>
      </c>
      <c r="AP74" s="125" t="s">
        <v>51</v>
      </c>
      <c r="AQ74" s="125" t="s">
        <v>52</v>
      </c>
      <c r="AR74" s="125" t="s">
        <v>51</v>
      </c>
      <c r="AS74" s="125" t="s">
        <v>52</v>
      </c>
    </row>
    <row r="75" spans="2:45" x14ac:dyDescent="0.25">
      <c r="B75" s="106"/>
      <c r="D75" s="386" t="s">
        <v>46</v>
      </c>
      <c r="E75" s="386"/>
      <c r="F75" s="126"/>
      <c r="G75" s="126"/>
      <c r="H75" s="126"/>
      <c r="I75" s="126"/>
      <c r="J75" s="126"/>
      <c r="K75" s="126"/>
      <c r="L75" s="126"/>
      <c r="M75" s="126"/>
      <c r="O75" s="106"/>
      <c r="Q75" s="122" t="s">
        <v>1980</v>
      </c>
      <c r="R75" s="111"/>
      <c r="S75" s="127"/>
      <c r="T75" s="111"/>
      <c r="U75" s="127"/>
      <c r="V75" s="111"/>
      <c r="W75" s="127"/>
      <c r="X75" s="111"/>
      <c r="Y75" s="127"/>
      <c r="Z75" s="111"/>
      <c r="AA75" s="127"/>
      <c r="AB75" s="111"/>
      <c r="AC75" s="127"/>
      <c r="AE75" s="105" t="s">
        <v>46</v>
      </c>
      <c r="AF75" s="105">
        <v>1</v>
      </c>
      <c r="AG75" s="105">
        <f>+IF(AF75&gt;=$G$71,1,0)</f>
        <v>0</v>
      </c>
      <c r="AH75" s="105">
        <f>+IF(AG75=0,0,IF(AG75=1,(SUM($AG$75:AG75)-1),1))</f>
        <v>0</v>
      </c>
      <c r="AI75" s="105">
        <f>+IF(AH75=0,0,IF(MOD(AH75,$U$69)=0,1,0))</f>
        <v>0</v>
      </c>
      <c r="AJ75" s="105">
        <f>+IF(AE75=$F$71,1,0)</f>
        <v>0</v>
      </c>
      <c r="AK75" s="105">
        <f>+MAX(AI75:AJ75)</f>
        <v>0</v>
      </c>
      <c r="AL75" s="128" t="str">
        <f>+""</f>
        <v/>
      </c>
      <c r="AM75" s="128" t="str">
        <f>+IF(AK75=0,"",IF(R78="&gt;",S78+0.001,IF(R78="&lt;",S78-0.001,S78)))</f>
        <v/>
      </c>
      <c r="AN75" s="128" t="str">
        <f>+IF(R77="NA","",IF(AK75=0,"",IF(R78="≥",S78-0.001,IF(R78="≤",S78+0.001,S78))))</f>
        <v/>
      </c>
      <c r="AO75" s="128" t="str">
        <f>IF(R77="NA","",IF(AK75=0,"",IF(R77="&gt;",S77+0.001,IF(R77="&lt;",S77-0.001,S77))))</f>
        <v/>
      </c>
      <c r="AP75" s="128" t="str">
        <f>+IF(R76="NA","",IF(AK75=0,"",IF(R77="≥",S77-0.001,IF(R77="≤",S77+0.001,S77))))</f>
        <v/>
      </c>
      <c r="AQ75" s="128" t="str">
        <f>+IF(R76="NA","",IF(AK75=0,"",IF(R76="&gt;",S76+0.001,IF(R76="&lt;",S76-0.001,S76))))</f>
        <v/>
      </c>
      <c r="AR75" s="128" t="str">
        <f>IF(AK75=0,"",IF(R76="≥",S75-0.001,IF(R76="≤",S75+0.001,"")))</f>
        <v/>
      </c>
      <c r="AS75" s="128" t="str">
        <f>+IF(AK75=0,"",IF(R75="=",S75,""))</f>
        <v/>
      </c>
    </row>
    <row r="76" spans="2:45" x14ac:dyDescent="0.25">
      <c r="B76" s="106"/>
      <c r="D76" s="386" t="s">
        <v>40</v>
      </c>
      <c r="E76" s="386"/>
      <c r="F76" s="126"/>
      <c r="G76" s="126"/>
      <c r="H76" s="126"/>
      <c r="I76" s="126"/>
      <c r="J76" s="126"/>
      <c r="K76" s="126"/>
      <c r="L76" s="126"/>
      <c r="M76" s="126"/>
      <c r="O76" s="106"/>
      <c r="Q76" s="122" t="s">
        <v>1981</v>
      </c>
      <c r="R76" s="111"/>
      <c r="S76" s="127"/>
      <c r="T76" s="111"/>
      <c r="U76" s="127"/>
      <c r="V76" s="111"/>
      <c r="W76" s="127"/>
      <c r="X76" s="111"/>
      <c r="Y76" s="127"/>
      <c r="Z76" s="111"/>
      <c r="AA76" s="127"/>
      <c r="AB76" s="111"/>
      <c r="AC76" s="127"/>
      <c r="AE76" s="105" t="s">
        <v>40</v>
      </c>
      <c r="AF76" s="105">
        <v>2</v>
      </c>
      <c r="AG76" s="105">
        <f t="shared" ref="AG76:AG86" si="0">+IF(AF76&gt;=$G$71,1,0)</f>
        <v>0</v>
      </c>
      <c r="AH76" s="105">
        <f>+IF(AG76=0,0,IF(AG76=1,(SUM($AG$75:AG76)-1),1))</f>
        <v>0</v>
      </c>
      <c r="AI76" s="105">
        <f t="shared" ref="AI76:AI86" si="1">+IF(AH76=0,0,IF(MOD(AH76,$U$69)=0,1,0))</f>
        <v>0</v>
      </c>
      <c r="AJ76" s="105">
        <f t="shared" ref="AJ76:AJ86" si="2">+IF(AE76=$F$71,1,0)</f>
        <v>0</v>
      </c>
      <c r="AK76" s="105">
        <f t="shared" ref="AK76:AK86" si="3">+MAX(AI76:AJ76)</f>
        <v>0</v>
      </c>
      <c r="AL76" s="128" t="str">
        <f>+""</f>
        <v/>
      </c>
      <c r="AM76" s="128" t="str">
        <f>+IF(AK76=0,"",IF(T78="&gt;",U78+0.001,IF(T78="&lt;",U78-0.001,U78)))</f>
        <v/>
      </c>
      <c r="AN76" s="128" t="str">
        <f>+IF(T77="NA","",IF(AK76=0,"",IF(T78="≥",U78-0.001,IF(T78="≤",U78+0.001,U78))))</f>
        <v/>
      </c>
      <c r="AO76" s="128" t="str">
        <f>IF(T77="NA","",IF(AK76=0,"",IF(T77="&gt;",U77+0.001,IF(T77="&lt;",U77-0.001,U77))))</f>
        <v/>
      </c>
      <c r="AP76" s="128" t="str">
        <f>+IF(T76="NA","",IF(AK76=0,"",IF(T77="≥",U77-0.001,IF(T77="≤",U77+0.001,U77))))</f>
        <v/>
      </c>
      <c r="AQ76" s="128" t="str">
        <f>+IF(T76="NA","",IF(AK76=0,"",IF(T76="&gt;",U76+0.001,IF(T76="&lt;",U76-0.001,U76))))</f>
        <v/>
      </c>
      <c r="AR76" s="128" t="str">
        <f>IF(AK76=0,"",IF(T76="≥",U75-0.001,IF(T76="≤",U75+0.001,"")))</f>
        <v/>
      </c>
      <c r="AS76" s="128" t="str">
        <f>+IF(AK76=0,"",IF(T75="=",U75,""))</f>
        <v/>
      </c>
    </row>
    <row r="77" spans="2:45" x14ac:dyDescent="0.25">
      <c r="B77" s="106"/>
      <c r="D77" s="386" t="s">
        <v>47</v>
      </c>
      <c r="E77" s="386"/>
      <c r="F77" s="126"/>
      <c r="G77" s="126">
        <v>0.94</v>
      </c>
      <c r="H77" s="126">
        <v>0.94099999999999995</v>
      </c>
      <c r="I77" s="126">
        <v>0.96899999999999997</v>
      </c>
      <c r="J77" s="126">
        <v>0.97</v>
      </c>
      <c r="K77" s="126">
        <v>0.999</v>
      </c>
      <c r="L77" s="126">
        <v>1</v>
      </c>
      <c r="M77" s="126"/>
      <c r="O77" s="106"/>
      <c r="Q77" s="122" t="s">
        <v>1982</v>
      </c>
      <c r="R77" s="111"/>
      <c r="S77" s="127"/>
      <c r="T77" s="111"/>
      <c r="U77" s="127"/>
      <c r="V77" s="111"/>
      <c r="W77" s="127"/>
      <c r="X77" s="111"/>
      <c r="Y77" s="127"/>
      <c r="Z77" s="111"/>
      <c r="AA77" s="127"/>
      <c r="AB77" s="111"/>
      <c r="AC77" s="127"/>
      <c r="AE77" s="105" t="s">
        <v>47</v>
      </c>
      <c r="AF77" s="105">
        <v>3</v>
      </c>
      <c r="AG77" s="105">
        <f t="shared" si="0"/>
        <v>1</v>
      </c>
      <c r="AH77" s="105">
        <f>+IF(AG77=0,0,IF(AG77=1,(SUM($AG$75:AG77)-1),1))</f>
        <v>0</v>
      </c>
      <c r="AI77" s="105">
        <f t="shared" si="1"/>
        <v>0</v>
      </c>
      <c r="AJ77" s="105">
        <f t="shared" si="2"/>
        <v>1</v>
      </c>
      <c r="AK77" s="105">
        <f t="shared" si="3"/>
        <v>1</v>
      </c>
      <c r="AL77" s="128" t="str">
        <f>+""</f>
        <v/>
      </c>
      <c r="AM77" s="128">
        <f>+IF(AK77=0,"",IF(V78="&gt;",W78+0.001,IF(V78="&lt;",W78-0.001,W78)))</f>
        <v>0</v>
      </c>
      <c r="AN77" s="128">
        <f>+IF(V77="NA","",IF(AK77=0,"",IF(V78="≥",W78-0.001,IF(V78="≤",W78+0.001,W78))))</f>
        <v>0</v>
      </c>
      <c r="AO77" s="128">
        <f>IF(V77="NA","",IF(AK77=0,"",IF(V77="&gt;",W77+0.001,IF(V77="&lt;",W77-0.001,W77))))</f>
        <v>0</v>
      </c>
      <c r="AP77" s="128">
        <f>+IF(V76="NA","",IF(AK77=0,"",IF(V77="≥",W77-0.001,IF(V77="≤",W77+0.001,W77))))</f>
        <v>0</v>
      </c>
      <c r="AQ77" s="128">
        <f>+IF(V76="NA","",IF(AK77=0,"",IF(V76="&gt;",W76+0.001,IF(V76="&lt;",W76-0.001,W76))))</f>
        <v>0</v>
      </c>
      <c r="AR77" s="128" t="str">
        <f>IF(AK77=0,"",IF(V76="≥",W75-0.001,IF(V76="≤",W75+0.001,"")))</f>
        <v/>
      </c>
      <c r="AS77" s="128" t="str">
        <f>+IF(AK77=0,"",IF(V75="=",W75,""))</f>
        <v/>
      </c>
    </row>
    <row r="78" spans="2:45" x14ac:dyDescent="0.25">
      <c r="B78" s="106"/>
      <c r="D78" s="386" t="s">
        <v>48</v>
      </c>
      <c r="E78" s="386"/>
      <c r="F78" s="126"/>
      <c r="G78" s="126">
        <v>0.94</v>
      </c>
      <c r="H78" s="126">
        <v>0.94099999999999995</v>
      </c>
      <c r="I78" s="126">
        <v>0.96899999999999997</v>
      </c>
      <c r="J78" s="126">
        <v>0.97</v>
      </c>
      <c r="K78" s="126">
        <v>0.999</v>
      </c>
      <c r="L78" s="126">
        <v>1</v>
      </c>
      <c r="M78" s="126"/>
      <c r="O78" s="106"/>
      <c r="Q78" s="122" t="s">
        <v>1983</v>
      </c>
      <c r="R78" s="111"/>
      <c r="S78" s="127"/>
      <c r="T78" s="111"/>
      <c r="U78" s="127"/>
      <c r="V78" s="111"/>
      <c r="W78" s="127"/>
      <c r="X78" s="111"/>
      <c r="Y78" s="127"/>
      <c r="Z78" s="111"/>
      <c r="AA78" s="127"/>
      <c r="AB78" s="111"/>
      <c r="AC78" s="127"/>
      <c r="AE78" s="105" t="s">
        <v>48</v>
      </c>
      <c r="AF78" s="105">
        <v>4</v>
      </c>
      <c r="AG78" s="105">
        <f t="shared" si="0"/>
        <v>1</v>
      </c>
      <c r="AH78" s="105">
        <f>+IF(AG78=0,0,IF(AG78=1,(SUM($AG$75:AG78)-1),1))</f>
        <v>1</v>
      </c>
      <c r="AI78" s="105">
        <f t="shared" si="1"/>
        <v>1</v>
      </c>
      <c r="AJ78" s="105">
        <f t="shared" si="2"/>
        <v>0</v>
      </c>
      <c r="AK78" s="105">
        <f t="shared" si="3"/>
        <v>1</v>
      </c>
      <c r="AL78" s="128" t="str">
        <f>+""</f>
        <v/>
      </c>
      <c r="AM78" s="128">
        <f>+IF(AK78=0,"",IF(X78="&gt;",Y78+0.001,IF(X78="&lt;",Y78-0.001,Y78)))</f>
        <v>0</v>
      </c>
      <c r="AN78" s="128">
        <f>+IF(X77="NA","",IF(AK78=0,"",IF(X78="≥",Y78-0.001,IF(X78="≤",Y78+0.001,Y78))))</f>
        <v>0</v>
      </c>
      <c r="AO78" s="128">
        <f>IF(X77="NA","",IF(AK78=0,"",IF(X77="&gt;",Y77+0.001,IF(X77="&lt;",Y77-0.001,Y77))))</f>
        <v>0</v>
      </c>
      <c r="AP78" s="128">
        <f>+IF(X76="NA","",IF(AK78=0,"",IF(X77="≥",Y77-0.001,IF(X77="≤",Y77+0.001,Y77))))</f>
        <v>0</v>
      </c>
      <c r="AQ78" s="128">
        <f>+IF(X76="NA","",IF(AK78=0,"",IF(X76="&gt;",Y76+0.001,IF(X76="&lt;",Y76-0.001,Y76))))</f>
        <v>0</v>
      </c>
      <c r="AR78" s="128" t="str">
        <f>IF(AK78=0,"",IF(X76="≥",Y75-0.001,IF(X76="≤",Y75+0.001,"")))</f>
        <v/>
      </c>
      <c r="AS78" s="128" t="str">
        <f>+IF(AK78=0,"",IF(X75="=",Y75,""))</f>
        <v/>
      </c>
    </row>
    <row r="79" spans="2:45" x14ac:dyDescent="0.25">
      <c r="B79" s="106"/>
      <c r="D79" s="386" t="s">
        <v>49</v>
      </c>
      <c r="E79" s="386"/>
      <c r="F79" s="126"/>
      <c r="G79" s="126">
        <v>0.94</v>
      </c>
      <c r="H79" s="126">
        <v>0.94099999999999995</v>
      </c>
      <c r="I79" s="126">
        <v>0.96899999999999997</v>
      </c>
      <c r="J79" s="126">
        <v>0.97</v>
      </c>
      <c r="K79" s="126">
        <v>0.999</v>
      </c>
      <c r="L79" s="126">
        <v>1</v>
      </c>
      <c r="M79" s="126"/>
      <c r="O79" s="106"/>
      <c r="R79" s="111"/>
      <c r="S79" s="111">
        <f>+IFERROR(VLOOKUP(S80,$AE$75:$AK$86,7,FALSE),"")</f>
        <v>1</v>
      </c>
      <c r="U79" s="111">
        <f>+IFERROR(VLOOKUP(U80,$AE$75:$AK$86,7,FALSE),"")</f>
        <v>1</v>
      </c>
      <c r="W79" s="111">
        <f>+IFERROR(VLOOKUP(W80,$AE$75:$AK$86,7,FALSE),"")</f>
        <v>1</v>
      </c>
      <c r="Y79" s="111">
        <f>+IFERROR(VLOOKUP(Y80,$AE$75:$AK$86,7,FALSE),"")</f>
        <v>1</v>
      </c>
      <c r="AA79" s="111">
        <f>+IFERROR(VLOOKUP(AA80,$AE$75:$AK$86,7,FALSE),"")</f>
        <v>1</v>
      </c>
      <c r="AC79" s="111">
        <f>+IFERROR(VLOOKUP(AC80,$AE$75:$AK$86,7,FALSE),"")</f>
        <v>1</v>
      </c>
      <c r="AE79" s="105" t="s">
        <v>49</v>
      </c>
      <c r="AF79" s="105">
        <v>5</v>
      </c>
      <c r="AG79" s="105">
        <f t="shared" si="0"/>
        <v>1</v>
      </c>
      <c r="AH79" s="105">
        <f>+IF(AG79=0,0,IF(AG79=1,(SUM($AG$75:AG79)-1),1))</f>
        <v>2</v>
      </c>
      <c r="AI79" s="105">
        <f t="shared" si="1"/>
        <v>1</v>
      </c>
      <c r="AJ79" s="105">
        <f t="shared" si="2"/>
        <v>0</v>
      </c>
      <c r="AK79" s="105">
        <f t="shared" si="3"/>
        <v>1</v>
      </c>
      <c r="AL79" s="128" t="str">
        <f>+""</f>
        <v/>
      </c>
      <c r="AM79" s="128">
        <f>+IF(AK79=0,"",IF(Z78="&gt;",AA78+0.001,IF(Z78="&lt;",AA78-0.001,AA78)))</f>
        <v>0</v>
      </c>
      <c r="AN79" s="128">
        <f>+IF(Z77="NA","",IF(AK79=0,"",IF(Z78="≥",AA78-0.001,IF(Z78="≤",AA78+0.001,AA78))))</f>
        <v>0</v>
      </c>
      <c r="AO79" s="128">
        <f>IF(Z77="NA","",IF(AK79=0,"",IF(Z77="&gt;",AA77+0.001,IF(Z77="&lt;",AA77-0.001,AA77))))</f>
        <v>0</v>
      </c>
      <c r="AP79" s="128">
        <f>+IF(Z76="NA","",IF(AK79=0,"",IF(Z77="≥",AA77-0.001,IF(Z77="≤",AA77+0.001,AA77))))</f>
        <v>0</v>
      </c>
      <c r="AQ79" s="128">
        <f>+IF(Z76="NA","",IF(AK79=0,"",IF(Z76="&gt;",AA76+0.001,IF(Z76="&lt;",AA76-0.001,AA76))))</f>
        <v>0</v>
      </c>
      <c r="AR79" s="128" t="str">
        <f>IF(AK79=0,"",IF(Z76="≥",AA75-0.001,IF(Z76="≤",AA75+0.001,"")))</f>
        <v/>
      </c>
      <c r="AS79" s="128" t="str">
        <f>+IF(AK79=0,"",IF(Z75="=",AA75,""))</f>
        <v/>
      </c>
    </row>
    <row r="80" spans="2:45" x14ac:dyDescent="0.25">
      <c r="B80" s="106"/>
      <c r="D80" s="386" t="s">
        <v>50</v>
      </c>
      <c r="E80" s="386"/>
      <c r="F80" s="126"/>
      <c r="G80" s="126">
        <v>0.94</v>
      </c>
      <c r="H80" s="126">
        <v>0.94099999999999995</v>
      </c>
      <c r="I80" s="126">
        <v>0.96899999999999997</v>
      </c>
      <c r="J80" s="126">
        <v>0.97</v>
      </c>
      <c r="K80" s="126">
        <v>0.999</v>
      </c>
      <c r="L80" s="126">
        <v>1</v>
      </c>
      <c r="M80" s="126"/>
      <c r="O80" s="106"/>
      <c r="R80" s="111"/>
      <c r="S80" s="124" t="s">
        <v>53</v>
      </c>
      <c r="T80" s="124"/>
      <c r="U80" s="124" t="s">
        <v>54</v>
      </c>
      <c r="V80" s="124"/>
      <c r="W80" s="124" t="s">
        <v>55</v>
      </c>
      <c r="X80" s="124"/>
      <c r="Y80" s="124" t="s">
        <v>56</v>
      </c>
      <c r="Z80" s="124"/>
      <c r="AA80" s="124" t="s">
        <v>57</v>
      </c>
      <c r="AB80" s="124"/>
      <c r="AC80" s="124" t="s">
        <v>58</v>
      </c>
      <c r="AE80" s="105" t="s">
        <v>50</v>
      </c>
      <c r="AF80" s="105">
        <v>6</v>
      </c>
      <c r="AG80" s="105">
        <f t="shared" si="0"/>
        <v>1</v>
      </c>
      <c r="AH80" s="105">
        <f>+IF(AG80=0,0,IF(AG80=1,(SUM($AG$75:AG80)-1),1))</f>
        <v>3</v>
      </c>
      <c r="AI80" s="105">
        <f t="shared" si="1"/>
        <v>1</v>
      </c>
      <c r="AJ80" s="105">
        <f t="shared" si="2"/>
        <v>0</v>
      </c>
      <c r="AK80" s="105">
        <f t="shared" si="3"/>
        <v>1</v>
      </c>
      <c r="AL80" s="128" t="str">
        <f>+""</f>
        <v/>
      </c>
      <c r="AM80" s="128">
        <f>+IF(AK80=0,"",IF(AB78="&gt;",AC78+0.001,IF(AB78="&lt;",AC78-0.001,AC78)))</f>
        <v>0</v>
      </c>
      <c r="AN80" s="128">
        <f>+IF(AB77="NA","",IF(AK80=0,"",IF(AB78="≥",AC78-0.001,IF(AB78="≤",AC78+0.001,AC78))))</f>
        <v>0</v>
      </c>
      <c r="AO80" s="128">
        <f>IF(AB77="NA","",IF(AK80=0,"",IF(AB77="&gt;",AC77+0.001,IF(AB77="&lt;",AC77-0.001,AC77))))</f>
        <v>0</v>
      </c>
      <c r="AP80" s="128">
        <f>+IF(AB76="NA","",IF(AK80=0,"",IF(AB77="≥",AC77-0.001,IF(AB77="≤",AC77+0.001,AC77))))</f>
        <v>0</v>
      </c>
      <c r="AQ80" s="128">
        <f>+IF(AB76="NA","",IF(AK80=0,"",IF(AB76="&gt;",AC76+0.001,IF(AB76="&lt;",AC76-0.001,AC76))))</f>
        <v>0</v>
      </c>
      <c r="AR80" s="128" t="str">
        <f>IF(AK80=0,"",IF(AB76="≥",AC75-0.001,IF(AB76="≤",AC75+0.001,"")))</f>
        <v/>
      </c>
      <c r="AS80" s="128" t="str">
        <f>+IF(AK80=0,"",IF(AB75="=",AC75,""))</f>
        <v/>
      </c>
    </row>
    <row r="81" spans="2:45" x14ac:dyDescent="0.25">
      <c r="B81" s="106"/>
      <c r="D81" s="386" t="s">
        <v>53</v>
      </c>
      <c r="E81" s="386"/>
      <c r="F81" s="126"/>
      <c r="G81" s="126">
        <v>0.94</v>
      </c>
      <c r="H81" s="126">
        <v>0.94099999999999995</v>
      </c>
      <c r="I81" s="126">
        <v>0.96899999999999997</v>
      </c>
      <c r="J81" s="126">
        <v>0.97</v>
      </c>
      <c r="K81" s="126">
        <v>0.999</v>
      </c>
      <c r="L81" s="126">
        <v>1</v>
      </c>
      <c r="M81" s="126"/>
      <c r="O81" s="106"/>
      <c r="Q81" s="122" t="s">
        <v>1980</v>
      </c>
      <c r="R81" s="111"/>
      <c r="S81" s="127"/>
      <c r="T81" s="111"/>
      <c r="U81" s="127"/>
      <c r="V81" s="111"/>
      <c r="W81" s="127"/>
      <c r="X81" s="111"/>
      <c r="Y81" s="127"/>
      <c r="Z81" s="111"/>
      <c r="AA81" s="127"/>
      <c r="AB81" s="111"/>
      <c r="AC81" s="127"/>
      <c r="AE81" s="105" t="s">
        <v>53</v>
      </c>
      <c r="AF81" s="105">
        <v>7</v>
      </c>
      <c r="AG81" s="105">
        <f t="shared" si="0"/>
        <v>1</v>
      </c>
      <c r="AH81" s="105">
        <f>+IF(AG81=0,0,IF(AG81=1,(SUM($AG$75:AG81)-1),1))</f>
        <v>4</v>
      </c>
      <c r="AI81" s="105">
        <f t="shared" si="1"/>
        <v>1</v>
      </c>
      <c r="AJ81" s="105">
        <f t="shared" si="2"/>
        <v>0</v>
      </c>
      <c r="AK81" s="105">
        <f t="shared" si="3"/>
        <v>1</v>
      </c>
      <c r="AL81" s="128" t="str">
        <f>+""</f>
        <v/>
      </c>
      <c r="AM81" s="128">
        <f>+IF(AK81=0,"",IF(R84="&gt;",S84+0.001,IF(R84="&lt;",S84-0.001,S84)))</f>
        <v>0</v>
      </c>
      <c r="AN81" s="128">
        <f>+IF(R83="NA","",IF(AK81=0,"",IF(R84="≥",S84-0.001,IF(R84="≤",S84+0.001,S84))))</f>
        <v>0</v>
      </c>
      <c r="AO81" s="128">
        <f>IF(R83="NA","",IF(AK81=0,"",IF(R83="&gt;",S83+0.001,IF(R83="&lt;",S83-0.001,S83))))</f>
        <v>0</v>
      </c>
      <c r="AP81" s="128">
        <f>+IF(R82="NA","",IF(AK81=0,"",IF(R83="≥",S83-0.001,IF(R83="≤",S83+0.001,S83))))</f>
        <v>0</v>
      </c>
      <c r="AQ81" s="128">
        <f>+IF(R82="NA","",IF(AK81=0,"",IF(R82="&gt;",S82+0.001,IF(R82="&lt;",S82-0.001,S82))))</f>
        <v>0</v>
      </c>
      <c r="AR81" s="128" t="str">
        <f>IF(AK81=0,"",IF(R82="≥",S81-0.001,IF(R82="≤",S81+0.001,"")))</f>
        <v/>
      </c>
      <c r="AS81" s="128" t="str">
        <f>+IF(AK81=0,"",IF(R81="=",S81,""))</f>
        <v/>
      </c>
    </row>
    <row r="82" spans="2:45" x14ac:dyDescent="0.25">
      <c r="B82" s="106"/>
      <c r="D82" s="386" t="s">
        <v>54</v>
      </c>
      <c r="E82" s="386"/>
      <c r="F82" s="126"/>
      <c r="G82" s="126">
        <v>0.94</v>
      </c>
      <c r="H82" s="126">
        <v>0.94099999999999995</v>
      </c>
      <c r="I82" s="126">
        <v>0.96899999999999997</v>
      </c>
      <c r="J82" s="126">
        <v>0.97</v>
      </c>
      <c r="K82" s="126">
        <v>0.999</v>
      </c>
      <c r="L82" s="126">
        <v>1</v>
      </c>
      <c r="M82" s="126"/>
      <c r="O82" s="106"/>
      <c r="Q82" s="122" t="s">
        <v>1981</v>
      </c>
      <c r="R82" s="111"/>
      <c r="S82" s="127"/>
      <c r="T82" s="111"/>
      <c r="U82" s="127"/>
      <c r="V82" s="111"/>
      <c r="W82" s="127"/>
      <c r="X82" s="111"/>
      <c r="Y82" s="127"/>
      <c r="Z82" s="111"/>
      <c r="AA82" s="127"/>
      <c r="AB82" s="111"/>
      <c r="AC82" s="127"/>
      <c r="AE82" s="105" t="s">
        <v>54</v>
      </c>
      <c r="AF82" s="105">
        <v>8</v>
      </c>
      <c r="AG82" s="105">
        <f t="shared" si="0"/>
        <v>1</v>
      </c>
      <c r="AH82" s="105">
        <f>+IF(AG82=0,0,IF(AG82=1,(SUM($AG$75:AG82)-1),1))</f>
        <v>5</v>
      </c>
      <c r="AI82" s="105">
        <f t="shared" si="1"/>
        <v>1</v>
      </c>
      <c r="AJ82" s="105">
        <f t="shared" si="2"/>
        <v>0</v>
      </c>
      <c r="AK82" s="105">
        <f t="shared" si="3"/>
        <v>1</v>
      </c>
      <c r="AL82" s="128" t="str">
        <f>+""</f>
        <v/>
      </c>
      <c r="AM82" s="128">
        <f>+IF(AK82=0,"",IF(T84="&gt;",U84+0.001,IF(T84="&lt;",U84-0.001,U84)))</f>
        <v>0</v>
      </c>
      <c r="AN82" s="128">
        <f>+IF(T83="NA","",IF(AK82=0,"",IF(T84="≥",U84-0.001,IF(T84="≤",U84+0.001,U84))))</f>
        <v>0</v>
      </c>
      <c r="AO82" s="128">
        <f>IF(T83="NA","",IF(AK82=0,"",IF(T83="&gt;",U83+0.001,IF(T83="&lt;",U83-0.001,U83))))</f>
        <v>0</v>
      </c>
      <c r="AP82" s="128">
        <f>+IF(T82="NA","",IF(AK82=0,"",IF(T83="≥",U83-0.001,IF(T83="≤",U83+0.001,U83))))</f>
        <v>0</v>
      </c>
      <c r="AQ82" s="128">
        <f>+IF(T82="NA","",IF(AK82=0,"",IF(T82="&gt;",U82+0.001,IF(T82="&lt;",U82-0.001,U82))))</f>
        <v>0</v>
      </c>
      <c r="AR82" s="128" t="str">
        <f>IF(AK82=0,"",IF(T82="≥",U81-0.001,IF(T82="≤",U81+0.001,"")))</f>
        <v/>
      </c>
      <c r="AS82" s="128" t="str">
        <f>+IF(AK82=0,"",IF(T81="=",U81,""))</f>
        <v/>
      </c>
    </row>
    <row r="83" spans="2:45" x14ac:dyDescent="0.25">
      <c r="B83" s="106"/>
      <c r="D83" s="386" t="s">
        <v>55</v>
      </c>
      <c r="E83" s="386"/>
      <c r="F83" s="126"/>
      <c r="G83" s="126">
        <v>0.94</v>
      </c>
      <c r="H83" s="126">
        <v>0.94099999999999995</v>
      </c>
      <c r="I83" s="126">
        <v>0.96899999999999997</v>
      </c>
      <c r="J83" s="126">
        <v>0.97</v>
      </c>
      <c r="K83" s="126">
        <v>0.999</v>
      </c>
      <c r="L83" s="126">
        <v>1</v>
      </c>
      <c r="M83" s="126"/>
      <c r="O83" s="106"/>
      <c r="Q83" s="122" t="s">
        <v>1982</v>
      </c>
      <c r="R83" s="111"/>
      <c r="S83" s="127"/>
      <c r="T83" s="111"/>
      <c r="U83" s="127"/>
      <c r="V83" s="111"/>
      <c r="W83" s="127"/>
      <c r="X83" s="111"/>
      <c r="Y83" s="127"/>
      <c r="Z83" s="111"/>
      <c r="AA83" s="127"/>
      <c r="AB83" s="111"/>
      <c r="AC83" s="127"/>
      <c r="AE83" s="105" t="s">
        <v>55</v>
      </c>
      <c r="AF83" s="105">
        <v>9</v>
      </c>
      <c r="AG83" s="105">
        <f t="shared" si="0"/>
        <v>1</v>
      </c>
      <c r="AH83" s="105">
        <f>+IF(AG83=0,0,IF(AG83=1,(SUM($AG$75:AG83)-1),1))</f>
        <v>6</v>
      </c>
      <c r="AI83" s="105">
        <f t="shared" si="1"/>
        <v>1</v>
      </c>
      <c r="AJ83" s="105">
        <f t="shared" si="2"/>
        <v>0</v>
      </c>
      <c r="AK83" s="105">
        <f t="shared" si="3"/>
        <v>1</v>
      </c>
      <c r="AL83" s="128" t="str">
        <f>+""</f>
        <v/>
      </c>
      <c r="AM83" s="128">
        <f>+IF(AK83=0,"",IF(V84="&gt;",W84+0.001,IF(V84="&lt;",W84-0.001,W84)))</f>
        <v>0</v>
      </c>
      <c r="AN83" s="128">
        <f>+IF(V83="NA","",IF(AK83=0,"",IF(V84="≥",W84-0.001,IF(V84="≤",W84+0.001,W84))))</f>
        <v>0</v>
      </c>
      <c r="AO83" s="128">
        <f>IF(V83="NA","",IF(AK83=0,"",IF(V83="&gt;",W83+0.001,IF(V83="&lt;",W83-0.001,W83))))</f>
        <v>0</v>
      </c>
      <c r="AP83" s="128">
        <f>+IF(V82="NA","",IF(AK83=0,"",IF(V83="≥",W83-0.001,IF(V83="≤",W83+0.001,W83))))</f>
        <v>0</v>
      </c>
      <c r="AQ83" s="128">
        <f>+IF(V82="NA","",IF(AK83=0,"",IF(V82="&gt;",W82+0.001,IF(V82="&lt;",W82-0.001,W82))))</f>
        <v>0</v>
      </c>
      <c r="AR83" s="128" t="str">
        <f>IF(AK83=0,"",IF(V82="≥",W81-0.001,IF(V82="≤",W81+0.001,"")))</f>
        <v/>
      </c>
      <c r="AS83" s="128" t="str">
        <f>+IF(AK83=0,"",IF(V81="=",W81,""))</f>
        <v/>
      </c>
    </row>
    <row r="84" spans="2:45" x14ac:dyDescent="0.25">
      <c r="B84" s="106"/>
      <c r="D84" s="386" t="s">
        <v>56</v>
      </c>
      <c r="E84" s="386"/>
      <c r="F84" s="126"/>
      <c r="G84" s="126">
        <v>0.94</v>
      </c>
      <c r="H84" s="126">
        <v>0.94099999999999995</v>
      </c>
      <c r="I84" s="126">
        <v>0.96899999999999997</v>
      </c>
      <c r="J84" s="126">
        <v>0.97</v>
      </c>
      <c r="K84" s="126">
        <v>0.999</v>
      </c>
      <c r="L84" s="126">
        <v>1</v>
      </c>
      <c r="M84" s="126"/>
      <c r="O84" s="106"/>
      <c r="Q84" s="122" t="s">
        <v>1983</v>
      </c>
      <c r="R84" s="111"/>
      <c r="S84" s="127"/>
      <c r="T84" s="111"/>
      <c r="U84" s="127"/>
      <c r="V84" s="111"/>
      <c r="W84" s="127"/>
      <c r="X84" s="111"/>
      <c r="Y84" s="127"/>
      <c r="Z84" s="111"/>
      <c r="AA84" s="127"/>
      <c r="AB84" s="111"/>
      <c r="AC84" s="127"/>
      <c r="AE84" s="105" t="s">
        <v>56</v>
      </c>
      <c r="AF84" s="105">
        <v>10</v>
      </c>
      <c r="AG84" s="105">
        <f t="shared" si="0"/>
        <v>1</v>
      </c>
      <c r="AH84" s="105">
        <f>+IF(AG84=0,0,IF(AG84=1,(SUM($AG$75:AG84)-1),1))</f>
        <v>7</v>
      </c>
      <c r="AI84" s="105">
        <f t="shared" si="1"/>
        <v>1</v>
      </c>
      <c r="AJ84" s="105">
        <f t="shared" si="2"/>
        <v>0</v>
      </c>
      <c r="AK84" s="105">
        <f t="shared" si="3"/>
        <v>1</v>
      </c>
      <c r="AL84" s="128" t="str">
        <f>+""</f>
        <v/>
      </c>
      <c r="AM84" s="128">
        <f>+IF(AK84=0,"",IF(X84="&gt;",Y84+0.001,IF(X84="&lt;",Y84-0.001,Y84)))</f>
        <v>0</v>
      </c>
      <c r="AN84" s="128">
        <f>+IF(X83="NA","",IF(AK84=0,"",IF(X84="≥",Y84-0.001,IF(X84="≤",Y84+0.001,Y84))))</f>
        <v>0</v>
      </c>
      <c r="AO84" s="128">
        <f>IF(X83="NA","",IF(AK84=0,"",IF(X83="&gt;",Y83+0.001,IF(X83="&lt;",Y83-0.001,Y83))))</f>
        <v>0</v>
      </c>
      <c r="AP84" s="128">
        <f>+IF(X82="NA","",IF(AK84=0,"",IF(X83="≥",Y83-0.001,IF(X83="≤",Y83+0.001,Y83))))</f>
        <v>0</v>
      </c>
      <c r="AQ84" s="128">
        <f>+IF(X82="NA","",IF(AK84=0,"",IF(X82="&gt;",Y82+0.001,IF(X82="&lt;",Y82-0.001,Y82))))</f>
        <v>0</v>
      </c>
      <c r="AR84" s="128" t="str">
        <f>IF(AK84=0,"",IF(X82="≥",Y81-0.001,IF(X82="≤",Y81+0.001,"")))</f>
        <v/>
      </c>
      <c r="AS84" s="128" t="str">
        <f>+IF(AK84=0,"",IF(X81="=",Y81,""))</f>
        <v/>
      </c>
    </row>
    <row r="85" spans="2:45" x14ac:dyDescent="0.25">
      <c r="B85" s="106"/>
      <c r="D85" s="386" t="s">
        <v>57</v>
      </c>
      <c r="E85" s="386"/>
      <c r="F85" s="126"/>
      <c r="G85" s="126">
        <v>0.94</v>
      </c>
      <c r="H85" s="126">
        <v>0.94099999999999995</v>
      </c>
      <c r="I85" s="126">
        <v>0.96899999999999997</v>
      </c>
      <c r="J85" s="126">
        <v>0.97</v>
      </c>
      <c r="K85" s="126">
        <v>0.999</v>
      </c>
      <c r="L85" s="126">
        <v>1</v>
      </c>
      <c r="M85" s="126"/>
      <c r="O85" s="106"/>
      <c r="AE85" s="105" t="s">
        <v>57</v>
      </c>
      <c r="AF85" s="105">
        <v>11</v>
      </c>
      <c r="AG85" s="105">
        <f t="shared" si="0"/>
        <v>1</v>
      </c>
      <c r="AH85" s="105">
        <f>+IF(AG85=0,0,IF(AG85=1,(SUM($AG$75:AG85)-1),1))</f>
        <v>8</v>
      </c>
      <c r="AI85" s="105">
        <f t="shared" si="1"/>
        <v>1</v>
      </c>
      <c r="AJ85" s="105">
        <f t="shared" si="2"/>
        <v>0</v>
      </c>
      <c r="AK85" s="105">
        <f t="shared" si="3"/>
        <v>1</v>
      </c>
      <c r="AL85" s="128" t="str">
        <f>+""</f>
        <v/>
      </c>
      <c r="AM85" s="128">
        <f>+IF(AK85=0,"",IF(Z84="&gt;",AA84+0.001,IF(Z84="&lt;",AA84-0.001,AA84)))</f>
        <v>0</v>
      </c>
      <c r="AN85" s="128">
        <f>+IF(Z83="NA","",IF(AK85=0,"",IF(Z84="≥",AA84-0.001,IF(Z84="≤",AA84+0.001,AA84))))</f>
        <v>0</v>
      </c>
      <c r="AO85" s="128">
        <f>IF(Z83="NA","",IF(AK85=0,"",IF(Z83="&gt;",AA83+0.001,IF(Z83="&lt;",AA83-0.001,AA83))))</f>
        <v>0</v>
      </c>
      <c r="AP85" s="128">
        <f>+IF(Z82="NA","",IF(AK85=0,"",IF(Z83="≥",AA83-0.001,IF(Z83="≤",AA83+0.001,AA83))))</f>
        <v>0</v>
      </c>
      <c r="AQ85" s="128">
        <f>+IF(Z82="NA","",IF(AK85=0,"",IF(Z82="&gt;",AA82+0.001,IF(Z82="&lt;",AA82-0.001,AA82))))</f>
        <v>0</v>
      </c>
      <c r="AR85" s="128" t="str">
        <f>IF(AK85=0,"",IF(Z82="≥",AA81-0.001,IF(Z82="≤",AA81+0.001,"")))</f>
        <v/>
      </c>
      <c r="AS85" s="128" t="str">
        <f>+IF(AK85=0,"",IF(Z81="=",AA81,""))</f>
        <v/>
      </c>
    </row>
    <row r="86" spans="2:45" x14ac:dyDescent="0.25">
      <c r="B86" s="106"/>
      <c r="D86" s="386" t="s">
        <v>58</v>
      </c>
      <c r="E86" s="386"/>
      <c r="F86" s="126"/>
      <c r="G86" s="126">
        <v>0.94</v>
      </c>
      <c r="H86" s="126">
        <v>0.94099999999999995</v>
      </c>
      <c r="I86" s="126">
        <v>0.96899999999999997</v>
      </c>
      <c r="J86" s="126">
        <v>0.97</v>
      </c>
      <c r="K86" s="126">
        <v>0.999</v>
      </c>
      <c r="L86" s="126">
        <v>1</v>
      </c>
      <c r="M86" s="126"/>
      <c r="O86" s="106"/>
      <c r="AE86" s="105" t="s">
        <v>58</v>
      </c>
      <c r="AF86" s="129">
        <v>12</v>
      </c>
      <c r="AG86" s="105">
        <f t="shared" si="0"/>
        <v>1</v>
      </c>
      <c r="AH86" s="105">
        <f>+IF(AG86=0,0,IF(AG86=1,(SUM($AG$75:AG86)-1),1))</f>
        <v>9</v>
      </c>
      <c r="AI86" s="105">
        <f t="shared" si="1"/>
        <v>1</v>
      </c>
      <c r="AJ86" s="105">
        <f t="shared" si="2"/>
        <v>0</v>
      </c>
      <c r="AK86" s="105">
        <f t="shared" si="3"/>
        <v>1</v>
      </c>
      <c r="AL86" s="128" t="str">
        <f>+""</f>
        <v/>
      </c>
      <c r="AM86" s="128">
        <f>+IF(AK86=0,"",IF(AB84="&gt;",AC84+0.001,IF(AB84="&lt;",AC84-0.001,AC84)))</f>
        <v>0</v>
      </c>
      <c r="AN86" s="128">
        <f>+IF(AB83="NA","",IF(AK86=0,"",IF(AB84="≥",AC84-0.001,IF(AB84="≤",AC84+0.001,AC84))))</f>
        <v>0</v>
      </c>
      <c r="AO86" s="128">
        <f>IF(AB83="NA","",IF(AK86=0,"",IF(AB83="&gt;",AC83+0.001,IF(AB83="&lt;",AC83-0.001,AC83))))</f>
        <v>0</v>
      </c>
      <c r="AP86" s="128">
        <f>+IF(AB82="NA","",IF(AK86=0,"",IF(AB83="≥",AC83-0.001,IF(AB83="≤",AC83+0.001,AC83))))</f>
        <v>0</v>
      </c>
      <c r="AQ86" s="128">
        <f>+IF(AB82="NA","",IF(AK86=0,"",IF(AB82="&gt;",AC82+0.001,IF(AB82="&lt;",AC82-0.001,AC82))))</f>
        <v>0</v>
      </c>
      <c r="AR86" s="128" t="str">
        <f>IF(AK86=0,"",IF(AB82="≥",AC81-0.001,IF(AB82="≤",AC81+0.001,"")))</f>
        <v/>
      </c>
      <c r="AS86" s="128" t="str">
        <f>+IF(AK86=0,"",IF(AB81="=",AC81,""))</f>
        <v/>
      </c>
    </row>
    <row r="87" spans="2:45" ht="3.75" customHeight="1" x14ac:dyDescent="0.25">
      <c r="B87" s="106"/>
      <c r="O87" s="106"/>
      <c r="AR87" s="128" t="str">
        <f>IF(AK87=0,"",IF(S83="Creciente",IF(R88="≥",S88-0.001,""),IF(R88="≤",S88+0.001,"")))</f>
        <v/>
      </c>
    </row>
    <row r="88" spans="2:45" ht="66" customHeight="1" x14ac:dyDescent="0.25">
      <c r="B88" s="106"/>
      <c r="D88" s="378" t="s">
        <v>59</v>
      </c>
      <c r="E88" s="379"/>
      <c r="F88" s="380" t="s">
        <v>2079</v>
      </c>
      <c r="G88" s="381"/>
      <c r="H88" s="381"/>
      <c r="I88" s="381"/>
      <c r="J88" s="381"/>
      <c r="K88" s="381"/>
      <c r="L88" s="381"/>
      <c r="M88" s="382"/>
      <c r="O88" s="106"/>
    </row>
    <row r="89" spans="2:45" ht="3.95" customHeight="1" x14ac:dyDescent="0.25">
      <c r="B89" s="106"/>
      <c r="O89" s="106"/>
    </row>
    <row r="90" spans="2:45" ht="3" customHeight="1" x14ac:dyDescent="0.25">
      <c r="B90" s="106"/>
      <c r="C90" s="106"/>
      <c r="D90" s="106"/>
      <c r="E90" s="106"/>
      <c r="F90" s="106"/>
      <c r="G90" s="106"/>
      <c r="H90" s="106"/>
      <c r="I90" s="106"/>
      <c r="J90" s="106"/>
      <c r="K90" s="106"/>
      <c r="L90" s="106"/>
      <c r="M90" s="106"/>
      <c r="N90" s="106"/>
      <c r="O90" s="106"/>
    </row>
    <row r="91" spans="2:45" ht="3" customHeight="1" x14ac:dyDescent="0.25"/>
    <row r="92" spans="2:45" ht="3" customHeight="1" x14ac:dyDescent="0.25">
      <c r="B92" s="106"/>
      <c r="C92" s="106"/>
      <c r="D92" s="106"/>
      <c r="E92" s="106"/>
      <c r="F92" s="106"/>
      <c r="G92" s="106"/>
      <c r="H92" s="106"/>
      <c r="I92" s="106"/>
      <c r="J92" s="106"/>
      <c r="K92" s="106"/>
      <c r="L92" s="106"/>
      <c r="M92" s="106"/>
      <c r="N92" s="106"/>
      <c r="O92" s="106"/>
    </row>
    <row r="93" spans="2:45" ht="3.95" customHeight="1" x14ac:dyDescent="0.25">
      <c r="B93" s="106"/>
      <c r="O93" s="106"/>
    </row>
    <row r="94" spans="2:45" x14ac:dyDescent="0.25">
      <c r="B94" s="106"/>
      <c r="D94" s="112" t="s">
        <v>60</v>
      </c>
      <c r="O94" s="106"/>
    </row>
    <row r="95" spans="2:45" ht="3.95" customHeight="1" x14ac:dyDescent="0.25">
      <c r="B95" s="106"/>
      <c r="O95" s="106"/>
    </row>
    <row r="96" spans="2:45" ht="20.100000000000001" customHeight="1" x14ac:dyDescent="0.25">
      <c r="B96" s="106"/>
      <c r="D96" s="387" t="s">
        <v>61</v>
      </c>
      <c r="E96" s="387"/>
      <c r="O96" s="106"/>
    </row>
    <row r="97" spans="2:15" ht="30" customHeight="1" x14ac:dyDescent="0.25">
      <c r="B97" s="106"/>
      <c r="D97" s="369" t="s">
        <v>35</v>
      </c>
      <c r="E97" s="369"/>
      <c r="F97" s="370" t="str">
        <f>+IFERROR(VLOOKUP($S$12,[1]Hoja1!$B$5:$AT$190,29,FALSE),"")</f>
        <v>Reportes de Ejecucion Presupuestal SIIF</v>
      </c>
      <c r="G97" s="370"/>
      <c r="H97" s="370"/>
      <c r="I97" s="370"/>
      <c r="J97" s="370"/>
      <c r="K97" s="370"/>
      <c r="L97" s="370"/>
      <c r="M97" s="370"/>
      <c r="O97" s="106"/>
    </row>
    <row r="98" spans="2:15" ht="30" customHeight="1" x14ac:dyDescent="0.25">
      <c r="B98" s="106"/>
      <c r="D98" s="369" t="s">
        <v>36</v>
      </c>
      <c r="E98" s="369"/>
      <c r="F98" s="370" t="s">
        <v>1984</v>
      </c>
      <c r="G98" s="370"/>
      <c r="H98" s="370"/>
      <c r="I98" s="370"/>
      <c r="J98" s="370"/>
      <c r="K98" s="370"/>
      <c r="L98" s="370"/>
      <c r="M98" s="370"/>
      <c r="O98" s="106"/>
    </row>
    <row r="99" spans="2:15" ht="3.95" customHeight="1" x14ac:dyDescent="0.25">
      <c r="B99" s="106"/>
      <c r="O99" s="106"/>
    </row>
    <row r="100" spans="2:15" ht="58.5" customHeight="1" x14ac:dyDescent="0.25">
      <c r="B100" s="106"/>
      <c r="D100" s="378" t="s">
        <v>62</v>
      </c>
      <c r="E100" s="379"/>
      <c r="F100" s="383"/>
      <c r="G100" s="384"/>
      <c r="H100" s="384"/>
      <c r="I100" s="384"/>
      <c r="J100" s="384"/>
      <c r="K100" s="384"/>
      <c r="L100" s="384"/>
      <c r="M100" s="385"/>
      <c r="O100" s="106"/>
    </row>
    <row r="101" spans="2:15" ht="3.95" customHeight="1" x14ac:dyDescent="0.25">
      <c r="B101" s="106"/>
      <c r="O101" s="106"/>
    </row>
    <row r="102" spans="2:15" ht="19.5" customHeight="1" x14ac:dyDescent="0.25">
      <c r="B102" s="106"/>
      <c r="D102" s="371" t="s">
        <v>64</v>
      </c>
      <c r="E102" s="372"/>
      <c r="F102" s="130" t="s">
        <v>65</v>
      </c>
      <c r="G102" s="107" t="s">
        <v>2</v>
      </c>
      <c r="K102" s="131"/>
      <c r="O102" s="106"/>
    </row>
    <row r="103" spans="2:15" ht="19.5" customHeight="1" x14ac:dyDescent="0.25">
      <c r="B103" s="106"/>
      <c r="D103" s="373"/>
      <c r="E103" s="374"/>
      <c r="F103" s="130" t="s">
        <v>66</v>
      </c>
      <c r="G103" s="132"/>
      <c r="K103" s="133"/>
      <c r="O103" s="106"/>
    </row>
    <row r="104" spans="2:15" ht="27.75" customHeight="1" x14ac:dyDescent="0.25">
      <c r="B104" s="106"/>
      <c r="D104" s="373"/>
      <c r="E104" s="374"/>
      <c r="F104" s="130" t="s">
        <v>67</v>
      </c>
      <c r="G104" s="375"/>
      <c r="H104" s="376"/>
      <c r="I104" s="376"/>
      <c r="J104" s="376"/>
      <c r="K104" s="376"/>
      <c r="L104" s="376"/>
      <c r="M104" s="377"/>
      <c r="O104" s="106"/>
    </row>
    <row r="105" spans="2:15" ht="3.95" customHeight="1" x14ac:dyDescent="0.25">
      <c r="B105" s="106"/>
      <c r="O105" s="106"/>
    </row>
    <row r="106" spans="2:15" ht="229.5" customHeight="1" x14ac:dyDescent="0.25">
      <c r="B106" s="106"/>
      <c r="D106" s="378" t="s">
        <v>68</v>
      </c>
      <c r="E106" s="379"/>
      <c r="F106" s="380" t="s">
        <v>102</v>
      </c>
      <c r="G106" s="381"/>
      <c r="H106" s="381"/>
      <c r="I106" s="381"/>
      <c r="J106" s="381"/>
      <c r="K106" s="381"/>
      <c r="L106" s="381"/>
      <c r="M106" s="382"/>
      <c r="O106" s="106"/>
    </row>
    <row r="107" spans="2:15" ht="3.95" customHeight="1" x14ac:dyDescent="0.25">
      <c r="B107" s="106"/>
      <c r="O107" s="106"/>
    </row>
    <row r="108" spans="2:15" ht="17.25" customHeight="1" x14ac:dyDescent="0.25">
      <c r="B108" s="106"/>
      <c r="D108" s="371" t="s">
        <v>2040</v>
      </c>
      <c r="E108" s="372"/>
      <c r="F108" s="130" t="s">
        <v>2041</v>
      </c>
      <c r="G108" s="375" t="str">
        <f>+VLOOKUP(H10,tablero!$P$5:$R$201,3,FALSE)</f>
        <v>Director(a) Abastecimiento</v>
      </c>
      <c r="H108" s="376"/>
      <c r="I108" s="376"/>
      <c r="J108" s="376"/>
      <c r="K108" s="376"/>
      <c r="L108" s="376"/>
      <c r="M108" s="377"/>
      <c r="O108" s="106"/>
    </row>
    <row r="109" spans="2:15" ht="17.25" customHeight="1" x14ac:dyDescent="0.25">
      <c r="B109" s="106"/>
      <c r="D109" s="373"/>
      <c r="E109" s="374"/>
      <c r="F109" s="130" t="s">
        <v>2042</v>
      </c>
      <c r="G109" s="375" t="str">
        <f>+IF(M23="Si","Coordinador(a) Planeación y Sistemas","")</f>
        <v/>
      </c>
      <c r="H109" s="376"/>
      <c r="I109" s="376"/>
      <c r="J109" s="376"/>
      <c r="K109" s="376"/>
      <c r="L109" s="376"/>
      <c r="M109" s="377"/>
      <c r="O109" s="106"/>
    </row>
    <row r="110" spans="2:15" ht="17.25" customHeight="1" x14ac:dyDescent="0.25">
      <c r="B110" s="106"/>
      <c r="D110" s="373"/>
      <c r="E110" s="374"/>
      <c r="F110" s="130" t="s">
        <v>2043</v>
      </c>
      <c r="G110" s="375" t="str">
        <f>+IF(M24="Si","Coordinador(a) Centro Zonal","")</f>
        <v/>
      </c>
      <c r="H110" s="376"/>
      <c r="I110" s="376"/>
      <c r="J110" s="376"/>
      <c r="K110" s="376"/>
      <c r="L110" s="376"/>
      <c r="M110" s="377"/>
      <c r="O110" s="106"/>
    </row>
    <row r="111" spans="2:15" ht="3.95" customHeight="1" x14ac:dyDescent="0.25">
      <c r="B111" s="106"/>
      <c r="O111" s="106"/>
    </row>
    <row r="112" spans="2:15" ht="3" customHeight="1" x14ac:dyDescent="0.25">
      <c r="B112" s="106"/>
      <c r="C112" s="106"/>
      <c r="D112" s="106"/>
      <c r="E112" s="106"/>
      <c r="F112" s="106"/>
      <c r="G112" s="106"/>
      <c r="H112" s="106"/>
      <c r="I112" s="106"/>
      <c r="J112" s="106"/>
      <c r="K112" s="106"/>
      <c r="L112" s="106"/>
      <c r="M112" s="106"/>
      <c r="N112" s="106"/>
      <c r="O112" s="106"/>
    </row>
    <row r="113" spans="13:13" x14ac:dyDescent="0.25">
      <c r="M113" s="121" t="s">
        <v>70</v>
      </c>
    </row>
  </sheetData>
  <mergeCells count="85">
    <mergeCell ref="C3:N5"/>
    <mergeCell ref="D10:E10"/>
    <mergeCell ref="D12:E12"/>
    <mergeCell ref="F12:M12"/>
    <mergeCell ref="D14:E14"/>
    <mergeCell ref="F14:M14"/>
    <mergeCell ref="D22:E22"/>
    <mergeCell ref="G22:H22"/>
    <mergeCell ref="K22:L22"/>
    <mergeCell ref="D23:E23"/>
    <mergeCell ref="G23:H23"/>
    <mergeCell ref="K23:L23"/>
    <mergeCell ref="D24:E24"/>
    <mergeCell ref="G24:H24"/>
    <mergeCell ref="K24:L24"/>
    <mergeCell ref="D25:E25"/>
    <mergeCell ref="D29:E29"/>
    <mergeCell ref="F29:M29"/>
    <mergeCell ref="D30:E31"/>
    <mergeCell ref="G30:M30"/>
    <mergeCell ref="G31:M31"/>
    <mergeCell ref="D32:E33"/>
    <mergeCell ref="G32:M32"/>
    <mergeCell ref="G33:M33"/>
    <mergeCell ref="D34:E35"/>
    <mergeCell ref="G34:M34"/>
    <mergeCell ref="G35:M35"/>
    <mergeCell ref="D43:E43"/>
    <mergeCell ref="D44:E45"/>
    <mergeCell ref="G44:M44"/>
    <mergeCell ref="G45:M45"/>
    <mergeCell ref="D46:E47"/>
    <mergeCell ref="G46:M46"/>
    <mergeCell ref="G47:M47"/>
    <mergeCell ref="D48:E49"/>
    <mergeCell ref="G48:M48"/>
    <mergeCell ref="G49:M49"/>
    <mergeCell ref="D51:E51"/>
    <mergeCell ref="G51:H51"/>
    <mergeCell ref="D59:E59"/>
    <mergeCell ref="F59:M59"/>
    <mergeCell ref="D60:E60"/>
    <mergeCell ref="F60:M60"/>
    <mergeCell ref="D82:E82"/>
    <mergeCell ref="D83:E83"/>
    <mergeCell ref="D61:E61"/>
    <mergeCell ref="F61:M61"/>
    <mergeCell ref="D67:E67"/>
    <mergeCell ref="D71:E71"/>
    <mergeCell ref="D73:E74"/>
    <mergeCell ref="F73:G73"/>
    <mergeCell ref="H73:I73"/>
    <mergeCell ref="J73:K73"/>
    <mergeCell ref="L73:M73"/>
    <mergeCell ref="D77:E77"/>
    <mergeCell ref="D78:E78"/>
    <mergeCell ref="D79:E79"/>
    <mergeCell ref="D80:E80"/>
    <mergeCell ref="D81:E81"/>
    <mergeCell ref="AR73:AS73"/>
    <mergeCell ref="D75:E75"/>
    <mergeCell ref="D76:E76"/>
    <mergeCell ref="AL73:AM73"/>
    <mergeCell ref="AN73:AO73"/>
    <mergeCell ref="AP73:AQ73"/>
    <mergeCell ref="D84:E84"/>
    <mergeCell ref="D85:E85"/>
    <mergeCell ref="D86:E86"/>
    <mergeCell ref="D88:E88"/>
    <mergeCell ref="F97:M97"/>
    <mergeCell ref="D96:E96"/>
    <mergeCell ref="D97:E97"/>
    <mergeCell ref="F88:M88"/>
    <mergeCell ref="D98:E98"/>
    <mergeCell ref="F98:M98"/>
    <mergeCell ref="D108:E110"/>
    <mergeCell ref="G108:M108"/>
    <mergeCell ref="G109:M109"/>
    <mergeCell ref="G110:M110"/>
    <mergeCell ref="D102:E104"/>
    <mergeCell ref="G104:M104"/>
    <mergeCell ref="D106:E106"/>
    <mergeCell ref="F106:M106"/>
    <mergeCell ref="D100:E100"/>
    <mergeCell ref="F100:M100"/>
  </mergeCells>
  <conditionalFormatting sqref="F44:M49">
    <cfRule type="expression" dxfId="1563" priority="36">
      <formula>+IF($F$43="no",1,0)</formula>
    </cfRule>
  </conditionalFormatting>
  <conditionalFormatting sqref="F47:M47">
    <cfRule type="expression" dxfId="1562" priority="33">
      <formula>+IF($Q$47=0,1,0)</formula>
    </cfRule>
  </conditionalFormatting>
  <conditionalFormatting sqref="Y75:Y78">
    <cfRule type="expression" dxfId="1561" priority="29">
      <formula>+IF(Y$73=0,1,0)</formula>
    </cfRule>
  </conditionalFormatting>
  <conditionalFormatting sqref="AA75:AA78">
    <cfRule type="expression" dxfId="1560" priority="28">
      <formula>+IF(AA$73=0,1,0)</formula>
    </cfRule>
  </conditionalFormatting>
  <conditionalFormatting sqref="AC75:AC78">
    <cfRule type="expression" dxfId="1559" priority="27">
      <formula>+IF(AC$73=0,1,0)</formula>
    </cfRule>
  </conditionalFormatting>
  <conditionalFormatting sqref="S81:S84">
    <cfRule type="expression" dxfId="1558" priority="26">
      <formula>+IF(S$79=0,1,0)</formula>
    </cfRule>
  </conditionalFormatting>
  <conditionalFormatting sqref="U81:U84">
    <cfRule type="expression" dxfId="1557" priority="25">
      <formula>+IF(U$79=0,1,0)</formula>
    </cfRule>
  </conditionalFormatting>
  <conditionalFormatting sqref="W81:W84">
    <cfRule type="expression" dxfId="1556" priority="24">
      <formula>+IF(W$79=0,1,0)</formula>
    </cfRule>
  </conditionalFormatting>
  <conditionalFormatting sqref="Y81:Y84">
    <cfRule type="expression" dxfId="1555" priority="23">
      <formula>+IF(Y$79=0,1,0)</formula>
    </cfRule>
  </conditionalFormatting>
  <conditionalFormatting sqref="AA81:AA84">
    <cfRule type="expression" dxfId="1554" priority="22">
      <formula>+IF(AA$79=0,1,0)</formula>
    </cfRule>
  </conditionalFormatting>
  <conditionalFormatting sqref="AC81:AC84">
    <cfRule type="expression" dxfId="1553" priority="21">
      <formula>+IF(AC$79=0,1,0)</formula>
    </cfRule>
  </conditionalFormatting>
  <conditionalFormatting sqref="F73:G73">
    <cfRule type="cellIs" dxfId="1552" priority="19" operator="equal">
      <formula>"optimo"</formula>
    </cfRule>
    <cfRule type="cellIs" dxfId="1551" priority="20" operator="equal">
      <formula>"critico"</formula>
    </cfRule>
  </conditionalFormatting>
  <conditionalFormatting sqref="H73:I73">
    <cfRule type="cellIs" dxfId="1550" priority="17" operator="equal">
      <formula>"Adecuado"</formula>
    </cfRule>
    <cfRule type="cellIs" dxfId="1549" priority="18" operator="equal">
      <formula>"en riesgo"</formula>
    </cfRule>
  </conditionalFormatting>
  <conditionalFormatting sqref="J73:K73">
    <cfRule type="cellIs" dxfId="1548" priority="15" operator="equal">
      <formula>"Adecuado"</formula>
    </cfRule>
    <cfRule type="cellIs" dxfId="1547" priority="16" operator="equal">
      <formula>"en riesgo"</formula>
    </cfRule>
  </conditionalFormatting>
  <conditionalFormatting sqref="L73:M73">
    <cfRule type="cellIs" dxfId="1546" priority="13" operator="equal">
      <formula>"optimo"</formula>
    </cfRule>
    <cfRule type="cellIs" dxfId="1545" priority="14" operator="equal">
      <formula>"critico"</formula>
    </cfRule>
  </conditionalFormatting>
  <conditionalFormatting sqref="F75:M76">
    <cfRule type="expression" dxfId="1544" priority="12">
      <formula>+IF($AK75=0,1)</formula>
    </cfRule>
  </conditionalFormatting>
  <conditionalFormatting sqref="F103:G104">
    <cfRule type="expression" dxfId="1543" priority="11">
      <formula>+IF($G$102="No",1,0)</formula>
    </cfRule>
  </conditionalFormatting>
  <conditionalFormatting sqref="F51">
    <cfRule type="expression" dxfId="1542" priority="10">
      <formula>+IF($F$43="no",1,0)</formula>
    </cfRule>
  </conditionalFormatting>
  <conditionalFormatting sqref="I51">
    <cfRule type="expression" dxfId="1541" priority="9">
      <formula>+IF($F$51="no",1,0)</formula>
    </cfRule>
  </conditionalFormatting>
  <conditionalFormatting sqref="F32:M33">
    <cfRule type="expression" dxfId="1540" priority="7">
      <formula>+IF($Q$30="NA",1,0)</formula>
    </cfRule>
  </conditionalFormatting>
  <conditionalFormatting sqref="F33:M33">
    <cfRule type="expression" dxfId="1539" priority="6">
      <formula>+IF($Q$33=0,1,0)</formula>
    </cfRule>
  </conditionalFormatting>
  <conditionalFormatting sqref="F77:F86 M77:M86">
    <cfRule type="expression" dxfId="1538" priority="2">
      <formula>+IF($AK77=0,1)</formula>
    </cfRule>
  </conditionalFormatting>
  <conditionalFormatting sqref="G77:L86">
    <cfRule type="expression" dxfId="1537" priority="1">
      <formula>+IF($AK77=0,1)</formula>
    </cfRule>
  </conditionalFormatting>
  <dataValidations count="13">
    <dataValidation type="list" allowBlank="1" showInputMessage="1" showErrorMessage="1" sqref="F25">
      <formula1>dimen</formula1>
    </dataValidation>
    <dataValidation type="list" allowBlank="1" showInputMessage="1" showErrorMessage="1" sqref="G49:M49">
      <formula1>proyectos</formula1>
    </dataValidation>
    <dataValidation type="list" allowBlank="1" showInputMessage="1" showErrorMessage="1" sqref="F71">
      <formula1>$D$75:$D$86</formula1>
    </dataValidation>
    <dataValidation type="list" allowBlank="1" showInputMessage="1" showErrorMessage="1" sqref="I24">
      <formula1>ambito</formula1>
    </dataValidation>
    <dataValidation type="list" allowBlank="1" showInputMessage="1" showErrorMessage="1" sqref="I23">
      <formula1>medidas</formula1>
    </dataValidation>
    <dataValidation type="list" allowBlank="1" showInputMessage="1" showErrorMessage="1" sqref="F24">
      <formula1>tendencia</formula1>
    </dataValidation>
    <dataValidation type="list" allowBlank="1" showInputMessage="1" showErrorMessage="1" sqref="G47:M47">
      <formula1>INDIRECT($Q$45)</formula1>
    </dataValidation>
    <dataValidation type="list" allowBlank="1" showInputMessage="1" showErrorMessage="1" sqref="G45:M45">
      <formula1>lineas</formula1>
    </dataValidation>
    <dataValidation type="list" allowBlank="1" showInputMessage="1" showErrorMessage="1" sqref="G31:M31">
      <formula1>macroproceso</formula1>
    </dataValidation>
    <dataValidation type="list" allowBlank="1" showInputMessage="1" showErrorMessage="1" sqref="G33:M33">
      <formula1>INDIRECT($Q$30)</formula1>
    </dataValidation>
    <dataValidation type="list" allowBlank="1" showInputMessage="1" showErrorMessage="1" sqref="F35:G35">
      <formula1>macroprocesos</formula1>
    </dataValidation>
    <dataValidation type="list" allowBlank="1" showInputMessage="1" showErrorMessage="1" sqref="F29:M29">
      <formula1>objetivos</formula1>
    </dataValidation>
    <dataValidation type="list" allowBlank="1" showInputMessage="1" showErrorMessage="1" sqref="G102 F43 F51">
      <formula1>$S$4:$S$5</formula1>
    </dataValidation>
  </dataValidations>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[1]Hoja1!#REF!</xm:f>
          </x14:formula1>
          <xm:sqref>S12</xm:sqref>
        </x14:dataValidation>
        <x14:dataValidation type="list" allowBlank="1" showInputMessage="1" showErrorMessage="1">
          <x14:formula1>
            <xm:f>[1]base!#REF!</xm:f>
          </x14:formula1>
          <xm:sqref>R75:R78 T75:T78 V75:V78 X75:X78 Z75:Z78 AB75:AB78 T81:T84 Z81:Z84 R81:R84 V81:V84 X81:X84 AB81:AB84 F23</xm:sqref>
        </x14:dataValidation>
      </x14:dataValidations>
    </ext>
  </extLst>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0">
    <tabColor rgb="FF0070C0"/>
  </sheetPr>
  <dimension ref="B1:AV113"/>
  <sheetViews>
    <sheetView topLeftCell="A100" zoomScale="90" zoomScaleNormal="90" workbookViewId="0">
      <selection activeCell="G108" sqref="G108:M108"/>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260</v>
      </c>
      <c r="O10" s="2"/>
    </row>
    <row r="11" spans="2:24" ht="3.95" customHeight="1" x14ac:dyDescent="0.25">
      <c r="B11" s="2"/>
      <c r="D11" s="6"/>
      <c r="O11" s="2"/>
    </row>
    <row r="12" spans="2:24" ht="36" customHeight="1" x14ac:dyDescent="0.25">
      <c r="B12" s="2"/>
      <c r="D12" s="338" t="s">
        <v>5</v>
      </c>
      <c r="E12" s="339"/>
      <c r="F12" s="340" t="s">
        <v>1640</v>
      </c>
      <c r="G12" s="341"/>
      <c r="H12" s="341"/>
      <c r="I12" s="341"/>
      <c r="J12" s="341"/>
      <c r="K12" s="341"/>
      <c r="L12" s="341"/>
      <c r="M12" s="342"/>
      <c r="O12" s="2"/>
      <c r="W12" s="3" t="str">
        <f>+F23</f>
        <v>Cuatrimestral</v>
      </c>
      <c r="X12" s="3" t="str">
        <f>+F71</f>
        <v>Abril</v>
      </c>
    </row>
    <row r="13" spans="2:24" ht="3.95" customHeight="1" x14ac:dyDescent="0.25">
      <c r="B13" s="2"/>
      <c r="O13" s="2"/>
    </row>
    <row r="14" spans="2:24" ht="38.25" customHeight="1" x14ac:dyDescent="0.25">
      <c r="B14" s="2"/>
      <c r="D14" s="338" t="s">
        <v>6</v>
      </c>
      <c r="E14" s="339"/>
      <c r="F14" s="340" t="s">
        <v>1641</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29">
        <v>0</v>
      </c>
      <c r="G22" s="337" t="s">
        <v>9</v>
      </c>
      <c r="H22" s="337"/>
      <c r="I22" s="23">
        <v>0.25</v>
      </c>
      <c r="K22" s="337" t="s">
        <v>10</v>
      </c>
      <c r="L22" s="337"/>
      <c r="M22" s="9" t="s">
        <v>496</v>
      </c>
      <c r="O22" s="2"/>
    </row>
    <row r="23" spans="2:17" ht="19.5" customHeight="1" x14ac:dyDescent="0.25">
      <c r="B23" s="2"/>
      <c r="D23" s="337" t="s">
        <v>11</v>
      </c>
      <c r="E23" s="337"/>
      <c r="F23" s="4" t="s">
        <v>1069</v>
      </c>
      <c r="G23" s="337" t="s">
        <v>12</v>
      </c>
      <c r="H23" s="337"/>
      <c r="I23" s="4" t="s">
        <v>497</v>
      </c>
      <c r="K23" s="337" t="s">
        <v>13</v>
      </c>
      <c r="L23" s="337"/>
      <c r="M23" s="9" t="s">
        <v>2</v>
      </c>
      <c r="O23" s="2"/>
    </row>
    <row r="24" spans="2:17" ht="20.100000000000001" customHeight="1" x14ac:dyDescent="0.25">
      <c r="B24" s="2"/>
      <c r="D24" s="337" t="s">
        <v>14</v>
      </c>
      <c r="E24" s="337"/>
      <c r="F24" s="4" t="s">
        <v>498</v>
      </c>
      <c r="G24" s="337" t="s">
        <v>15</v>
      </c>
      <c r="H24" s="337"/>
      <c r="I24" s="4" t="s">
        <v>533</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soporte</v>
      </c>
    </row>
    <row r="31" spans="2:17" ht="24" customHeight="1" x14ac:dyDescent="0.25">
      <c r="B31" s="2"/>
      <c r="D31" s="347"/>
      <c r="E31" s="348"/>
      <c r="F31" s="4" t="s">
        <v>257</v>
      </c>
      <c r="G31" s="340" t="s">
        <v>258</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1602</v>
      </c>
      <c r="G33" s="340" t="s">
        <v>1550</v>
      </c>
      <c r="H33" s="341"/>
      <c r="I33" s="341"/>
      <c r="J33" s="341"/>
      <c r="K33" s="341"/>
      <c r="L33" s="341"/>
      <c r="M33" s="342"/>
      <c r="O33" s="2"/>
      <c r="Q33" s="3">
        <f>+IFERROR(IF(VLOOKUP(G33,base!$A$26:$C$40,3,FALSE)=F31,1,0),"")</f>
        <v>1</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1716</v>
      </c>
      <c r="G35" s="340" t="s">
        <v>1592</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501</v>
      </c>
      <c r="G45" s="340" t="s">
        <v>515</v>
      </c>
      <c r="H45" s="341"/>
      <c r="I45" s="341"/>
      <c r="J45" s="341"/>
      <c r="K45" s="341"/>
      <c r="L45" s="341"/>
      <c r="M45" s="342"/>
      <c r="O45" s="2"/>
      <c r="Q45" s="3" t="str">
        <f>+IFERROR(VLOOKUP(G45,base!$A$41:$C$45,3,FALSE),"")</f>
        <v>misional</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503</v>
      </c>
      <c r="G47" s="340" t="s">
        <v>995</v>
      </c>
      <c r="H47" s="341"/>
      <c r="I47" s="341"/>
      <c r="J47" s="341"/>
      <c r="K47" s="341"/>
      <c r="L47" s="341"/>
      <c r="M47" s="342"/>
      <c r="O47" s="2"/>
      <c r="Q47" s="3">
        <f>+IF(VLOOKUP(G47,base!$A$46:$C$66,3,FALSE)=F45,1,0)</f>
        <v>1</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920</v>
      </c>
      <c r="G49" s="340" t="s">
        <v>899</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496</v>
      </c>
      <c r="G51" s="337" t="s">
        <v>32</v>
      </c>
      <c r="H51" s="337"/>
      <c r="I51" s="17">
        <v>1</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37" t="s">
        <v>34</v>
      </c>
      <c r="E59" s="337"/>
      <c r="F59" s="344" t="s">
        <v>1642</v>
      </c>
      <c r="G59" s="344"/>
      <c r="H59" s="344"/>
      <c r="I59" s="344"/>
      <c r="J59" s="344"/>
      <c r="K59" s="344"/>
      <c r="L59" s="344"/>
      <c r="M59" s="344"/>
      <c r="O59" s="2"/>
    </row>
    <row r="60" spans="2:15" ht="66" customHeight="1" x14ac:dyDescent="0.25">
      <c r="B60" s="2"/>
      <c r="D60" s="359" t="s">
        <v>35</v>
      </c>
      <c r="E60" s="359"/>
      <c r="F60" s="344" t="s">
        <v>1643</v>
      </c>
      <c r="G60" s="344"/>
      <c r="H60" s="344"/>
      <c r="I60" s="344"/>
      <c r="J60" s="344"/>
      <c r="K60" s="344"/>
      <c r="L60" s="344"/>
      <c r="M60" s="344"/>
      <c r="O60" s="2"/>
    </row>
    <row r="61" spans="2:15" ht="41.25" customHeight="1" x14ac:dyDescent="0.25">
      <c r="B61" s="2"/>
      <c r="D61" s="359" t="s">
        <v>36</v>
      </c>
      <c r="E61" s="359"/>
      <c r="F61" s="340" t="s">
        <v>1644</v>
      </c>
      <c r="G61" s="341"/>
      <c r="H61" s="341"/>
      <c r="I61" s="341"/>
      <c r="J61" s="341"/>
      <c r="K61" s="341"/>
      <c r="L61" s="341"/>
      <c r="M61" s="342"/>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D69" s="343" t="s">
        <v>101</v>
      </c>
      <c r="E69" s="343"/>
      <c r="F69" s="4"/>
      <c r="O69" s="2"/>
      <c r="U69" s="3">
        <f>+IFERROR(VLOOKUP(F23,base!$A$1:$B$8,2,FALSE),"")</f>
        <v>4</v>
      </c>
    </row>
    <row r="70" spans="2:37" ht="3.95" customHeight="1" x14ac:dyDescent="0.25">
      <c r="B70" s="2"/>
      <c r="D70" s="7"/>
      <c r="E70" s="7"/>
      <c r="O70" s="2"/>
    </row>
    <row r="71" spans="2:37" ht="18.75" customHeight="1" x14ac:dyDescent="0.25">
      <c r="B71" s="2"/>
      <c r="D71" s="343" t="s">
        <v>39</v>
      </c>
      <c r="E71" s="343"/>
      <c r="F71" s="4" t="s">
        <v>48</v>
      </c>
      <c r="G71" s="3">
        <v>4</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60" t="s">
        <v>48</v>
      </c>
      <c r="E78" s="360"/>
      <c r="F78" s="16" t="s">
        <v>500</v>
      </c>
      <c r="G78" s="16">
        <v>5.8999999999999997E-2</v>
      </c>
      <c r="H78" s="16">
        <v>0.06</v>
      </c>
      <c r="I78" s="16">
        <v>6.9000000000000006E-2</v>
      </c>
      <c r="J78" s="16">
        <v>7.0000000000000007E-2</v>
      </c>
      <c r="K78" s="16">
        <v>7.9000000000000001E-2</v>
      </c>
      <c r="L78" s="16">
        <v>0.08</v>
      </c>
      <c r="M78" s="16" t="s">
        <v>500</v>
      </c>
      <c r="O78" s="2"/>
      <c r="AE78" s="3" t="s">
        <v>48</v>
      </c>
      <c r="AF78" s="3">
        <v>4</v>
      </c>
      <c r="AG78" s="3">
        <f t="shared" si="0"/>
        <v>1</v>
      </c>
      <c r="AH78" s="3">
        <f>+IF(AG78=0,0,IF(AG78=1,(SUM($AG$75:AG78)-1),1))</f>
        <v>0</v>
      </c>
      <c r="AI78" s="3">
        <f t="shared" si="1"/>
        <v>0</v>
      </c>
      <c r="AJ78" s="3">
        <f t="shared" si="2"/>
        <v>1</v>
      </c>
      <c r="AK78" s="3">
        <f t="shared" si="3"/>
        <v>1</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1</v>
      </c>
      <c r="AI79" s="3">
        <f t="shared" si="1"/>
        <v>0</v>
      </c>
      <c r="AJ79" s="3">
        <f t="shared" si="2"/>
        <v>0</v>
      </c>
      <c r="AK79" s="3">
        <f t="shared" si="3"/>
        <v>0</v>
      </c>
    </row>
    <row r="80" spans="2:37" x14ac:dyDescent="0.25">
      <c r="B80" s="2"/>
      <c r="D80" s="360" t="s">
        <v>50</v>
      </c>
      <c r="E80" s="360"/>
      <c r="F80" s="16" t="s">
        <v>500</v>
      </c>
      <c r="G80" s="16" t="s">
        <v>500</v>
      </c>
      <c r="H80" s="16" t="s">
        <v>500</v>
      </c>
      <c r="I80" s="16" t="s">
        <v>500</v>
      </c>
      <c r="J80" s="16" t="s">
        <v>500</v>
      </c>
      <c r="K80" s="16" t="s">
        <v>500</v>
      </c>
      <c r="L80" s="16" t="s">
        <v>500</v>
      </c>
      <c r="M80" s="16" t="s">
        <v>500</v>
      </c>
      <c r="O80" s="2"/>
      <c r="AE80" s="3" t="s">
        <v>50</v>
      </c>
      <c r="AF80" s="3">
        <v>6</v>
      </c>
      <c r="AG80" s="3">
        <f t="shared" si="0"/>
        <v>1</v>
      </c>
      <c r="AH80" s="3">
        <f>+IF(AG80=0,0,IF(AG80=1,(SUM($AG$75:AG80)-1),1))</f>
        <v>2</v>
      </c>
      <c r="AI80" s="3">
        <f t="shared" si="1"/>
        <v>0</v>
      </c>
      <c r="AJ80" s="3">
        <f t="shared" si="2"/>
        <v>0</v>
      </c>
      <c r="AK80" s="3">
        <f t="shared" si="3"/>
        <v>0</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3</v>
      </c>
      <c r="AI81" s="3">
        <f t="shared" si="1"/>
        <v>0</v>
      </c>
      <c r="AJ81" s="3">
        <f t="shared" si="2"/>
        <v>0</v>
      </c>
      <c r="AK81" s="3">
        <f t="shared" si="3"/>
        <v>0</v>
      </c>
    </row>
    <row r="82" spans="2:37" x14ac:dyDescent="0.25">
      <c r="B82" s="2"/>
      <c r="D82" s="360" t="s">
        <v>54</v>
      </c>
      <c r="E82" s="360"/>
      <c r="F82" s="16" t="s">
        <v>500</v>
      </c>
      <c r="G82" s="16">
        <v>0.13900000000000001</v>
      </c>
      <c r="H82" s="16">
        <v>0.14000000000000001</v>
      </c>
      <c r="I82" s="16">
        <v>0.14899999999999999</v>
      </c>
      <c r="J82" s="16">
        <v>0.15</v>
      </c>
      <c r="K82" s="16">
        <v>0.159</v>
      </c>
      <c r="L82" s="16">
        <v>0.16</v>
      </c>
      <c r="M82" s="16" t="s">
        <v>500</v>
      </c>
      <c r="O82" s="2"/>
      <c r="AE82" s="3" t="s">
        <v>54</v>
      </c>
      <c r="AF82" s="3">
        <v>8</v>
      </c>
      <c r="AG82" s="3">
        <f t="shared" si="0"/>
        <v>1</v>
      </c>
      <c r="AH82" s="3">
        <f>+IF(AG82=0,0,IF(AG82=1,(SUM($AG$75:AG82)-1),1))</f>
        <v>4</v>
      </c>
      <c r="AI82" s="3">
        <f t="shared" si="1"/>
        <v>1</v>
      </c>
      <c r="AJ82" s="3">
        <f t="shared" si="2"/>
        <v>0</v>
      </c>
      <c r="AK82" s="3">
        <f t="shared" si="3"/>
        <v>1</v>
      </c>
    </row>
    <row r="83" spans="2:37" x14ac:dyDescent="0.25">
      <c r="B83" s="2"/>
      <c r="D83" s="360" t="s">
        <v>55</v>
      </c>
      <c r="E83" s="360"/>
      <c r="F83" s="16" t="s">
        <v>500</v>
      </c>
      <c r="G83" s="16" t="s">
        <v>500</v>
      </c>
      <c r="H83" s="16" t="s">
        <v>500</v>
      </c>
      <c r="I83" s="16" t="s">
        <v>500</v>
      </c>
      <c r="J83" s="16" t="s">
        <v>500</v>
      </c>
      <c r="K83" s="16" t="s">
        <v>500</v>
      </c>
      <c r="L83" s="16" t="s">
        <v>500</v>
      </c>
      <c r="M83" s="16" t="s">
        <v>500</v>
      </c>
      <c r="O83" s="2"/>
      <c r="AE83" s="3" t="s">
        <v>55</v>
      </c>
      <c r="AF83" s="3">
        <v>9</v>
      </c>
      <c r="AG83" s="3">
        <f t="shared" si="0"/>
        <v>1</v>
      </c>
      <c r="AH83" s="3">
        <f>+IF(AG83=0,0,IF(AG83=1,(SUM($AG$75:AG83)-1),1))</f>
        <v>5</v>
      </c>
      <c r="AI83" s="3">
        <f t="shared" si="1"/>
        <v>0</v>
      </c>
      <c r="AJ83" s="3">
        <f t="shared" si="2"/>
        <v>0</v>
      </c>
      <c r="AK83" s="3">
        <f t="shared" si="3"/>
        <v>0</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6</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7</v>
      </c>
      <c r="AI85" s="3">
        <f t="shared" si="1"/>
        <v>0</v>
      </c>
      <c r="AJ85" s="3">
        <f t="shared" si="2"/>
        <v>0</v>
      </c>
      <c r="AK85" s="3">
        <f t="shared" si="3"/>
        <v>0</v>
      </c>
    </row>
    <row r="86" spans="2:37" x14ac:dyDescent="0.25">
      <c r="B86" s="2"/>
      <c r="D86" s="360" t="s">
        <v>58</v>
      </c>
      <c r="E86" s="360"/>
      <c r="F86" s="16" t="s">
        <v>500</v>
      </c>
      <c r="G86" s="16">
        <v>0.20899999999999999</v>
      </c>
      <c r="H86" s="16">
        <v>0.21</v>
      </c>
      <c r="I86" s="16">
        <v>0.22900000000000001</v>
      </c>
      <c r="J86" s="16">
        <v>0.23</v>
      </c>
      <c r="K86" s="16">
        <v>0.249</v>
      </c>
      <c r="L86" s="16" t="s">
        <v>500</v>
      </c>
      <c r="M86" s="16">
        <v>0.25</v>
      </c>
      <c r="O86" s="2"/>
      <c r="AE86" s="3" t="s">
        <v>58</v>
      </c>
      <c r="AF86" s="65">
        <v>12</v>
      </c>
      <c r="AG86" s="3">
        <f t="shared" si="0"/>
        <v>1</v>
      </c>
      <c r="AH86" s="3">
        <f>+IF(AG86=0,0,IF(AG86=1,(SUM($AG$75:AG86)-1),1))</f>
        <v>8</v>
      </c>
      <c r="AI86" s="3">
        <f t="shared" si="1"/>
        <v>1</v>
      </c>
      <c r="AJ86" s="3">
        <f t="shared" si="2"/>
        <v>0</v>
      </c>
      <c r="AK86" s="3">
        <f t="shared" si="3"/>
        <v>1</v>
      </c>
    </row>
    <row r="87" spans="2:37" ht="3.75" customHeight="1" x14ac:dyDescent="0.25">
      <c r="B87" s="2"/>
      <c r="O87" s="2"/>
    </row>
    <row r="88" spans="2:37" ht="66" customHeight="1" x14ac:dyDescent="0.25">
      <c r="B88" s="2"/>
      <c r="D88" s="338" t="s">
        <v>59</v>
      </c>
      <c r="E88" s="339"/>
      <c r="F88" s="340" t="s">
        <v>1056</v>
      </c>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2" customHeight="1" x14ac:dyDescent="0.25">
      <c r="B97" s="2"/>
      <c r="D97" s="359" t="s">
        <v>35</v>
      </c>
      <c r="E97" s="359"/>
      <c r="F97" s="344" t="s">
        <v>1645</v>
      </c>
      <c r="G97" s="344"/>
      <c r="H97" s="344"/>
      <c r="I97" s="344"/>
      <c r="J97" s="344"/>
      <c r="K97" s="344"/>
      <c r="L97" s="344"/>
      <c r="M97" s="344"/>
      <c r="O97" s="2"/>
    </row>
    <row r="98" spans="2:15" ht="42" customHeight="1" x14ac:dyDescent="0.25">
      <c r="B98" s="2"/>
      <c r="D98" s="359" t="s">
        <v>36</v>
      </c>
      <c r="E98" s="359"/>
      <c r="F98" s="344" t="s">
        <v>1646</v>
      </c>
      <c r="G98" s="344"/>
      <c r="H98" s="344"/>
      <c r="I98" s="344"/>
      <c r="J98" s="344"/>
      <c r="K98" s="344"/>
      <c r="L98" s="344"/>
      <c r="M98" s="344"/>
      <c r="O98" s="2"/>
    </row>
    <row r="99" spans="2:15" ht="3.95" customHeight="1" x14ac:dyDescent="0.25">
      <c r="B99" s="2"/>
      <c r="O99" s="2"/>
    </row>
    <row r="100" spans="2:15" ht="58.5" customHeight="1" x14ac:dyDescent="0.25">
      <c r="B100" s="2"/>
      <c r="D100" s="338" t="s">
        <v>62</v>
      </c>
      <c r="E100" s="339"/>
      <c r="F100" s="425" t="s">
        <v>1057</v>
      </c>
      <c r="G100" s="426"/>
      <c r="H100" s="426"/>
      <c r="I100" s="426"/>
      <c r="J100" s="426"/>
      <c r="K100" s="426"/>
      <c r="L100" s="426"/>
      <c r="M100" s="427"/>
      <c r="O100" s="2"/>
    </row>
    <row r="101" spans="2:15" ht="3.95" customHeight="1" x14ac:dyDescent="0.25">
      <c r="B101" s="2"/>
      <c r="O101" s="2"/>
    </row>
    <row r="102" spans="2:15" ht="19.5" customHeight="1" x14ac:dyDescent="0.25">
      <c r="B102" s="2"/>
      <c r="D102" s="329" t="s">
        <v>64</v>
      </c>
      <c r="E102" s="330"/>
      <c r="F102" s="19" t="s">
        <v>65</v>
      </c>
      <c r="G102" s="4" t="s">
        <v>2</v>
      </c>
      <c r="K102" s="20"/>
      <c r="O102" s="2"/>
    </row>
    <row r="103" spans="2:15" ht="19.5" customHeight="1" x14ac:dyDescent="0.25">
      <c r="B103" s="2"/>
      <c r="D103" s="331"/>
      <c r="E103" s="332"/>
      <c r="F103" s="19" t="s">
        <v>66</v>
      </c>
      <c r="G103" s="4"/>
      <c r="K103" s="21"/>
      <c r="O103" s="2"/>
    </row>
    <row r="104" spans="2:15" ht="27.75" customHeight="1" x14ac:dyDescent="0.25">
      <c r="B104" s="2"/>
      <c r="D104" s="331"/>
      <c r="E104" s="332"/>
      <c r="F104" s="19" t="s">
        <v>67</v>
      </c>
      <c r="G104" s="333"/>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Director(a) Administrativa</v>
      </c>
      <c r="H108" s="334"/>
      <c r="I108" s="334"/>
      <c r="J108" s="334"/>
      <c r="K108" s="334"/>
      <c r="L108" s="334"/>
      <c r="M108" s="335"/>
      <c r="O108" s="2"/>
    </row>
    <row r="109" spans="2:15" ht="17.25" customHeight="1" x14ac:dyDescent="0.25">
      <c r="B109" s="2"/>
      <c r="D109" s="331"/>
      <c r="E109" s="332"/>
      <c r="F109" s="19" t="s">
        <v>2042</v>
      </c>
      <c r="G109" s="333" t="str">
        <f>+IF(M23="Si","Coordinador(a) Planeación y Sistemas","")</f>
        <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2">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69:E69"/>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536" priority="33">
      <formula>+IF($F$43="no",1,0)</formula>
    </cfRule>
  </conditionalFormatting>
  <conditionalFormatting sqref="F32:M32">
    <cfRule type="expression" dxfId="1535" priority="32">
      <formula>+IF($Q$30="NA",1,0)</formula>
    </cfRule>
  </conditionalFormatting>
  <conditionalFormatting sqref="F47:M47">
    <cfRule type="expression" dxfId="1534" priority="30">
      <formula>+IF($Q$47=0,1,0)</formula>
    </cfRule>
  </conditionalFormatting>
  <conditionalFormatting sqref="F73:G73">
    <cfRule type="cellIs" dxfId="1533" priority="16" operator="equal">
      <formula>"optimo"</formula>
    </cfRule>
    <cfRule type="cellIs" dxfId="1532" priority="17" operator="equal">
      <formula>"critico"</formula>
    </cfRule>
  </conditionalFormatting>
  <conditionalFormatting sqref="H73:I73">
    <cfRule type="cellIs" dxfId="1531" priority="14" operator="equal">
      <formula>"Adecuado"</formula>
    </cfRule>
    <cfRule type="cellIs" dxfId="1530" priority="15" operator="equal">
      <formula>"en riesgo"</formula>
    </cfRule>
  </conditionalFormatting>
  <conditionalFormatting sqref="J73:K73">
    <cfRule type="cellIs" dxfId="1529" priority="12" operator="equal">
      <formula>"Adecuado"</formula>
    </cfRule>
    <cfRule type="cellIs" dxfId="1528" priority="13" operator="equal">
      <formula>"en riesgo"</formula>
    </cfRule>
  </conditionalFormatting>
  <conditionalFormatting sqref="L73:M73">
    <cfRule type="cellIs" dxfId="1527" priority="10" operator="equal">
      <formula>"optimo"</formula>
    </cfRule>
    <cfRule type="cellIs" dxfId="1526" priority="11" operator="equal">
      <formula>"critico"</formula>
    </cfRule>
  </conditionalFormatting>
  <conditionalFormatting sqref="F75:M86">
    <cfRule type="expression" dxfId="1525" priority="9">
      <formula>+IF($AK75=0,1)</formula>
    </cfRule>
  </conditionalFormatting>
  <conditionalFormatting sqref="F103:G104">
    <cfRule type="expression" dxfId="1524" priority="8">
      <formula>+IF($G$102="No",1,0)</formula>
    </cfRule>
  </conditionalFormatting>
  <conditionalFormatting sqref="F51">
    <cfRule type="expression" dxfId="1523" priority="7">
      <formula>+IF($F$43="no",1,0)</formula>
    </cfRule>
  </conditionalFormatting>
  <conditionalFormatting sqref="I51">
    <cfRule type="expression" dxfId="1522" priority="6">
      <formula>+IF($F$51="no",1,0)</formula>
    </cfRule>
  </conditionalFormatting>
  <conditionalFormatting sqref="F33:M33">
    <cfRule type="expression" dxfId="1521" priority="5">
      <formula>+IF($Q$30="NA",1,0)</formula>
    </cfRule>
  </conditionalFormatting>
  <conditionalFormatting sqref="F33:M33">
    <cfRule type="expression" dxfId="1520" priority="4">
      <formula>+IF($Q$33=0,1,0)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1">
    <tabColor rgb="FF0070C0"/>
  </sheetPr>
  <dimension ref="B1:AV113"/>
  <sheetViews>
    <sheetView zoomScale="90" zoomScaleNormal="90" workbookViewId="0">
      <selection activeCell="P1" sqref="P1"/>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262</v>
      </c>
      <c r="O10" s="2"/>
    </row>
    <row r="11" spans="2:24" ht="3.95" customHeight="1" x14ac:dyDescent="0.25">
      <c r="B11" s="2"/>
      <c r="D11" s="6"/>
      <c r="O11" s="2"/>
    </row>
    <row r="12" spans="2:24" ht="36" customHeight="1" x14ac:dyDescent="0.25">
      <c r="B12" s="2"/>
      <c r="D12" s="338" t="s">
        <v>5</v>
      </c>
      <c r="E12" s="339"/>
      <c r="F12" s="340" t="s">
        <v>263</v>
      </c>
      <c r="G12" s="341"/>
      <c r="H12" s="341"/>
      <c r="I12" s="341"/>
      <c r="J12" s="341"/>
      <c r="K12" s="341"/>
      <c r="L12" s="341"/>
      <c r="M12" s="342"/>
      <c r="O12" s="2"/>
      <c r="W12" s="3" t="str">
        <f>+F23</f>
        <v>Trimestral</v>
      </c>
      <c r="X12" s="3" t="str">
        <f>+F71</f>
        <v>Marzo</v>
      </c>
    </row>
    <row r="13" spans="2:24" ht="3.95" customHeight="1" x14ac:dyDescent="0.25">
      <c r="B13" s="2"/>
      <c r="O13" s="2"/>
    </row>
    <row r="14" spans="2:24" ht="38.25" customHeight="1" x14ac:dyDescent="0.25">
      <c r="B14" s="2"/>
      <c r="D14" s="338" t="s">
        <v>6</v>
      </c>
      <c r="E14" s="339"/>
      <c r="F14" s="340" t="s">
        <v>1150</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29">
        <v>0</v>
      </c>
      <c r="G22" s="337" t="s">
        <v>9</v>
      </c>
      <c r="H22" s="337"/>
      <c r="I22" s="23">
        <v>0.25</v>
      </c>
      <c r="K22" s="337" t="s">
        <v>10</v>
      </c>
      <c r="L22" s="337"/>
      <c r="M22" s="9" t="s">
        <v>496</v>
      </c>
      <c r="O22" s="2"/>
    </row>
    <row r="23" spans="2:17" ht="19.5" customHeight="1" x14ac:dyDescent="0.25">
      <c r="B23" s="2"/>
      <c r="D23" s="337" t="s">
        <v>11</v>
      </c>
      <c r="E23" s="337"/>
      <c r="F23" s="4" t="s">
        <v>71</v>
      </c>
      <c r="G23" s="337" t="s">
        <v>12</v>
      </c>
      <c r="H23" s="337"/>
      <c r="I23" s="4" t="s">
        <v>497</v>
      </c>
      <c r="K23" s="337" t="s">
        <v>13</v>
      </c>
      <c r="L23" s="337"/>
      <c r="M23" s="9" t="s">
        <v>2</v>
      </c>
      <c r="O23" s="2"/>
    </row>
    <row r="24" spans="2:17" ht="20.100000000000001" customHeight="1" x14ac:dyDescent="0.25">
      <c r="B24" s="2"/>
      <c r="D24" s="337" t="s">
        <v>14</v>
      </c>
      <c r="E24" s="337"/>
      <c r="F24" s="4" t="s">
        <v>498</v>
      </c>
      <c r="G24" s="337" t="s">
        <v>15</v>
      </c>
      <c r="H24" s="337"/>
      <c r="I24" s="4" t="s">
        <v>533</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soporte</v>
      </c>
    </row>
    <row r="31" spans="2:17" ht="24" customHeight="1" x14ac:dyDescent="0.25">
      <c r="B31" s="2"/>
      <c r="D31" s="347"/>
      <c r="E31" s="348"/>
      <c r="F31" s="4" t="s">
        <v>257</v>
      </c>
      <c r="G31" s="340" t="s">
        <v>258</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1602</v>
      </c>
      <c r="G33" s="340" t="s">
        <v>1550</v>
      </c>
      <c r="H33" s="341"/>
      <c r="I33" s="341"/>
      <c r="J33" s="341"/>
      <c r="K33" s="341"/>
      <c r="L33" s="341"/>
      <c r="M33" s="342"/>
      <c r="O33" s="2"/>
      <c r="Q33" s="3">
        <f>+IFERROR(IF(VLOOKUP(G33,base!$A$26:$C$40,3,FALSE)=F31,1,0),"")</f>
        <v>1</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1716</v>
      </c>
      <c r="G35" s="340" t="s">
        <v>1592</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501</v>
      </c>
      <c r="G45" s="340" t="s">
        <v>515</v>
      </c>
      <c r="H45" s="341"/>
      <c r="I45" s="341"/>
      <c r="J45" s="341"/>
      <c r="K45" s="341"/>
      <c r="L45" s="341"/>
      <c r="M45" s="342"/>
      <c r="O45" s="2"/>
      <c r="Q45" s="3" t="str">
        <f>+IFERROR(VLOOKUP(G45,base!$A$41:$C$45,3,FALSE),"")</f>
        <v>misional</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503</v>
      </c>
      <c r="G47" s="340" t="s">
        <v>995</v>
      </c>
      <c r="H47" s="341"/>
      <c r="I47" s="341"/>
      <c r="J47" s="341"/>
      <c r="K47" s="341"/>
      <c r="L47" s="341"/>
      <c r="M47" s="342"/>
      <c r="O47" s="2"/>
      <c r="Q47" s="3">
        <f>+IF(VLOOKUP(G47,base!$A$46:$C$66,3,FALSE)=F45,1,0)</f>
        <v>1</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920</v>
      </c>
      <c r="G49" s="340" t="s">
        <v>899</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496</v>
      </c>
      <c r="G51" s="337" t="s">
        <v>32</v>
      </c>
      <c r="H51" s="337"/>
      <c r="I51" s="17">
        <v>1</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37" t="s">
        <v>34</v>
      </c>
      <c r="E59" s="337"/>
      <c r="F59" s="344" t="s">
        <v>1151</v>
      </c>
      <c r="G59" s="344"/>
      <c r="H59" s="344"/>
      <c r="I59" s="344"/>
      <c r="J59" s="344"/>
      <c r="K59" s="344"/>
      <c r="L59" s="344"/>
      <c r="M59" s="344"/>
      <c r="O59" s="2"/>
    </row>
    <row r="60" spans="2:15" ht="66" customHeight="1" x14ac:dyDescent="0.25">
      <c r="B60" s="2"/>
      <c r="D60" s="359" t="s">
        <v>35</v>
      </c>
      <c r="E60" s="359"/>
      <c r="F60" s="344" t="s">
        <v>1152</v>
      </c>
      <c r="G60" s="344"/>
      <c r="H60" s="344"/>
      <c r="I60" s="344"/>
      <c r="J60" s="344"/>
      <c r="K60" s="344"/>
      <c r="L60" s="344"/>
      <c r="M60" s="344"/>
      <c r="O60" s="2"/>
    </row>
    <row r="61" spans="2:15" ht="41.25" customHeight="1" x14ac:dyDescent="0.25">
      <c r="B61" s="2"/>
      <c r="D61" s="359" t="s">
        <v>36</v>
      </c>
      <c r="E61" s="359"/>
      <c r="F61" s="340" t="s">
        <v>1153</v>
      </c>
      <c r="G61" s="341"/>
      <c r="H61" s="341"/>
      <c r="I61" s="341"/>
      <c r="J61" s="341"/>
      <c r="K61" s="341"/>
      <c r="L61" s="341"/>
      <c r="M61" s="342"/>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43" t="s">
        <v>39</v>
      </c>
      <c r="E71" s="343"/>
      <c r="F71" s="4" t="s">
        <v>47</v>
      </c>
      <c r="G71" s="3">
        <v>3</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v>9.0000000000000011E-3</v>
      </c>
      <c r="H77" s="16">
        <v>0.01</v>
      </c>
      <c r="I77" s="16">
        <v>1.9E-2</v>
      </c>
      <c r="J77" s="16">
        <v>0.02</v>
      </c>
      <c r="K77" s="16">
        <v>5.8999999999999997E-2</v>
      </c>
      <c r="L77" s="16">
        <v>0.06</v>
      </c>
      <c r="M77" s="16" t="s">
        <v>500</v>
      </c>
      <c r="O77" s="2"/>
      <c r="AE77" s="3" t="s">
        <v>47</v>
      </c>
      <c r="AF77" s="3">
        <v>3</v>
      </c>
      <c r="AG77" s="3">
        <f t="shared" si="0"/>
        <v>1</v>
      </c>
      <c r="AH77" s="3">
        <f>+IF(AG77=0,0,IF(AG77=1,(SUM($AG$75:AG77)-1),1))</f>
        <v>0</v>
      </c>
      <c r="AI77" s="3">
        <f t="shared" si="1"/>
        <v>0</v>
      </c>
      <c r="AJ77" s="3">
        <f t="shared" si="2"/>
        <v>1</v>
      </c>
      <c r="AK77" s="3">
        <f t="shared" si="3"/>
        <v>1</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2</v>
      </c>
      <c r="AI79" s="3">
        <f t="shared" si="1"/>
        <v>0</v>
      </c>
      <c r="AJ79" s="3">
        <f t="shared" si="2"/>
        <v>0</v>
      </c>
      <c r="AK79" s="3">
        <f t="shared" si="3"/>
        <v>0</v>
      </c>
    </row>
    <row r="80" spans="2:37" x14ac:dyDescent="0.25">
      <c r="B80" s="2"/>
      <c r="D80" s="360" t="s">
        <v>50</v>
      </c>
      <c r="E80" s="360"/>
      <c r="F80" s="16" t="s">
        <v>500</v>
      </c>
      <c r="G80" s="16">
        <v>6.9000000000000006E-2</v>
      </c>
      <c r="H80" s="16">
        <v>7.0000000000000007E-2</v>
      </c>
      <c r="I80" s="16">
        <v>8.8999999999999996E-2</v>
      </c>
      <c r="J80" s="16">
        <v>0.09</v>
      </c>
      <c r="K80" s="16">
        <v>0.129</v>
      </c>
      <c r="L80" s="16">
        <v>0.13</v>
      </c>
      <c r="M80" s="16" t="s">
        <v>500</v>
      </c>
      <c r="O80" s="2"/>
      <c r="AE80" s="3" t="s">
        <v>50</v>
      </c>
      <c r="AF80" s="3">
        <v>6</v>
      </c>
      <c r="AG80" s="3">
        <f t="shared" si="0"/>
        <v>1</v>
      </c>
      <c r="AH80" s="3">
        <f>+IF(AG80=0,0,IF(AG80=1,(SUM($AG$75:AG80)-1),1))</f>
        <v>3</v>
      </c>
      <c r="AI80" s="3">
        <f t="shared" si="1"/>
        <v>1</v>
      </c>
      <c r="AJ80" s="3">
        <f t="shared" si="2"/>
        <v>0</v>
      </c>
      <c r="AK80" s="3">
        <f t="shared" si="3"/>
        <v>1</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4</v>
      </c>
      <c r="AI81" s="3">
        <f t="shared" si="1"/>
        <v>0</v>
      </c>
      <c r="AJ81" s="3">
        <f t="shared" si="2"/>
        <v>0</v>
      </c>
      <c r="AK81" s="3">
        <f t="shared" si="3"/>
        <v>0</v>
      </c>
    </row>
    <row r="82" spans="2:37" x14ac:dyDescent="0.25">
      <c r="B82" s="2"/>
      <c r="D82" s="360" t="s">
        <v>54</v>
      </c>
      <c r="E82" s="360"/>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60" t="s">
        <v>55</v>
      </c>
      <c r="E83" s="360"/>
      <c r="F83" s="16" t="s">
        <v>500</v>
      </c>
      <c r="G83" s="16">
        <v>0.129</v>
      </c>
      <c r="H83" s="16">
        <v>0.13</v>
      </c>
      <c r="I83" s="16">
        <v>0.14899999999999999</v>
      </c>
      <c r="J83" s="16">
        <v>0.15</v>
      </c>
      <c r="K83" s="16">
        <v>0.189</v>
      </c>
      <c r="L83" s="16">
        <v>0.19</v>
      </c>
      <c r="M83" s="16" t="s">
        <v>500</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60" t="s">
        <v>58</v>
      </c>
      <c r="E86" s="360"/>
      <c r="F86" s="16" t="s">
        <v>500</v>
      </c>
      <c r="G86" s="16">
        <v>0.189</v>
      </c>
      <c r="H86" s="16">
        <v>0.19</v>
      </c>
      <c r="I86" s="16">
        <v>0.20899999999999999</v>
      </c>
      <c r="J86" s="16">
        <v>0.21</v>
      </c>
      <c r="K86" s="16">
        <v>0.249</v>
      </c>
      <c r="L86" s="16" t="s">
        <v>500</v>
      </c>
      <c r="M86" s="16">
        <v>0.25</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66" customHeight="1" x14ac:dyDescent="0.25">
      <c r="B88" s="2"/>
      <c r="D88" s="338" t="s">
        <v>59</v>
      </c>
      <c r="E88" s="339"/>
      <c r="F88" s="340" t="s">
        <v>1058</v>
      </c>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2" customHeight="1" x14ac:dyDescent="0.25">
      <c r="B97" s="2"/>
      <c r="D97" s="359" t="s">
        <v>35</v>
      </c>
      <c r="E97" s="359"/>
      <c r="F97" s="344" t="s">
        <v>1154</v>
      </c>
      <c r="G97" s="344"/>
      <c r="H97" s="344"/>
      <c r="I97" s="344"/>
      <c r="J97" s="344"/>
      <c r="K97" s="344"/>
      <c r="L97" s="344"/>
      <c r="M97" s="344"/>
      <c r="O97" s="2"/>
    </row>
    <row r="98" spans="2:15" ht="42" customHeight="1" x14ac:dyDescent="0.25">
      <c r="B98" s="2"/>
      <c r="D98" s="359" t="s">
        <v>36</v>
      </c>
      <c r="E98" s="359"/>
      <c r="F98" s="344" t="s">
        <v>1155</v>
      </c>
      <c r="G98" s="344"/>
      <c r="H98" s="344"/>
      <c r="I98" s="344"/>
      <c r="J98" s="344"/>
      <c r="K98" s="344"/>
      <c r="L98" s="344"/>
      <c r="M98" s="344"/>
      <c r="O98" s="2"/>
    </row>
    <row r="99" spans="2:15" ht="3.95" customHeight="1" x14ac:dyDescent="0.25">
      <c r="B99" s="2"/>
      <c r="O99" s="2"/>
    </row>
    <row r="100" spans="2:15" ht="58.5" customHeight="1" x14ac:dyDescent="0.25">
      <c r="B100" s="2"/>
      <c r="D100" s="338" t="s">
        <v>62</v>
      </c>
      <c r="E100" s="339"/>
      <c r="F100" s="425" t="s">
        <v>1059</v>
      </c>
      <c r="G100" s="426"/>
      <c r="H100" s="426"/>
      <c r="I100" s="426"/>
      <c r="J100" s="426"/>
      <c r="K100" s="426"/>
      <c r="L100" s="426"/>
      <c r="M100" s="427"/>
      <c r="O100" s="2"/>
    </row>
    <row r="101" spans="2:15" ht="3.95" customHeight="1" x14ac:dyDescent="0.25">
      <c r="B101" s="2"/>
      <c r="O101" s="2"/>
    </row>
    <row r="102" spans="2:15" ht="19.5" customHeight="1" x14ac:dyDescent="0.25">
      <c r="B102" s="2"/>
      <c r="D102" s="329" t="s">
        <v>64</v>
      </c>
      <c r="E102" s="330"/>
      <c r="F102" s="19" t="s">
        <v>65</v>
      </c>
      <c r="G102" s="4" t="s">
        <v>2</v>
      </c>
      <c r="K102" s="20"/>
      <c r="O102" s="2"/>
    </row>
    <row r="103" spans="2:15" ht="19.5" customHeight="1" x14ac:dyDescent="0.25">
      <c r="B103" s="2"/>
      <c r="D103" s="331"/>
      <c r="E103" s="332"/>
      <c r="F103" s="19" t="s">
        <v>66</v>
      </c>
      <c r="G103" s="4"/>
      <c r="K103" s="21"/>
      <c r="O103" s="2"/>
    </row>
    <row r="104" spans="2:15" ht="27.75" customHeight="1" x14ac:dyDescent="0.25">
      <c r="B104" s="2"/>
      <c r="D104" s="331"/>
      <c r="E104" s="332"/>
      <c r="F104" s="19" t="s">
        <v>67</v>
      </c>
      <c r="G104" s="333"/>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Director(a) Administrativa</v>
      </c>
      <c r="H108" s="334"/>
      <c r="I108" s="334"/>
      <c r="J108" s="334"/>
      <c r="K108" s="334"/>
      <c r="L108" s="334"/>
      <c r="M108" s="335"/>
      <c r="O108" s="2"/>
    </row>
    <row r="109" spans="2:15" ht="17.25" customHeight="1" x14ac:dyDescent="0.25">
      <c r="B109" s="2"/>
      <c r="D109" s="331"/>
      <c r="E109" s="332"/>
      <c r="F109" s="19" t="s">
        <v>2042</v>
      </c>
      <c r="G109" s="333" t="str">
        <f>+IF(M23="Si","Coordinador(a) Planeación y Sistemas","")</f>
        <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519" priority="33">
      <formula>+IF($F$43="no",1,0)</formula>
    </cfRule>
  </conditionalFormatting>
  <conditionalFormatting sqref="F32:M32">
    <cfRule type="expression" dxfId="1518" priority="32">
      <formula>+IF($Q$30="NA",1,0)</formula>
    </cfRule>
  </conditionalFormatting>
  <conditionalFormatting sqref="F47:M47">
    <cfRule type="expression" dxfId="1517" priority="30">
      <formula>+IF($Q$47=0,1,0)</formula>
    </cfRule>
  </conditionalFormatting>
  <conditionalFormatting sqref="F73:G73">
    <cfRule type="cellIs" dxfId="1516" priority="16" operator="equal">
      <formula>"optimo"</formula>
    </cfRule>
    <cfRule type="cellIs" dxfId="1515" priority="17" operator="equal">
      <formula>"critico"</formula>
    </cfRule>
  </conditionalFormatting>
  <conditionalFormatting sqref="H73:I73">
    <cfRule type="cellIs" dxfId="1514" priority="14" operator="equal">
      <formula>"Adecuado"</formula>
    </cfRule>
    <cfRule type="cellIs" dxfId="1513" priority="15" operator="equal">
      <formula>"en riesgo"</formula>
    </cfRule>
  </conditionalFormatting>
  <conditionalFormatting sqref="J73:K73">
    <cfRule type="cellIs" dxfId="1512" priority="12" operator="equal">
      <formula>"Adecuado"</formula>
    </cfRule>
    <cfRule type="cellIs" dxfId="1511" priority="13" operator="equal">
      <formula>"en riesgo"</formula>
    </cfRule>
  </conditionalFormatting>
  <conditionalFormatting sqref="L73:M73">
    <cfRule type="cellIs" dxfId="1510" priority="10" operator="equal">
      <formula>"optimo"</formula>
    </cfRule>
    <cfRule type="cellIs" dxfId="1509" priority="11" operator="equal">
      <formula>"critico"</formula>
    </cfRule>
  </conditionalFormatting>
  <conditionalFormatting sqref="F75:M86">
    <cfRule type="expression" dxfId="1508" priority="9">
      <formula>+IF($AK75=0,1)</formula>
    </cfRule>
  </conditionalFormatting>
  <conditionalFormatting sqref="F103:G104">
    <cfRule type="expression" dxfId="1507" priority="8">
      <formula>+IF($G$102="No",1,0)</formula>
    </cfRule>
  </conditionalFormatting>
  <conditionalFormatting sqref="F51">
    <cfRule type="expression" dxfId="1506" priority="7">
      <formula>+IF($F$43="no",1,0)</formula>
    </cfRule>
  </conditionalFormatting>
  <conditionalFormatting sqref="I51">
    <cfRule type="expression" dxfId="1505" priority="6">
      <formula>+IF($F$51="no",1,0)</formula>
    </cfRule>
  </conditionalFormatting>
  <conditionalFormatting sqref="F33:M33">
    <cfRule type="expression" dxfId="1504" priority="5">
      <formula>+IF($Q$30="NA",1,0)</formula>
    </cfRule>
  </conditionalFormatting>
  <conditionalFormatting sqref="F33:M33">
    <cfRule type="expression" dxfId="1503" priority="4">
      <formula>+IF($Q$33=0,1,0)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2">
    <tabColor rgb="FF0070C0"/>
  </sheetPr>
  <dimension ref="B1:AV113"/>
  <sheetViews>
    <sheetView topLeftCell="A16" zoomScale="90" zoomScaleNormal="90" workbookViewId="0">
      <selection activeCell="F108" sqref="F108:M11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264</v>
      </c>
      <c r="O10" s="2"/>
    </row>
    <row r="11" spans="2:24" ht="3.95" customHeight="1" x14ac:dyDescent="0.25">
      <c r="B11" s="2"/>
      <c r="D11" s="6"/>
      <c r="O11" s="2"/>
    </row>
    <row r="12" spans="2:24" ht="36" customHeight="1" x14ac:dyDescent="0.25">
      <c r="B12" s="2"/>
      <c r="D12" s="338" t="s">
        <v>5</v>
      </c>
      <c r="E12" s="339"/>
      <c r="F12" s="340" t="s">
        <v>1156</v>
      </c>
      <c r="G12" s="341"/>
      <c r="H12" s="341"/>
      <c r="I12" s="341"/>
      <c r="J12" s="341"/>
      <c r="K12" s="341"/>
      <c r="L12" s="341"/>
      <c r="M12" s="342"/>
      <c r="O12" s="2"/>
      <c r="W12" s="3" t="str">
        <f>+F23</f>
        <v>Semestral</v>
      </c>
      <c r="X12" s="3" t="str">
        <f>+F71</f>
        <v>Junio</v>
      </c>
    </row>
    <row r="13" spans="2:24" ht="3.95" customHeight="1" x14ac:dyDescent="0.25">
      <c r="B13" s="2"/>
      <c r="O13" s="2"/>
    </row>
    <row r="14" spans="2:24" ht="38.25" customHeight="1" x14ac:dyDescent="0.25">
      <c r="B14" s="2"/>
      <c r="D14" s="338" t="s">
        <v>6</v>
      </c>
      <c r="E14" s="339"/>
      <c r="F14" s="340" t="s">
        <v>1144</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17">
        <v>0</v>
      </c>
      <c r="G22" s="337" t="s">
        <v>9</v>
      </c>
      <c r="H22" s="337"/>
      <c r="I22" s="17">
        <v>0.85</v>
      </c>
      <c r="K22" s="337" t="s">
        <v>10</v>
      </c>
      <c r="L22" s="337"/>
      <c r="M22" s="9" t="s">
        <v>496</v>
      </c>
      <c r="O22" s="2"/>
    </row>
    <row r="23" spans="2:17" ht="19.5" customHeight="1" x14ac:dyDescent="0.25">
      <c r="B23" s="2"/>
      <c r="D23" s="337" t="s">
        <v>11</v>
      </c>
      <c r="E23" s="337"/>
      <c r="F23" s="4" t="s">
        <v>104</v>
      </c>
      <c r="G23" s="337" t="s">
        <v>12</v>
      </c>
      <c r="H23" s="337"/>
      <c r="I23" s="4" t="s">
        <v>497</v>
      </c>
      <c r="K23" s="337" t="s">
        <v>13</v>
      </c>
      <c r="L23" s="337"/>
      <c r="M23" s="9" t="s">
        <v>2</v>
      </c>
      <c r="O23" s="2"/>
    </row>
    <row r="24" spans="2:17" ht="20.100000000000001" customHeight="1" x14ac:dyDescent="0.25">
      <c r="B24" s="2"/>
      <c r="D24" s="337" t="s">
        <v>14</v>
      </c>
      <c r="E24" s="337"/>
      <c r="F24" s="4" t="s">
        <v>498</v>
      </c>
      <c r="G24" s="337" t="s">
        <v>15</v>
      </c>
      <c r="H24" s="337"/>
      <c r="I24" s="4" t="s">
        <v>533</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soporte</v>
      </c>
    </row>
    <row r="31" spans="2:17" ht="24" customHeight="1" x14ac:dyDescent="0.25">
      <c r="B31" s="2"/>
      <c r="D31" s="347"/>
      <c r="E31" s="348"/>
      <c r="F31" s="4" t="s">
        <v>257</v>
      </c>
      <c r="G31" s="340" t="s">
        <v>258</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1602</v>
      </c>
      <c r="G33" s="340" t="s">
        <v>1550</v>
      </c>
      <c r="H33" s="341"/>
      <c r="I33" s="341"/>
      <c r="J33" s="341"/>
      <c r="K33" s="341"/>
      <c r="L33" s="341"/>
      <c r="M33" s="342"/>
      <c r="O33" s="2"/>
      <c r="Q33" s="3">
        <f>+IFERROR(IF(VLOOKUP(G33,base!$A$26:$C$40,3,FALSE)=F31,1,0),"")</f>
        <v>1</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1716</v>
      </c>
      <c r="G35" s="340" t="s">
        <v>1592</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1126</v>
      </c>
      <c r="G45" s="340" t="s">
        <v>1127</v>
      </c>
      <c r="H45" s="341"/>
      <c r="I45" s="341"/>
      <c r="J45" s="341"/>
      <c r="K45" s="341"/>
      <c r="L45" s="341"/>
      <c r="M45" s="342"/>
      <c r="O45" s="2"/>
      <c r="Q45" s="3" t="str">
        <f>+IFERROR(VLOOKUP(G45,base!$A$41:$C$45,3,FALSE),"")</f>
        <v>admon</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1623</v>
      </c>
      <c r="G47" s="340" t="s">
        <v>1703</v>
      </c>
      <c r="H47" s="341"/>
      <c r="I47" s="341"/>
      <c r="J47" s="341"/>
      <c r="K47" s="341"/>
      <c r="L47" s="341"/>
      <c r="M47" s="342"/>
      <c r="O47" s="2"/>
      <c r="Q47" s="3">
        <f>+IF(VLOOKUP(G47,base!$A$46:$C$66,3,FALSE)=F45,1,0)</f>
        <v>1</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920</v>
      </c>
      <c r="G49" s="340" t="s">
        <v>899</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29"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37" t="s">
        <v>34</v>
      </c>
      <c r="E59" s="337"/>
      <c r="F59" s="344" t="s">
        <v>1145</v>
      </c>
      <c r="G59" s="344"/>
      <c r="H59" s="344"/>
      <c r="I59" s="344"/>
      <c r="J59" s="344"/>
      <c r="K59" s="344"/>
      <c r="L59" s="344"/>
      <c r="M59" s="344"/>
      <c r="O59" s="2"/>
    </row>
    <row r="60" spans="2:15" ht="66" customHeight="1" x14ac:dyDescent="0.25">
      <c r="B60" s="2"/>
      <c r="D60" s="359" t="s">
        <v>35</v>
      </c>
      <c r="E60" s="359"/>
      <c r="F60" s="344" t="s">
        <v>1146</v>
      </c>
      <c r="G60" s="344"/>
      <c r="H60" s="344"/>
      <c r="I60" s="344"/>
      <c r="J60" s="344"/>
      <c r="K60" s="344"/>
      <c r="L60" s="344"/>
      <c r="M60" s="344"/>
      <c r="O60" s="2"/>
    </row>
    <row r="61" spans="2:15" ht="41.25" customHeight="1" x14ac:dyDescent="0.25">
      <c r="B61" s="2"/>
      <c r="D61" s="359" t="s">
        <v>36</v>
      </c>
      <c r="E61" s="359"/>
      <c r="F61" s="340" t="s">
        <v>1147</v>
      </c>
      <c r="G61" s="341"/>
      <c r="H61" s="341"/>
      <c r="I61" s="341"/>
      <c r="J61" s="341"/>
      <c r="K61" s="341"/>
      <c r="L61" s="341"/>
      <c r="M61" s="342"/>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6</v>
      </c>
    </row>
    <row r="70" spans="2:37" ht="3.95" customHeight="1" x14ac:dyDescent="0.25">
      <c r="B70" s="2"/>
      <c r="D70" s="7"/>
      <c r="E70" s="7"/>
      <c r="O70" s="2"/>
    </row>
    <row r="71" spans="2:37" ht="18.75" customHeight="1" x14ac:dyDescent="0.25">
      <c r="B71" s="2"/>
      <c r="D71" s="343" t="s">
        <v>39</v>
      </c>
      <c r="E71" s="343"/>
      <c r="F71" s="4" t="s">
        <v>50</v>
      </c>
      <c r="G71" s="3">
        <v>6</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60" t="s">
        <v>50</v>
      </c>
      <c r="E80" s="360"/>
      <c r="F80" s="16" t="s">
        <v>500</v>
      </c>
      <c r="G80" s="16">
        <v>0.19900000000000001</v>
      </c>
      <c r="H80" s="16">
        <v>0.2</v>
      </c>
      <c r="I80" s="16">
        <v>0.29899999999999999</v>
      </c>
      <c r="J80" s="16">
        <v>0.3</v>
      </c>
      <c r="K80" s="16">
        <v>0.39900000000000002</v>
      </c>
      <c r="L80" s="16">
        <v>0.4</v>
      </c>
      <c r="M80" s="16" t="s">
        <v>500</v>
      </c>
      <c r="O80" s="2"/>
      <c r="AE80" s="3" t="s">
        <v>50</v>
      </c>
      <c r="AF80" s="3">
        <v>6</v>
      </c>
      <c r="AG80" s="3">
        <f t="shared" si="0"/>
        <v>1</v>
      </c>
      <c r="AH80" s="3">
        <f>+IF(AG80=0,0,IF(AG80=1,(SUM($AG$75:AG80)-1),1))</f>
        <v>0</v>
      </c>
      <c r="AI80" s="3">
        <f t="shared" si="1"/>
        <v>0</v>
      </c>
      <c r="AJ80" s="3">
        <f t="shared" si="2"/>
        <v>1</v>
      </c>
      <c r="AK80" s="3">
        <f t="shared" si="3"/>
        <v>1</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1</v>
      </c>
      <c r="AI81" s="3">
        <f t="shared" si="1"/>
        <v>0</v>
      </c>
      <c r="AJ81" s="3">
        <f t="shared" si="2"/>
        <v>0</v>
      </c>
      <c r="AK81" s="3">
        <f t="shared" si="3"/>
        <v>0</v>
      </c>
    </row>
    <row r="82" spans="2:37" x14ac:dyDescent="0.25">
      <c r="B82" s="2"/>
      <c r="D82" s="360" t="s">
        <v>54</v>
      </c>
      <c r="E82" s="360"/>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2</v>
      </c>
      <c r="AI82" s="3">
        <f t="shared" si="1"/>
        <v>0</v>
      </c>
      <c r="AJ82" s="3">
        <f t="shared" si="2"/>
        <v>0</v>
      </c>
      <c r="AK82" s="3">
        <f t="shared" si="3"/>
        <v>0</v>
      </c>
    </row>
    <row r="83" spans="2:37" x14ac:dyDescent="0.25">
      <c r="B83" s="2"/>
      <c r="D83" s="360" t="s">
        <v>55</v>
      </c>
      <c r="E83" s="360"/>
      <c r="F83" s="16" t="s">
        <v>500</v>
      </c>
      <c r="G83" s="16" t="s">
        <v>500</v>
      </c>
      <c r="H83" s="16" t="s">
        <v>500</v>
      </c>
      <c r="I83" s="16" t="s">
        <v>500</v>
      </c>
      <c r="J83" s="16" t="s">
        <v>500</v>
      </c>
      <c r="K83" s="16" t="s">
        <v>500</v>
      </c>
      <c r="L83" s="16" t="s">
        <v>500</v>
      </c>
      <c r="M83" s="16" t="s">
        <v>500</v>
      </c>
      <c r="O83" s="2"/>
      <c r="AE83" s="3" t="s">
        <v>55</v>
      </c>
      <c r="AF83" s="3">
        <v>9</v>
      </c>
      <c r="AG83" s="3">
        <f t="shared" si="0"/>
        <v>1</v>
      </c>
      <c r="AH83" s="3">
        <f>+IF(AG83=0,0,IF(AG83=1,(SUM($AG$75:AG83)-1),1))</f>
        <v>3</v>
      </c>
      <c r="AI83" s="3">
        <f t="shared" si="1"/>
        <v>0</v>
      </c>
      <c r="AJ83" s="3">
        <f t="shared" si="2"/>
        <v>0</v>
      </c>
      <c r="AK83" s="3">
        <f t="shared" si="3"/>
        <v>0</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4</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5</v>
      </c>
      <c r="AI85" s="3">
        <f t="shared" si="1"/>
        <v>0</v>
      </c>
      <c r="AJ85" s="3">
        <f t="shared" si="2"/>
        <v>0</v>
      </c>
      <c r="AK85" s="3">
        <f t="shared" si="3"/>
        <v>0</v>
      </c>
    </row>
    <row r="86" spans="2:37" x14ac:dyDescent="0.25">
      <c r="B86" s="2"/>
      <c r="D86" s="360" t="s">
        <v>58</v>
      </c>
      <c r="E86" s="360"/>
      <c r="F86" s="16" t="s">
        <v>500</v>
      </c>
      <c r="G86" s="16">
        <v>0.64900000000000002</v>
      </c>
      <c r="H86" s="16">
        <v>0.65</v>
      </c>
      <c r="I86" s="16">
        <v>0.749</v>
      </c>
      <c r="J86" s="16">
        <v>0.75</v>
      </c>
      <c r="K86" s="16">
        <v>0.84899999999999998</v>
      </c>
      <c r="L86" s="16">
        <v>0.85</v>
      </c>
      <c r="M86" s="16" t="s">
        <v>500</v>
      </c>
      <c r="O86" s="2"/>
      <c r="AE86" s="3" t="s">
        <v>58</v>
      </c>
      <c r="AF86" s="65">
        <v>12</v>
      </c>
      <c r="AG86" s="3">
        <f t="shared" si="0"/>
        <v>1</v>
      </c>
      <c r="AH86" s="3">
        <f>+IF(AG86=0,0,IF(AG86=1,(SUM($AG$75:AG86)-1),1))</f>
        <v>6</v>
      </c>
      <c r="AI86" s="3">
        <f t="shared" si="1"/>
        <v>1</v>
      </c>
      <c r="AJ86" s="3">
        <f t="shared" si="2"/>
        <v>0</v>
      </c>
      <c r="AK86" s="3">
        <f t="shared" si="3"/>
        <v>1</v>
      </c>
    </row>
    <row r="87" spans="2:37" ht="3.75" customHeight="1" x14ac:dyDescent="0.25">
      <c r="B87" s="2"/>
      <c r="O87" s="2"/>
    </row>
    <row r="88" spans="2:37" ht="66" customHeight="1" x14ac:dyDescent="0.25">
      <c r="B88" s="2"/>
      <c r="D88" s="338" t="s">
        <v>59</v>
      </c>
      <c r="E88" s="339"/>
      <c r="F88" s="340"/>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2" customHeight="1" x14ac:dyDescent="0.25">
      <c r="B97" s="2"/>
      <c r="D97" s="359" t="s">
        <v>35</v>
      </c>
      <c r="E97" s="359"/>
      <c r="F97" s="344" t="s">
        <v>1148</v>
      </c>
      <c r="G97" s="344"/>
      <c r="H97" s="344"/>
      <c r="I97" s="344"/>
      <c r="J97" s="344"/>
      <c r="K97" s="344"/>
      <c r="L97" s="344"/>
      <c r="M97" s="344"/>
      <c r="O97" s="2"/>
    </row>
    <row r="98" spans="2:15" ht="42" customHeight="1" x14ac:dyDescent="0.25">
      <c r="B98" s="2"/>
      <c r="D98" s="359" t="s">
        <v>36</v>
      </c>
      <c r="E98" s="359"/>
      <c r="F98" s="344" t="s">
        <v>1149</v>
      </c>
      <c r="G98" s="344"/>
      <c r="H98" s="344"/>
      <c r="I98" s="344"/>
      <c r="J98" s="344"/>
      <c r="K98" s="344"/>
      <c r="L98" s="344"/>
      <c r="M98" s="344"/>
      <c r="O98" s="2"/>
    </row>
    <row r="99" spans="2:15" ht="3.95" customHeight="1" x14ac:dyDescent="0.25">
      <c r="B99" s="2"/>
      <c r="O99" s="2"/>
    </row>
    <row r="100" spans="2:15" ht="58.5" customHeight="1" x14ac:dyDescent="0.25">
      <c r="B100" s="2"/>
      <c r="D100" s="338" t="s">
        <v>62</v>
      </c>
      <c r="E100" s="339"/>
      <c r="F100" s="333"/>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2</v>
      </c>
      <c r="K102" s="20"/>
      <c r="O102" s="2"/>
    </row>
    <row r="103" spans="2:15" ht="19.5" customHeight="1" x14ac:dyDescent="0.25">
      <c r="B103" s="2"/>
      <c r="D103" s="331"/>
      <c r="E103" s="332"/>
      <c r="F103" s="19" t="s">
        <v>66</v>
      </c>
      <c r="G103" s="4"/>
      <c r="K103" s="21"/>
      <c r="O103" s="2"/>
    </row>
    <row r="104" spans="2:15" ht="27.75" customHeight="1" x14ac:dyDescent="0.25">
      <c r="B104" s="2"/>
      <c r="D104" s="331"/>
      <c r="E104" s="332"/>
      <c r="F104" s="19" t="s">
        <v>67</v>
      </c>
      <c r="G104" s="333"/>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Director(a) Administrativa</v>
      </c>
      <c r="H108" s="334"/>
      <c r="I108" s="334"/>
      <c r="J108" s="334"/>
      <c r="K108" s="334"/>
      <c r="L108" s="334"/>
      <c r="M108" s="335"/>
      <c r="O108" s="2"/>
    </row>
    <row r="109" spans="2:15" ht="17.25" customHeight="1" x14ac:dyDescent="0.25">
      <c r="B109" s="2"/>
      <c r="D109" s="331"/>
      <c r="E109" s="332"/>
      <c r="F109" s="19" t="s">
        <v>2042</v>
      </c>
      <c r="G109" s="333" t="str">
        <f>+IF(M23="Si","Coordinador(a) Planeación y Sistemas","")</f>
        <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6 F48:M49">
    <cfRule type="expression" dxfId="1502" priority="35">
      <formula>+IF($F$43="no",1,0)</formula>
    </cfRule>
  </conditionalFormatting>
  <conditionalFormatting sqref="F32:M32">
    <cfRule type="expression" dxfId="1501" priority="34">
      <formula>+IF($Q$30="NA",1,0)</formula>
    </cfRule>
  </conditionalFormatting>
  <conditionalFormatting sqref="F73:G73">
    <cfRule type="cellIs" dxfId="1500" priority="18" operator="equal">
      <formula>"optimo"</formula>
    </cfRule>
    <cfRule type="cellIs" dxfId="1499" priority="19" operator="equal">
      <formula>"critico"</formula>
    </cfRule>
  </conditionalFormatting>
  <conditionalFormatting sqref="H73:I73">
    <cfRule type="cellIs" dxfId="1498" priority="16" operator="equal">
      <formula>"Adecuado"</formula>
    </cfRule>
    <cfRule type="cellIs" dxfId="1497" priority="17" operator="equal">
      <formula>"en riesgo"</formula>
    </cfRule>
  </conditionalFormatting>
  <conditionalFormatting sqref="J73:K73">
    <cfRule type="cellIs" dxfId="1496" priority="14" operator="equal">
      <formula>"Adecuado"</formula>
    </cfRule>
    <cfRule type="cellIs" dxfId="1495" priority="15" operator="equal">
      <formula>"en riesgo"</formula>
    </cfRule>
  </conditionalFormatting>
  <conditionalFormatting sqref="L73:M73">
    <cfRule type="cellIs" dxfId="1494" priority="12" operator="equal">
      <formula>"optimo"</formula>
    </cfRule>
    <cfRule type="cellIs" dxfId="1493" priority="13" operator="equal">
      <formula>"critico"</formula>
    </cfRule>
  </conditionalFormatting>
  <conditionalFormatting sqref="F75:M86">
    <cfRule type="expression" dxfId="1492" priority="11">
      <formula>+IF($AK75=0,1)</formula>
    </cfRule>
  </conditionalFormatting>
  <conditionalFormatting sqref="F103:G104">
    <cfRule type="expression" dxfId="1491" priority="10">
      <formula>+IF($G$102="No",1,0)</formula>
    </cfRule>
  </conditionalFormatting>
  <conditionalFormatting sqref="F51">
    <cfRule type="expression" dxfId="1490" priority="9">
      <formula>+IF($F$43="no",1,0)</formula>
    </cfRule>
  </conditionalFormatting>
  <conditionalFormatting sqref="I51">
    <cfRule type="expression" dxfId="1489" priority="8">
      <formula>+IF($F$51="no",1,0)</formula>
    </cfRule>
  </conditionalFormatting>
  <conditionalFormatting sqref="F33:M33">
    <cfRule type="expression" dxfId="1488" priority="7">
      <formula>+IF($Q$30="NA",1,0)</formula>
    </cfRule>
  </conditionalFormatting>
  <conditionalFormatting sqref="F33:M33">
    <cfRule type="expression" dxfId="1487" priority="6">
      <formula>+IF($Q$33=0,1,0)</formula>
    </cfRule>
  </conditionalFormatting>
  <conditionalFormatting sqref="F47:M47">
    <cfRule type="expression" dxfId="1486" priority="5">
      <formula>+IF($F$43="no",1,0)</formula>
    </cfRule>
  </conditionalFormatting>
  <conditionalFormatting sqref="F47:M47">
    <cfRule type="expression" dxfId="1485" priority="4">
      <formula>+IF($Q$47=0,1,0)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3">
    <tabColor rgb="FF0070C0"/>
  </sheetPr>
  <dimension ref="B1:AV113"/>
  <sheetViews>
    <sheetView topLeftCell="A58" zoomScale="90" zoomScaleNormal="90" workbookViewId="0">
      <selection activeCell="T76" sqref="T76:T77"/>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265</v>
      </c>
      <c r="O10" s="2"/>
    </row>
    <row r="11" spans="2:24" ht="3.95" customHeight="1" x14ac:dyDescent="0.25">
      <c r="B11" s="2"/>
      <c r="D11" s="6"/>
      <c r="O11" s="2"/>
    </row>
    <row r="12" spans="2:24" ht="36" customHeight="1" x14ac:dyDescent="0.25">
      <c r="B12" s="2"/>
      <c r="D12" s="338" t="s">
        <v>5</v>
      </c>
      <c r="E12" s="339"/>
      <c r="F12" s="340" t="s">
        <v>266</v>
      </c>
      <c r="G12" s="341"/>
      <c r="H12" s="341"/>
      <c r="I12" s="341"/>
      <c r="J12" s="341"/>
      <c r="K12" s="341"/>
      <c r="L12" s="341"/>
      <c r="M12" s="342"/>
      <c r="O12" s="2"/>
      <c r="W12" s="3" t="str">
        <f>+F23</f>
        <v>Trimestral</v>
      </c>
      <c r="X12" s="3" t="str">
        <f>+F71</f>
        <v>Marzo</v>
      </c>
    </row>
    <row r="13" spans="2:24" ht="3.95" customHeight="1" x14ac:dyDescent="0.25">
      <c r="B13" s="2"/>
      <c r="O13" s="2"/>
    </row>
    <row r="14" spans="2:24" ht="38.25" customHeight="1" x14ac:dyDescent="0.25">
      <c r="B14" s="2"/>
      <c r="D14" s="338" t="s">
        <v>6</v>
      </c>
      <c r="E14" s="339"/>
      <c r="F14" s="340" t="s">
        <v>1138</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29">
        <v>0</v>
      </c>
      <c r="G22" s="337" t="s">
        <v>9</v>
      </c>
      <c r="H22" s="337"/>
      <c r="I22" s="29">
        <v>20</v>
      </c>
      <c r="K22" s="337" t="s">
        <v>10</v>
      </c>
      <c r="L22" s="337"/>
      <c r="M22" s="9" t="s">
        <v>496</v>
      </c>
      <c r="O22" s="2"/>
    </row>
    <row r="23" spans="2:17" ht="19.5" customHeight="1" x14ac:dyDescent="0.25">
      <c r="B23" s="2"/>
      <c r="D23" s="337" t="s">
        <v>11</v>
      </c>
      <c r="E23" s="337"/>
      <c r="F23" s="4" t="s">
        <v>71</v>
      </c>
      <c r="G23" s="337" t="s">
        <v>12</v>
      </c>
      <c r="H23" s="337"/>
      <c r="I23" s="4" t="s">
        <v>514</v>
      </c>
      <c r="K23" s="337" t="s">
        <v>13</v>
      </c>
      <c r="L23" s="337"/>
      <c r="M23" s="9" t="s">
        <v>2</v>
      </c>
      <c r="O23" s="2"/>
    </row>
    <row r="24" spans="2:17" ht="20.100000000000001" customHeight="1" x14ac:dyDescent="0.25">
      <c r="B24" s="2"/>
      <c r="D24" s="337" t="s">
        <v>14</v>
      </c>
      <c r="E24" s="337"/>
      <c r="F24" s="4" t="s">
        <v>498</v>
      </c>
      <c r="G24" s="337" t="s">
        <v>15</v>
      </c>
      <c r="H24" s="337"/>
      <c r="I24" s="4" t="s">
        <v>103</v>
      </c>
      <c r="K24" s="337" t="s">
        <v>16</v>
      </c>
      <c r="L24" s="337"/>
      <c r="M24" s="9" t="s">
        <v>2</v>
      </c>
      <c r="O24" s="2"/>
    </row>
    <row r="25" spans="2:17" ht="20.100000000000001" customHeight="1" x14ac:dyDescent="0.25">
      <c r="B25" s="2"/>
      <c r="D25" s="337" t="s">
        <v>17</v>
      </c>
      <c r="E25" s="337"/>
      <c r="F25" s="4" t="s">
        <v>683</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soporte</v>
      </c>
    </row>
    <row r="31" spans="2:17" ht="24" customHeight="1" x14ac:dyDescent="0.25">
      <c r="B31" s="2"/>
      <c r="D31" s="347"/>
      <c r="E31" s="348"/>
      <c r="F31" s="4" t="s">
        <v>257</v>
      </c>
      <c r="G31" s="340" t="s">
        <v>258</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1602</v>
      </c>
      <c r="G33" s="340" t="s">
        <v>1550</v>
      </c>
      <c r="H33" s="341"/>
      <c r="I33" s="341"/>
      <c r="J33" s="341"/>
      <c r="K33" s="341"/>
      <c r="L33" s="341"/>
      <c r="M33" s="342"/>
      <c r="O33" s="2"/>
      <c r="Q33" s="3">
        <f>+IFERROR(IF(VLOOKUP(G33,base!$A$26:$C$40,3,FALSE)=F31,1,0),"")</f>
        <v>1</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1716</v>
      </c>
      <c r="G35" s="340" t="s">
        <v>1592</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501</v>
      </c>
      <c r="G45" s="340" t="s">
        <v>502</v>
      </c>
      <c r="H45" s="341"/>
      <c r="I45" s="341"/>
      <c r="J45" s="341"/>
      <c r="K45" s="341"/>
      <c r="L45" s="341"/>
      <c r="M45" s="342"/>
      <c r="O45" s="2"/>
      <c r="Q45" s="3" t="str">
        <f>+IFERROR(VLOOKUP(G45,base!$A$41:$C$45,3,FALSE),"")</f>
        <v>misional</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503</v>
      </c>
      <c r="G47" s="340" t="s">
        <v>995</v>
      </c>
      <c r="H47" s="341"/>
      <c r="I47" s="341"/>
      <c r="J47" s="341"/>
      <c r="K47" s="341"/>
      <c r="L47" s="341"/>
      <c r="M47" s="342"/>
      <c r="O47" s="2"/>
      <c r="Q47" s="3">
        <f>+IF(VLOOKUP(G47,base!$A$46:$C$66,3,FALSE)=F45,1,0)</f>
        <v>1</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920</v>
      </c>
      <c r="G49" s="340" t="s">
        <v>899</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29"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37" t="s">
        <v>34</v>
      </c>
      <c r="E59" s="337"/>
      <c r="F59" s="344" t="s">
        <v>1139</v>
      </c>
      <c r="G59" s="344"/>
      <c r="H59" s="344"/>
      <c r="I59" s="344"/>
      <c r="J59" s="344"/>
      <c r="K59" s="344"/>
      <c r="L59" s="344"/>
      <c r="M59" s="344"/>
      <c r="O59" s="2"/>
    </row>
    <row r="60" spans="2:15" ht="66" customHeight="1" x14ac:dyDescent="0.25">
      <c r="B60" s="2"/>
      <c r="D60" s="359" t="s">
        <v>35</v>
      </c>
      <c r="E60" s="359"/>
      <c r="F60" s="344" t="s">
        <v>1140</v>
      </c>
      <c r="G60" s="344"/>
      <c r="H60" s="344"/>
      <c r="I60" s="344"/>
      <c r="J60" s="344"/>
      <c r="K60" s="344"/>
      <c r="L60" s="344"/>
      <c r="M60" s="344"/>
      <c r="O60" s="2"/>
    </row>
    <row r="61" spans="2:15" ht="41.25" customHeight="1" x14ac:dyDescent="0.25">
      <c r="B61" s="2"/>
      <c r="D61" s="359" t="s">
        <v>36</v>
      </c>
      <c r="E61" s="359"/>
      <c r="F61" s="340" t="s">
        <v>1141</v>
      </c>
      <c r="G61" s="341"/>
      <c r="H61" s="341"/>
      <c r="I61" s="341"/>
      <c r="J61" s="341"/>
      <c r="K61" s="341"/>
      <c r="L61" s="341"/>
      <c r="M61" s="342"/>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43" t="s">
        <v>39</v>
      </c>
      <c r="E71" s="343"/>
      <c r="F71" s="4" t="s">
        <v>47</v>
      </c>
      <c r="G71" s="3">
        <v>3</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v>9.9000000000000005E-2</v>
      </c>
      <c r="H77" s="16">
        <v>0.1</v>
      </c>
      <c r="I77" s="16">
        <v>0.19900000000000001</v>
      </c>
      <c r="J77" s="16">
        <v>0.2</v>
      </c>
      <c r="K77" s="16">
        <v>0.249</v>
      </c>
      <c r="L77" s="16">
        <v>0.25</v>
      </c>
      <c r="M77" s="16" t="s">
        <v>500</v>
      </c>
      <c r="O77" s="2"/>
      <c r="AE77" s="3" t="s">
        <v>47</v>
      </c>
      <c r="AF77" s="3">
        <v>3</v>
      </c>
      <c r="AG77" s="3">
        <f t="shared" si="0"/>
        <v>1</v>
      </c>
      <c r="AH77" s="3">
        <f>+IF(AG77=0,0,IF(AG77=1,(SUM($AG$75:AG77)-1),1))</f>
        <v>0</v>
      </c>
      <c r="AI77" s="3">
        <f t="shared" si="1"/>
        <v>0</v>
      </c>
      <c r="AJ77" s="3">
        <f t="shared" si="2"/>
        <v>1</v>
      </c>
      <c r="AK77" s="3">
        <f t="shared" si="3"/>
        <v>1</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2</v>
      </c>
      <c r="AI79" s="3">
        <f t="shared" si="1"/>
        <v>0</v>
      </c>
      <c r="AJ79" s="3">
        <f t="shared" si="2"/>
        <v>0</v>
      </c>
      <c r="AK79" s="3">
        <f t="shared" si="3"/>
        <v>0</v>
      </c>
    </row>
    <row r="80" spans="2:37" x14ac:dyDescent="0.25">
      <c r="B80" s="2"/>
      <c r="D80" s="360" t="s">
        <v>50</v>
      </c>
      <c r="E80" s="360"/>
      <c r="F80" s="16" t="s">
        <v>500</v>
      </c>
      <c r="G80" s="16">
        <v>0.34899999999999998</v>
      </c>
      <c r="H80" s="16">
        <v>0.35</v>
      </c>
      <c r="I80" s="16">
        <v>0.44900000000000001</v>
      </c>
      <c r="J80" s="16">
        <v>0.45</v>
      </c>
      <c r="K80" s="16">
        <v>0.499</v>
      </c>
      <c r="L80" s="16">
        <v>0.5</v>
      </c>
      <c r="M80" s="16" t="s">
        <v>500</v>
      </c>
      <c r="O80" s="2"/>
      <c r="AE80" s="3" t="s">
        <v>50</v>
      </c>
      <c r="AF80" s="3">
        <v>6</v>
      </c>
      <c r="AG80" s="3">
        <f t="shared" si="0"/>
        <v>1</v>
      </c>
      <c r="AH80" s="3">
        <f>+IF(AG80=0,0,IF(AG80=1,(SUM($AG$75:AG80)-1),1))</f>
        <v>3</v>
      </c>
      <c r="AI80" s="3">
        <f t="shared" si="1"/>
        <v>1</v>
      </c>
      <c r="AJ80" s="3">
        <f t="shared" si="2"/>
        <v>0</v>
      </c>
      <c r="AK80" s="3">
        <f t="shared" si="3"/>
        <v>1</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4</v>
      </c>
      <c r="AI81" s="3">
        <f t="shared" si="1"/>
        <v>0</v>
      </c>
      <c r="AJ81" s="3">
        <f t="shared" si="2"/>
        <v>0</v>
      </c>
      <c r="AK81" s="3">
        <f t="shared" si="3"/>
        <v>0</v>
      </c>
    </row>
    <row r="82" spans="2:37" x14ac:dyDescent="0.25">
      <c r="B82" s="2"/>
      <c r="D82" s="360" t="s">
        <v>54</v>
      </c>
      <c r="E82" s="360"/>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60" t="s">
        <v>55</v>
      </c>
      <c r="E83" s="360"/>
      <c r="F83" s="16" t="s">
        <v>500</v>
      </c>
      <c r="G83" s="16">
        <v>0.59899999999999998</v>
      </c>
      <c r="H83" s="16">
        <v>0.6</v>
      </c>
      <c r="I83" s="16">
        <v>0.69899999999999995</v>
      </c>
      <c r="J83" s="16">
        <v>0.7</v>
      </c>
      <c r="K83" s="16">
        <v>0.749</v>
      </c>
      <c r="L83" s="16">
        <v>0.75</v>
      </c>
      <c r="M83" s="16" t="s">
        <v>500</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60" t="s">
        <v>58</v>
      </c>
      <c r="E86" s="360"/>
      <c r="F86" s="16" t="s">
        <v>500</v>
      </c>
      <c r="G86" s="16">
        <v>0.84899999999999998</v>
      </c>
      <c r="H86" s="16">
        <v>0.85</v>
      </c>
      <c r="I86" s="16">
        <v>0.94899999999999995</v>
      </c>
      <c r="J86" s="16">
        <v>0.95</v>
      </c>
      <c r="K86" s="16">
        <v>0.999</v>
      </c>
      <c r="L86" s="16" t="s">
        <v>500</v>
      </c>
      <c r="M86" s="16">
        <v>1</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66" customHeight="1" x14ac:dyDescent="0.25">
      <c r="B88" s="2"/>
      <c r="D88" s="338" t="s">
        <v>59</v>
      </c>
      <c r="E88" s="339"/>
      <c r="F88" s="340" t="s">
        <v>1061</v>
      </c>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2" customHeight="1" x14ac:dyDescent="0.25">
      <c r="B97" s="2"/>
      <c r="D97" s="359" t="s">
        <v>35</v>
      </c>
      <c r="E97" s="359"/>
      <c r="F97" s="344" t="s">
        <v>1142</v>
      </c>
      <c r="G97" s="344"/>
      <c r="H97" s="344"/>
      <c r="I97" s="344"/>
      <c r="J97" s="344"/>
      <c r="K97" s="344"/>
      <c r="L97" s="344"/>
      <c r="M97" s="344"/>
      <c r="O97" s="2"/>
    </row>
    <row r="98" spans="2:15" ht="42" customHeight="1" x14ac:dyDescent="0.25">
      <c r="B98" s="2"/>
      <c r="D98" s="359" t="s">
        <v>36</v>
      </c>
      <c r="E98" s="359"/>
      <c r="F98" s="344" t="s">
        <v>1143</v>
      </c>
      <c r="G98" s="344"/>
      <c r="H98" s="344"/>
      <c r="I98" s="344"/>
      <c r="J98" s="344"/>
      <c r="K98" s="344"/>
      <c r="L98" s="344"/>
      <c r="M98" s="344"/>
      <c r="O98" s="2"/>
    </row>
    <row r="99" spans="2:15" ht="3.95" customHeight="1" x14ac:dyDescent="0.25">
      <c r="B99" s="2"/>
      <c r="O99" s="2"/>
    </row>
    <row r="100" spans="2:15" ht="58.5" customHeight="1" x14ac:dyDescent="0.25">
      <c r="B100" s="2"/>
      <c r="D100" s="338" t="s">
        <v>62</v>
      </c>
      <c r="E100" s="339"/>
      <c r="F100" s="425" t="s">
        <v>1062</v>
      </c>
      <c r="G100" s="426"/>
      <c r="H100" s="426"/>
      <c r="I100" s="426"/>
      <c r="J100" s="426"/>
      <c r="K100" s="426"/>
      <c r="L100" s="426"/>
      <c r="M100" s="427"/>
      <c r="O100" s="2"/>
    </row>
    <row r="101" spans="2:15" ht="3.95" customHeight="1" x14ac:dyDescent="0.25">
      <c r="B101" s="2"/>
      <c r="O101" s="2"/>
    </row>
    <row r="102" spans="2:15" ht="19.5" customHeight="1" x14ac:dyDescent="0.25">
      <c r="B102" s="2"/>
      <c r="D102" s="329" t="s">
        <v>64</v>
      </c>
      <c r="E102" s="330"/>
      <c r="F102" s="19" t="s">
        <v>65</v>
      </c>
      <c r="G102" s="4" t="s">
        <v>2</v>
      </c>
      <c r="K102" s="20"/>
      <c r="O102" s="2"/>
    </row>
    <row r="103" spans="2:15" ht="19.5" customHeight="1" x14ac:dyDescent="0.25">
      <c r="B103" s="2"/>
      <c r="D103" s="331"/>
      <c r="E103" s="332"/>
      <c r="F103" s="19" t="s">
        <v>66</v>
      </c>
      <c r="G103" s="4"/>
      <c r="K103" s="21"/>
      <c r="O103" s="2"/>
    </row>
    <row r="104" spans="2:15" ht="27.75" customHeight="1" x14ac:dyDescent="0.25">
      <c r="B104" s="2"/>
      <c r="D104" s="331"/>
      <c r="E104" s="332"/>
      <c r="F104" s="19" t="s">
        <v>67</v>
      </c>
      <c r="G104" s="333"/>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Director(a) Administrativa</v>
      </c>
      <c r="H108" s="334"/>
      <c r="I108" s="334"/>
      <c r="J108" s="334"/>
      <c r="K108" s="334"/>
      <c r="L108" s="334"/>
      <c r="M108" s="335"/>
      <c r="O108" s="2"/>
    </row>
    <row r="109" spans="2:15" ht="17.25" customHeight="1" x14ac:dyDescent="0.25">
      <c r="B109" s="2"/>
      <c r="D109" s="331"/>
      <c r="E109" s="332"/>
      <c r="F109" s="19" t="s">
        <v>2042</v>
      </c>
      <c r="G109" s="333" t="str">
        <f>+IF(M23="Si","Coordinador(a) Planeación y Sistemas","")</f>
        <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484" priority="33">
      <formula>+IF($F$43="no",1,0)</formula>
    </cfRule>
  </conditionalFormatting>
  <conditionalFormatting sqref="F32:M32">
    <cfRule type="expression" dxfId="1483" priority="32">
      <formula>+IF($Q$30="NA",1,0)</formula>
    </cfRule>
  </conditionalFormatting>
  <conditionalFormatting sqref="F47:M47">
    <cfRule type="expression" dxfId="1482" priority="30">
      <formula>+IF($Q$47=0,1,0)</formula>
    </cfRule>
  </conditionalFormatting>
  <conditionalFormatting sqref="F73:G73">
    <cfRule type="cellIs" dxfId="1481" priority="16" operator="equal">
      <formula>"optimo"</formula>
    </cfRule>
    <cfRule type="cellIs" dxfId="1480" priority="17" operator="equal">
      <formula>"critico"</formula>
    </cfRule>
  </conditionalFormatting>
  <conditionalFormatting sqref="H73:I73">
    <cfRule type="cellIs" dxfId="1479" priority="14" operator="equal">
      <formula>"Adecuado"</formula>
    </cfRule>
    <cfRule type="cellIs" dxfId="1478" priority="15" operator="equal">
      <formula>"en riesgo"</formula>
    </cfRule>
  </conditionalFormatting>
  <conditionalFormatting sqref="J73:K73">
    <cfRule type="cellIs" dxfId="1477" priority="12" operator="equal">
      <formula>"Adecuado"</formula>
    </cfRule>
    <cfRule type="cellIs" dxfId="1476" priority="13" operator="equal">
      <formula>"en riesgo"</formula>
    </cfRule>
  </conditionalFormatting>
  <conditionalFormatting sqref="L73:M73">
    <cfRule type="cellIs" dxfId="1475" priority="10" operator="equal">
      <formula>"optimo"</formula>
    </cfRule>
    <cfRule type="cellIs" dxfId="1474" priority="11" operator="equal">
      <formula>"critico"</formula>
    </cfRule>
  </conditionalFormatting>
  <conditionalFormatting sqref="F75:M86">
    <cfRule type="expression" dxfId="1473" priority="9">
      <formula>+IF($AK75=0,1)</formula>
    </cfRule>
  </conditionalFormatting>
  <conditionalFormatting sqref="F103:G104">
    <cfRule type="expression" dxfId="1472" priority="8">
      <formula>+IF($G$102="No",1,0)</formula>
    </cfRule>
  </conditionalFormatting>
  <conditionalFormatting sqref="F51">
    <cfRule type="expression" dxfId="1471" priority="7">
      <formula>+IF($F$43="no",1,0)</formula>
    </cfRule>
  </conditionalFormatting>
  <conditionalFormatting sqref="I51">
    <cfRule type="expression" dxfId="1470" priority="6">
      <formula>+IF($F$51="no",1,0)</formula>
    </cfRule>
  </conditionalFormatting>
  <conditionalFormatting sqref="F33:M33">
    <cfRule type="expression" dxfId="1469" priority="5">
      <formula>+IF($Q$30="NA",1,0)</formula>
    </cfRule>
  </conditionalFormatting>
  <conditionalFormatting sqref="F33:M33">
    <cfRule type="expression" dxfId="1468" priority="4">
      <formula>+IF($Q$33=0,1,0)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4">
    <tabColor rgb="FF0070C0"/>
  </sheetPr>
  <dimension ref="B1:AV113"/>
  <sheetViews>
    <sheetView topLeftCell="A46" zoomScale="90" zoomScaleNormal="90" workbookViewId="0">
      <selection activeCell="F108" sqref="F108:M11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267</v>
      </c>
      <c r="O10" s="2"/>
    </row>
    <row r="11" spans="2:24" ht="3.95" customHeight="1" x14ac:dyDescent="0.25">
      <c r="B11" s="2"/>
      <c r="D11" s="6"/>
      <c r="O11" s="2"/>
    </row>
    <row r="12" spans="2:24" ht="36" customHeight="1" x14ac:dyDescent="0.25">
      <c r="B12" s="2"/>
      <c r="D12" s="338" t="s">
        <v>5</v>
      </c>
      <c r="E12" s="339"/>
      <c r="F12" s="340" t="s">
        <v>268</v>
      </c>
      <c r="G12" s="341"/>
      <c r="H12" s="341"/>
      <c r="I12" s="341"/>
      <c r="J12" s="341"/>
      <c r="K12" s="341"/>
      <c r="L12" s="341"/>
      <c r="M12" s="342"/>
      <c r="O12" s="2"/>
      <c r="W12" s="3" t="str">
        <f>+F23</f>
        <v>Trimestral</v>
      </c>
      <c r="X12" s="3" t="str">
        <f>+F71</f>
        <v>Marzo</v>
      </c>
    </row>
    <row r="13" spans="2:24" ht="3.95" customHeight="1" x14ac:dyDescent="0.25">
      <c r="B13" s="2"/>
      <c r="O13" s="2"/>
    </row>
    <row r="14" spans="2:24" ht="38.25" customHeight="1" x14ac:dyDescent="0.25">
      <c r="B14" s="2"/>
      <c r="D14" s="338" t="s">
        <v>6</v>
      </c>
      <c r="E14" s="339"/>
      <c r="F14" s="340" t="s">
        <v>1132</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17">
        <v>0</v>
      </c>
      <c r="G22" s="337" t="s">
        <v>9</v>
      </c>
      <c r="H22" s="337"/>
      <c r="I22" s="17">
        <v>0.6</v>
      </c>
      <c r="K22" s="337" t="s">
        <v>10</v>
      </c>
      <c r="L22" s="337"/>
      <c r="M22" s="9" t="s">
        <v>496</v>
      </c>
      <c r="O22" s="2"/>
    </row>
    <row r="23" spans="2:17" ht="19.5" customHeight="1" x14ac:dyDescent="0.25">
      <c r="B23" s="2"/>
      <c r="D23" s="337" t="s">
        <v>11</v>
      </c>
      <c r="E23" s="337"/>
      <c r="F23" s="4" t="s">
        <v>71</v>
      </c>
      <c r="G23" s="337" t="s">
        <v>12</v>
      </c>
      <c r="H23" s="337"/>
      <c r="I23" s="4" t="s">
        <v>497</v>
      </c>
      <c r="K23" s="337" t="s">
        <v>13</v>
      </c>
      <c r="L23" s="337"/>
      <c r="M23" s="9" t="s">
        <v>2</v>
      </c>
      <c r="O23" s="2"/>
    </row>
    <row r="24" spans="2:17" ht="20.100000000000001" customHeight="1" x14ac:dyDescent="0.25">
      <c r="B24" s="2"/>
      <c r="D24" s="337" t="s">
        <v>14</v>
      </c>
      <c r="E24" s="337"/>
      <c r="F24" s="4" t="s">
        <v>498</v>
      </c>
      <c r="G24" s="337" t="s">
        <v>15</v>
      </c>
      <c r="H24" s="337"/>
      <c r="I24" s="4" t="s">
        <v>103</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soporte</v>
      </c>
    </row>
    <row r="31" spans="2:17" ht="24" customHeight="1" x14ac:dyDescent="0.25">
      <c r="B31" s="2"/>
      <c r="D31" s="347"/>
      <c r="E31" s="348"/>
      <c r="F31" s="4" t="s">
        <v>257</v>
      </c>
      <c r="G31" s="340" t="s">
        <v>258</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1602</v>
      </c>
      <c r="G33" s="340" t="s">
        <v>1550</v>
      </c>
      <c r="H33" s="341"/>
      <c r="I33" s="341"/>
      <c r="J33" s="341"/>
      <c r="K33" s="341"/>
      <c r="L33" s="341"/>
      <c r="M33" s="342"/>
      <c r="O33" s="2"/>
      <c r="Q33" s="3">
        <f>+IFERROR(IF(VLOOKUP(G33,base!$A$26:$C$40,3,FALSE)=F31,1,0),"")</f>
        <v>1</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1716</v>
      </c>
      <c r="G35" s="340" t="s">
        <v>1592</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1126</v>
      </c>
      <c r="G45" s="340" t="s">
        <v>1127</v>
      </c>
      <c r="H45" s="341"/>
      <c r="I45" s="341"/>
      <c r="J45" s="341"/>
      <c r="K45" s="341"/>
      <c r="L45" s="341"/>
      <c r="M45" s="342"/>
      <c r="O45" s="2"/>
      <c r="Q45" s="3" t="str">
        <f>+IFERROR(VLOOKUP(G45,base!$A$41:$C$45,3,FALSE),"")</f>
        <v>admon</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1624</v>
      </c>
      <c r="G47" s="340" t="s">
        <v>1701</v>
      </c>
      <c r="H47" s="341"/>
      <c r="I47" s="341"/>
      <c r="J47" s="341"/>
      <c r="K47" s="341"/>
      <c r="L47" s="341"/>
      <c r="M47" s="342"/>
      <c r="O47" s="2"/>
      <c r="Q47" s="3">
        <f>+IF(VLOOKUP(G47,base!$A$46:$C$66,3,FALSE)=F45,1,0)</f>
        <v>1</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920</v>
      </c>
      <c r="G49" s="340" t="s">
        <v>899</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29"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37" t="s">
        <v>34</v>
      </c>
      <c r="E59" s="337"/>
      <c r="F59" s="344" t="s">
        <v>1133</v>
      </c>
      <c r="G59" s="344"/>
      <c r="H59" s="344"/>
      <c r="I59" s="344"/>
      <c r="J59" s="344"/>
      <c r="K59" s="344"/>
      <c r="L59" s="344"/>
      <c r="M59" s="344"/>
      <c r="O59" s="2"/>
    </row>
    <row r="60" spans="2:15" ht="66" customHeight="1" x14ac:dyDescent="0.25">
      <c r="B60" s="2"/>
      <c r="D60" s="359" t="s">
        <v>35</v>
      </c>
      <c r="E60" s="359"/>
      <c r="F60" s="344" t="s">
        <v>1134</v>
      </c>
      <c r="G60" s="344"/>
      <c r="H60" s="344"/>
      <c r="I60" s="344"/>
      <c r="J60" s="344"/>
      <c r="K60" s="344"/>
      <c r="L60" s="344"/>
      <c r="M60" s="344"/>
      <c r="O60" s="2"/>
    </row>
    <row r="61" spans="2:15" ht="41.25" customHeight="1" x14ac:dyDescent="0.25">
      <c r="B61" s="2"/>
      <c r="D61" s="359" t="s">
        <v>36</v>
      </c>
      <c r="E61" s="359"/>
      <c r="F61" s="340" t="s">
        <v>1135</v>
      </c>
      <c r="G61" s="341"/>
      <c r="H61" s="341"/>
      <c r="I61" s="341"/>
      <c r="J61" s="341"/>
      <c r="K61" s="341"/>
      <c r="L61" s="341"/>
      <c r="M61" s="342"/>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43" t="s">
        <v>39</v>
      </c>
      <c r="E71" s="343"/>
      <c r="F71" s="4" t="s">
        <v>47</v>
      </c>
      <c r="G71" s="3">
        <v>3</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v>2.8999999999999998E-2</v>
      </c>
      <c r="H77" s="16">
        <v>0.03</v>
      </c>
      <c r="I77" s="16">
        <v>3.9E-2</v>
      </c>
      <c r="J77" s="16">
        <v>0.04</v>
      </c>
      <c r="K77" s="16">
        <v>4.9000000000000002E-2</v>
      </c>
      <c r="L77" s="16">
        <v>0.05</v>
      </c>
      <c r="M77" s="16" t="s">
        <v>500</v>
      </c>
      <c r="O77" s="2"/>
      <c r="AE77" s="3" t="s">
        <v>47</v>
      </c>
      <c r="AF77" s="3">
        <v>3</v>
      </c>
      <c r="AG77" s="3">
        <f t="shared" si="0"/>
        <v>1</v>
      </c>
      <c r="AH77" s="3">
        <f>+IF(AG77=0,0,IF(AG77=1,(SUM($AG$75:AG77)-1),1))</f>
        <v>0</v>
      </c>
      <c r="AI77" s="3">
        <f t="shared" si="1"/>
        <v>0</v>
      </c>
      <c r="AJ77" s="3">
        <f t="shared" si="2"/>
        <v>1</v>
      </c>
      <c r="AK77" s="3">
        <f t="shared" si="3"/>
        <v>1</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2</v>
      </c>
      <c r="AI79" s="3">
        <f t="shared" si="1"/>
        <v>0</v>
      </c>
      <c r="AJ79" s="3">
        <f t="shared" si="2"/>
        <v>0</v>
      </c>
      <c r="AK79" s="3">
        <f t="shared" si="3"/>
        <v>0</v>
      </c>
    </row>
    <row r="80" spans="2:37" x14ac:dyDescent="0.25">
      <c r="B80" s="2"/>
      <c r="D80" s="360" t="s">
        <v>50</v>
      </c>
      <c r="E80" s="360"/>
      <c r="F80" s="16" t="s">
        <v>500</v>
      </c>
      <c r="G80" s="16">
        <v>0.14899999999999999</v>
      </c>
      <c r="H80" s="16">
        <v>0.15</v>
      </c>
      <c r="I80" s="16">
        <v>0.19900000000000001</v>
      </c>
      <c r="J80" s="16">
        <v>0.2</v>
      </c>
      <c r="K80" s="16">
        <v>0.249</v>
      </c>
      <c r="L80" s="16">
        <v>0.25</v>
      </c>
      <c r="M80" s="16" t="s">
        <v>500</v>
      </c>
      <c r="O80" s="2"/>
      <c r="AE80" s="3" t="s">
        <v>50</v>
      </c>
      <c r="AF80" s="3">
        <v>6</v>
      </c>
      <c r="AG80" s="3">
        <f t="shared" si="0"/>
        <v>1</v>
      </c>
      <c r="AH80" s="3">
        <f>+IF(AG80=0,0,IF(AG80=1,(SUM($AG$75:AG80)-1),1))</f>
        <v>3</v>
      </c>
      <c r="AI80" s="3">
        <f t="shared" si="1"/>
        <v>1</v>
      </c>
      <c r="AJ80" s="3">
        <f t="shared" si="2"/>
        <v>0</v>
      </c>
      <c r="AK80" s="3">
        <f t="shared" si="3"/>
        <v>1</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4</v>
      </c>
      <c r="AI81" s="3">
        <f t="shared" si="1"/>
        <v>0</v>
      </c>
      <c r="AJ81" s="3">
        <f t="shared" si="2"/>
        <v>0</v>
      </c>
      <c r="AK81" s="3">
        <f t="shared" si="3"/>
        <v>0</v>
      </c>
    </row>
    <row r="82" spans="2:37" x14ac:dyDescent="0.25">
      <c r="B82" s="2"/>
      <c r="D82" s="360" t="s">
        <v>54</v>
      </c>
      <c r="E82" s="360"/>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60" t="s">
        <v>55</v>
      </c>
      <c r="E83" s="360"/>
      <c r="F83" s="16" t="s">
        <v>500</v>
      </c>
      <c r="G83" s="16">
        <v>0.34899999999999998</v>
      </c>
      <c r="H83" s="16">
        <v>0.35</v>
      </c>
      <c r="I83" s="16">
        <v>0.39900000000000002</v>
      </c>
      <c r="J83" s="16">
        <v>0.4</v>
      </c>
      <c r="K83" s="16">
        <v>0.44900000000000001</v>
      </c>
      <c r="L83" s="16">
        <v>0.45</v>
      </c>
      <c r="M83" s="16" t="s">
        <v>500</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60" t="s">
        <v>58</v>
      </c>
      <c r="E86" s="360"/>
      <c r="F86" s="16" t="s">
        <v>500</v>
      </c>
      <c r="G86" s="16">
        <v>0.499</v>
      </c>
      <c r="H86" s="16">
        <v>0.5</v>
      </c>
      <c r="I86" s="16">
        <v>0.54900000000000004</v>
      </c>
      <c r="J86" s="16">
        <v>0.55000000000000004</v>
      </c>
      <c r="K86" s="16">
        <v>0.59899999999999998</v>
      </c>
      <c r="L86" s="16">
        <v>0.6</v>
      </c>
      <c r="M86" s="16" t="s">
        <v>500</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66" customHeight="1" x14ac:dyDescent="0.25">
      <c r="B88" s="2"/>
      <c r="D88" s="338" t="s">
        <v>59</v>
      </c>
      <c r="E88" s="339"/>
      <c r="F88" s="340"/>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2" customHeight="1" x14ac:dyDescent="0.25">
      <c r="B97" s="2"/>
      <c r="D97" s="359" t="s">
        <v>35</v>
      </c>
      <c r="E97" s="359"/>
      <c r="F97" s="344" t="s">
        <v>1136</v>
      </c>
      <c r="G97" s="344"/>
      <c r="H97" s="344"/>
      <c r="I97" s="344"/>
      <c r="J97" s="344"/>
      <c r="K97" s="344"/>
      <c r="L97" s="344"/>
      <c r="M97" s="344"/>
      <c r="O97" s="2"/>
    </row>
    <row r="98" spans="2:15" ht="42" customHeight="1" x14ac:dyDescent="0.25">
      <c r="B98" s="2"/>
      <c r="D98" s="359" t="s">
        <v>36</v>
      </c>
      <c r="E98" s="359"/>
      <c r="F98" s="344" t="s">
        <v>1137</v>
      </c>
      <c r="G98" s="344"/>
      <c r="H98" s="344"/>
      <c r="I98" s="344"/>
      <c r="J98" s="344"/>
      <c r="K98" s="344"/>
      <c r="L98" s="344"/>
      <c r="M98" s="344"/>
      <c r="O98" s="2"/>
    </row>
    <row r="99" spans="2:15" ht="3.95" customHeight="1" x14ac:dyDescent="0.25">
      <c r="B99" s="2"/>
      <c r="O99" s="2"/>
    </row>
    <row r="100" spans="2:15" ht="69" customHeight="1" x14ac:dyDescent="0.25">
      <c r="B100" s="2"/>
      <c r="D100" s="338" t="s">
        <v>62</v>
      </c>
      <c r="E100" s="339"/>
      <c r="F100" s="344" t="s">
        <v>1066</v>
      </c>
      <c r="G100" s="344"/>
      <c r="H100" s="344"/>
      <c r="I100" s="344"/>
      <c r="J100" s="344"/>
      <c r="K100" s="344"/>
      <c r="L100" s="344"/>
      <c r="M100" s="344"/>
      <c r="O100" s="2"/>
    </row>
    <row r="101" spans="2:15" ht="3.95" customHeight="1" x14ac:dyDescent="0.25">
      <c r="B101" s="2"/>
      <c r="O101" s="2"/>
    </row>
    <row r="102" spans="2:15" ht="19.5" customHeight="1" x14ac:dyDescent="0.25">
      <c r="B102" s="2"/>
      <c r="D102" s="329" t="s">
        <v>64</v>
      </c>
      <c r="E102" s="330"/>
      <c r="F102" s="19" t="s">
        <v>65</v>
      </c>
      <c r="G102" s="4" t="s">
        <v>2</v>
      </c>
      <c r="K102" s="20"/>
      <c r="O102" s="2"/>
    </row>
    <row r="103" spans="2:15" ht="19.5" customHeight="1" x14ac:dyDescent="0.25">
      <c r="B103" s="2"/>
      <c r="D103" s="331"/>
      <c r="E103" s="332"/>
      <c r="F103" s="19" t="s">
        <v>66</v>
      </c>
      <c r="G103" s="4"/>
      <c r="K103" s="21"/>
      <c r="O103" s="2"/>
    </row>
    <row r="104" spans="2:15" ht="27.75" customHeight="1" x14ac:dyDescent="0.25">
      <c r="B104" s="2"/>
      <c r="D104" s="331"/>
      <c r="E104" s="332"/>
      <c r="F104" s="19" t="s">
        <v>67</v>
      </c>
      <c r="G104" s="333"/>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Director(a) Administrativa</v>
      </c>
      <c r="H108" s="334"/>
      <c r="I108" s="334"/>
      <c r="J108" s="334"/>
      <c r="K108" s="334"/>
      <c r="L108" s="334"/>
      <c r="M108" s="335"/>
      <c r="O108" s="2"/>
    </row>
    <row r="109" spans="2:15" ht="17.25" customHeight="1" x14ac:dyDescent="0.25">
      <c r="B109" s="2"/>
      <c r="D109" s="331"/>
      <c r="E109" s="332"/>
      <c r="F109" s="19" t="s">
        <v>2042</v>
      </c>
      <c r="G109" s="333" t="str">
        <f>+IF(M23="Si","Coordinador(a) Planeación y Sistemas","")</f>
        <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6 F48:M49">
    <cfRule type="expression" dxfId="1467" priority="35">
      <formula>+IF($F$43="no",1,0)</formula>
    </cfRule>
  </conditionalFormatting>
  <conditionalFormatting sqref="F32:M32">
    <cfRule type="expression" dxfId="1466" priority="34">
      <formula>+IF($Q$30="NA",1,0)</formula>
    </cfRule>
  </conditionalFormatting>
  <conditionalFormatting sqref="F73:G73">
    <cfRule type="cellIs" dxfId="1465" priority="18" operator="equal">
      <formula>"optimo"</formula>
    </cfRule>
    <cfRule type="cellIs" dxfId="1464" priority="19" operator="equal">
      <formula>"critico"</formula>
    </cfRule>
  </conditionalFormatting>
  <conditionalFormatting sqref="H73:I73">
    <cfRule type="cellIs" dxfId="1463" priority="16" operator="equal">
      <formula>"Adecuado"</formula>
    </cfRule>
    <cfRule type="cellIs" dxfId="1462" priority="17" operator="equal">
      <formula>"en riesgo"</formula>
    </cfRule>
  </conditionalFormatting>
  <conditionalFormatting sqref="J73:K73">
    <cfRule type="cellIs" dxfId="1461" priority="14" operator="equal">
      <formula>"Adecuado"</formula>
    </cfRule>
    <cfRule type="cellIs" dxfId="1460" priority="15" operator="equal">
      <formula>"en riesgo"</formula>
    </cfRule>
  </conditionalFormatting>
  <conditionalFormatting sqref="L73:M73">
    <cfRule type="cellIs" dxfId="1459" priority="12" operator="equal">
      <formula>"optimo"</formula>
    </cfRule>
    <cfRule type="cellIs" dxfId="1458" priority="13" operator="equal">
      <formula>"critico"</formula>
    </cfRule>
  </conditionalFormatting>
  <conditionalFormatting sqref="F75:M86">
    <cfRule type="expression" dxfId="1457" priority="11">
      <formula>+IF($AK75=0,1)</formula>
    </cfRule>
  </conditionalFormatting>
  <conditionalFormatting sqref="F103:G104">
    <cfRule type="expression" dxfId="1456" priority="10">
      <formula>+IF($G$102="No",1,0)</formula>
    </cfRule>
  </conditionalFormatting>
  <conditionalFormatting sqref="F51">
    <cfRule type="expression" dxfId="1455" priority="9">
      <formula>+IF($F$43="no",1,0)</formula>
    </cfRule>
  </conditionalFormatting>
  <conditionalFormatting sqref="I51">
    <cfRule type="expression" dxfId="1454" priority="8">
      <formula>+IF($F$51="no",1,0)</formula>
    </cfRule>
  </conditionalFormatting>
  <conditionalFormatting sqref="F33:M33">
    <cfRule type="expression" dxfId="1453" priority="7">
      <formula>+IF($Q$30="NA",1,0)</formula>
    </cfRule>
  </conditionalFormatting>
  <conditionalFormatting sqref="F33:M33">
    <cfRule type="expression" dxfId="1452" priority="6">
      <formula>+IF($Q$33=0,1,0)</formula>
    </cfRule>
  </conditionalFormatting>
  <conditionalFormatting sqref="F47:M47">
    <cfRule type="expression" dxfId="1451" priority="5">
      <formula>+IF($F$43="no",1,0)</formula>
    </cfRule>
  </conditionalFormatting>
  <conditionalFormatting sqref="F47:M47">
    <cfRule type="expression" dxfId="1450" priority="4">
      <formula>+IF($Q$47=0,1,0)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5">
    <tabColor rgb="FF0070C0"/>
  </sheetPr>
  <dimension ref="B1:AV124"/>
  <sheetViews>
    <sheetView topLeftCell="A73" zoomScale="90" zoomScaleNormal="90" workbookViewId="0">
      <selection activeCell="F100" sqref="F100:M10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269</v>
      </c>
      <c r="O10" s="2"/>
    </row>
    <row r="11" spans="2:24" ht="3.95" customHeight="1" x14ac:dyDescent="0.25">
      <c r="B11" s="2"/>
      <c r="D11" s="6"/>
      <c r="O11" s="2"/>
    </row>
    <row r="12" spans="2:24" ht="36" customHeight="1" x14ac:dyDescent="0.25">
      <c r="B12" s="2"/>
      <c r="D12" s="338" t="s">
        <v>5</v>
      </c>
      <c r="E12" s="339"/>
      <c r="F12" s="340" t="s">
        <v>1947</v>
      </c>
      <c r="G12" s="341"/>
      <c r="H12" s="341"/>
      <c r="I12" s="341"/>
      <c r="J12" s="341"/>
      <c r="K12" s="341"/>
      <c r="L12" s="341"/>
      <c r="M12" s="342"/>
      <c r="O12" s="2"/>
      <c r="W12" s="3" t="str">
        <f>+F23</f>
        <v>Semestral</v>
      </c>
      <c r="X12" s="3" t="str">
        <f>+F71</f>
        <v>Junio</v>
      </c>
    </row>
    <row r="13" spans="2:24" ht="3.95" customHeight="1" x14ac:dyDescent="0.25">
      <c r="B13" s="2"/>
      <c r="O13" s="2"/>
    </row>
    <row r="14" spans="2:24" ht="38.25" customHeight="1" x14ac:dyDescent="0.25">
      <c r="B14" s="2"/>
      <c r="D14" s="338" t="s">
        <v>6</v>
      </c>
      <c r="E14" s="339"/>
      <c r="F14" s="340" t="s">
        <v>2141</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29">
        <v>23</v>
      </c>
      <c r="G22" s="337" t="s">
        <v>9</v>
      </c>
      <c r="H22" s="337"/>
      <c r="I22" s="282">
        <v>40</v>
      </c>
      <c r="K22" s="337" t="s">
        <v>10</v>
      </c>
      <c r="L22" s="337"/>
      <c r="M22" s="9" t="s">
        <v>496</v>
      </c>
      <c r="O22" s="2"/>
    </row>
    <row r="23" spans="2:17" ht="19.5" customHeight="1" x14ac:dyDescent="0.25">
      <c r="B23" s="2"/>
      <c r="D23" s="337" t="s">
        <v>11</v>
      </c>
      <c r="E23" s="337"/>
      <c r="F23" s="4" t="s">
        <v>104</v>
      </c>
      <c r="G23" s="337" t="s">
        <v>12</v>
      </c>
      <c r="H23" s="337"/>
      <c r="I23" s="4" t="s">
        <v>514</v>
      </c>
      <c r="K23" s="337" t="s">
        <v>13</v>
      </c>
      <c r="L23" s="337"/>
      <c r="M23" s="9" t="s">
        <v>2</v>
      </c>
      <c r="O23" s="2"/>
    </row>
    <row r="24" spans="2:17" ht="20.100000000000001" customHeight="1" x14ac:dyDescent="0.25">
      <c r="B24" s="2"/>
      <c r="D24" s="337" t="s">
        <v>14</v>
      </c>
      <c r="E24" s="337"/>
      <c r="F24" s="4" t="s">
        <v>498</v>
      </c>
      <c r="G24" s="337" t="s">
        <v>15</v>
      </c>
      <c r="H24" s="337"/>
      <c r="I24" s="4" t="s">
        <v>103</v>
      </c>
      <c r="K24" s="337" t="s">
        <v>16</v>
      </c>
      <c r="L24" s="337"/>
      <c r="M24" s="9" t="s">
        <v>2</v>
      </c>
      <c r="O24" s="2"/>
    </row>
    <row r="25" spans="2:17" ht="20.100000000000001" customHeight="1" x14ac:dyDescent="0.25">
      <c r="B25" s="2"/>
      <c r="D25" s="337" t="s">
        <v>17</v>
      </c>
      <c r="E25" s="337"/>
      <c r="F25" s="4" t="s">
        <v>683</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soporte</v>
      </c>
    </row>
    <row r="31" spans="2:17" ht="24" customHeight="1" x14ac:dyDescent="0.25">
      <c r="B31" s="2"/>
      <c r="D31" s="347"/>
      <c r="E31" s="348"/>
      <c r="F31" s="4" t="s">
        <v>257</v>
      </c>
      <c r="G31" s="340" t="s">
        <v>258</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1602</v>
      </c>
      <c r="G33" s="340" t="s">
        <v>1550</v>
      </c>
      <c r="H33" s="341"/>
      <c r="I33" s="341"/>
      <c r="J33" s="341"/>
      <c r="K33" s="341"/>
      <c r="L33" s="341"/>
      <c r="M33" s="342"/>
      <c r="O33" s="2"/>
      <c r="Q33" s="3">
        <f>+IFERROR(IF(VLOOKUP(G33,base!$A$26:$C$40,3,FALSE)=F31,1,0),"")</f>
        <v>1</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1716</v>
      </c>
      <c r="G35" s="340" t="s">
        <v>1592</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501</v>
      </c>
      <c r="G45" s="340" t="s">
        <v>502</v>
      </c>
      <c r="H45" s="341"/>
      <c r="I45" s="341"/>
      <c r="J45" s="341"/>
      <c r="K45" s="341"/>
      <c r="L45" s="341"/>
      <c r="M45" s="342"/>
      <c r="O45" s="2"/>
      <c r="Q45" s="3" t="str">
        <f>+IFERROR(VLOOKUP(G45,base!$A$41:$C$45,3,FALSE),"")</f>
        <v>misional</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503</v>
      </c>
      <c r="G47" s="340" t="s">
        <v>995</v>
      </c>
      <c r="H47" s="341"/>
      <c r="I47" s="341"/>
      <c r="J47" s="341"/>
      <c r="K47" s="341"/>
      <c r="L47" s="341"/>
      <c r="M47" s="342"/>
      <c r="O47" s="2"/>
      <c r="Q47" s="3">
        <f>+IF(VLOOKUP(G47,base!$A$46:$C$66,3,FALSE)=F45,1,0)</f>
        <v>1</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920</v>
      </c>
      <c r="G49" s="340" t="s">
        <v>899</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29"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37" t="s">
        <v>34</v>
      </c>
      <c r="E59" s="337"/>
      <c r="F59" s="344" t="s">
        <v>2144</v>
      </c>
      <c r="G59" s="344"/>
      <c r="H59" s="344"/>
      <c r="I59" s="344"/>
      <c r="J59" s="344"/>
      <c r="K59" s="344"/>
      <c r="L59" s="344"/>
      <c r="M59" s="344"/>
      <c r="O59" s="2"/>
    </row>
    <row r="60" spans="2:15" ht="45.75" customHeight="1" x14ac:dyDescent="0.25">
      <c r="B60" s="2"/>
      <c r="D60" s="359" t="s">
        <v>35</v>
      </c>
      <c r="E60" s="359"/>
      <c r="F60" s="344" t="s">
        <v>2143</v>
      </c>
      <c r="G60" s="344"/>
      <c r="H60" s="344"/>
      <c r="I60" s="344"/>
      <c r="J60" s="344"/>
      <c r="K60" s="344"/>
      <c r="L60" s="344"/>
      <c r="M60" s="344"/>
      <c r="O60" s="2"/>
    </row>
    <row r="61" spans="2:15" ht="41.25" customHeight="1" x14ac:dyDescent="0.25">
      <c r="B61" s="2"/>
      <c r="D61" s="359" t="s">
        <v>36</v>
      </c>
      <c r="E61" s="359"/>
      <c r="F61" s="340" t="s">
        <v>2142</v>
      </c>
      <c r="G61" s="341"/>
      <c r="H61" s="341"/>
      <c r="I61" s="341"/>
      <c r="J61" s="341"/>
      <c r="K61" s="341"/>
      <c r="L61" s="341"/>
      <c r="M61" s="342"/>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6</v>
      </c>
    </row>
    <row r="70" spans="2:37" ht="3.95" customHeight="1" x14ac:dyDescent="0.25">
      <c r="B70" s="2"/>
      <c r="D70" s="7"/>
      <c r="E70" s="7"/>
      <c r="O70" s="2"/>
    </row>
    <row r="71" spans="2:37" ht="18.75" customHeight="1" x14ac:dyDescent="0.25">
      <c r="B71" s="2"/>
      <c r="D71" s="343" t="s">
        <v>39</v>
      </c>
      <c r="E71" s="343"/>
      <c r="F71" s="4" t="s">
        <v>50</v>
      </c>
      <c r="G71" s="3">
        <v>6</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60" t="s">
        <v>50</v>
      </c>
      <c r="E80" s="360"/>
      <c r="F80" s="16" t="s">
        <v>500</v>
      </c>
      <c r="G80" s="16">
        <v>0.2</v>
      </c>
      <c r="H80" s="16">
        <v>0.20100000000000001</v>
      </c>
      <c r="I80" s="16">
        <v>0.3</v>
      </c>
      <c r="J80" s="16">
        <v>0.30099999999999999</v>
      </c>
      <c r="K80" s="16">
        <v>0.499</v>
      </c>
      <c r="L80" s="16">
        <v>0.5</v>
      </c>
      <c r="M80" s="16" t="s">
        <v>500</v>
      </c>
      <c r="O80" s="2"/>
      <c r="AE80" s="3" t="s">
        <v>50</v>
      </c>
      <c r="AF80" s="3">
        <v>6</v>
      </c>
      <c r="AG80" s="3">
        <f t="shared" si="0"/>
        <v>1</v>
      </c>
      <c r="AH80" s="3">
        <f>+IF(AG80=0,0,IF(AG80=1,(SUM($AG$75:AG80)-1),1))</f>
        <v>0</v>
      </c>
      <c r="AI80" s="3">
        <f t="shared" si="1"/>
        <v>0</v>
      </c>
      <c r="AJ80" s="3">
        <f t="shared" si="2"/>
        <v>1</v>
      </c>
      <c r="AK80" s="3">
        <f t="shared" si="3"/>
        <v>1</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1</v>
      </c>
      <c r="AI81" s="3">
        <f t="shared" si="1"/>
        <v>0</v>
      </c>
      <c r="AJ81" s="3">
        <f t="shared" si="2"/>
        <v>0</v>
      </c>
      <c r="AK81" s="3">
        <f t="shared" si="3"/>
        <v>0</v>
      </c>
    </row>
    <row r="82" spans="2:37" x14ac:dyDescent="0.25">
      <c r="B82" s="2"/>
      <c r="D82" s="360" t="s">
        <v>54</v>
      </c>
      <c r="E82" s="360"/>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2</v>
      </c>
      <c r="AI82" s="3">
        <f t="shared" si="1"/>
        <v>0</v>
      </c>
      <c r="AJ82" s="3">
        <f t="shared" si="2"/>
        <v>0</v>
      </c>
      <c r="AK82" s="3">
        <f t="shared" si="3"/>
        <v>0</v>
      </c>
    </row>
    <row r="83" spans="2:37" x14ac:dyDescent="0.25">
      <c r="B83" s="2"/>
      <c r="D83" s="360" t="s">
        <v>55</v>
      </c>
      <c r="E83" s="360"/>
      <c r="F83" s="16" t="s">
        <v>500</v>
      </c>
      <c r="G83" s="16" t="s">
        <v>500</v>
      </c>
      <c r="H83" s="16" t="s">
        <v>500</v>
      </c>
      <c r="I83" s="16" t="s">
        <v>500</v>
      </c>
      <c r="J83" s="16" t="s">
        <v>500</v>
      </c>
      <c r="K83" s="16" t="s">
        <v>500</v>
      </c>
      <c r="L83" s="16" t="s">
        <v>500</v>
      </c>
      <c r="M83" s="16" t="s">
        <v>500</v>
      </c>
      <c r="O83" s="2"/>
      <c r="AE83" s="3" t="s">
        <v>55</v>
      </c>
      <c r="AF83" s="3">
        <v>9</v>
      </c>
      <c r="AG83" s="3">
        <f t="shared" si="0"/>
        <v>1</v>
      </c>
      <c r="AH83" s="3">
        <f>+IF(AG83=0,0,IF(AG83=1,(SUM($AG$75:AG83)-1),1))</f>
        <v>3</v>
      </c>
      <c r="AI83" s="3">
        <f t="shared" si="1"/>
        <v>0</v>
      </c>
      <c r="AJ83" s="3">
        <f t="shared" si="2"/>
        <v>0</v>
      </c>
      <c r="AK83" s="3">
        <f t="shared" si="3"/>
        <v>0</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4</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5</v>
      </c>
      <c r="AI85" s="3">
        <f t="shared" si="1"/>
        <v>0</v>
      </c>
      <c r="AJ85" s="3">
        <f t="shared" si="2"/>
        <v>0</v>
      </c>
      <c r="AK85" s="3">
        <f t="shared" si="3"/>
        <v>0</v>
      </c>
    </row>
    <row r="86" spans="2:37" x14ac:dyDescent="0.25">
      <c r="B86" s="2"/>
      <c r="D86" s="360" t="s">
        <v>58</v>
      </c>
      <c r="E86" s="360"/>
      <c r="F86" s="16" t="s">
        <v>500</v>
      </c>
      <c r="G86" s="16">
        <v>0.5</v>
      </c>
      <c r="H86" s="16">
        <v>0.501</v>
      </c>
      <c r="I86" s="16">
        <v>0.6</v>
      </c>
      <c r="J86" s="16">
        <v>0.60099999999999998</v>
      </c>
      <c r="K86" s="16">
        <v>0.999</v>
      </c>
      <c r="L86" s="16" t="s">
        <v>500</v>
      </c>
      <c r="M86" s="16">
        <v>1</v>
      </c>
      <c r="O86" s="2"/>
      <c r="AE86" s="3" t="s">
        <v>58</v>
      </c>
      <c r="AF86" s="65">
        <v>12</v>
      </c>
      <c r="AG86" s="3">
        <f t="shared" si="0"/>
        <v>1</v>
      </c>
      <c r="AH86" s="3">
        <f>+IF(AG86=0,0,IF(AG86=1,(SUM($AG$75:AG86)-1),1))</f>
        <v>6</v>
      </c>
      <c r="AI86" s="3">
        <f t="shared" si="1"/>
        <v>1</v>
      </c>
      <c r="AJ86" s="3">
        <f t="shared" si="2"/>
        <v>0</v>
      </c>
      <c r="AK86" s="3">
        <f t="shared" si="3"/>
        <v>1</v>
      </c>
    </row>
    <row r="87" spans="2:37" ht="3.75" customHeight="1" x14ac:dyDescent="0.25">
      <c r="B87" s="2"/>
      <c r="O87" s="2"/>
    </row>
    <row r="88" spans="2:37" ht="66" customHeight="1" x14ac:dyDescent="0.25">
      <c r="B88" s="2"/>
      <c r="D88" s="338" t="s">
        <v>59</v>
      </c>
      <c r="E88" s="339"/>
      <c r="F88" s="340"/>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2" customHeight="1" x14ac:dyDescent="0.25">
      <c r="B97" s="2"/>
      <c r="D97" s="359" t="s">
        <v>35</v>
      </c>
      <c r="E97" s="359"/>
      <c r="F97" s="344" t="s">
        <v>2145</v>
      </c>
      <c r="G97" s="344"/>
      <c r="H97" s="344"/>
      <c r="I97" s="344"/>
      <c r="J97" s="344"/>
      <c r="K97" s="344"/>
      <c r="L97" s="344"/>
      <c r="M97" s="344"/>
      <c r="O97" s="2"/>
    </row>
    <row r="98" spans="2:15" ht="42" customHeight="1" x14ac:dyDescent="0.25">
      <c r="B98" s="2"/>
      <c r="D98" s="359" t="s">
        <v>36</v>
      </c>
      <c r="E98" s="359"/>
      <c r="F98" s="344" t="s">
        <v>2146</v>
      </c>
      <c r="G98" s="344"/>
      <c r="H98" s="344"/>
      <c r="I98" s="344"/>
      <c r="J98" s="344"/>
      <c r="K98" s="344"/>
      <c r="L98" s="344"/>
      <c r="M98" s="344"/>
      <c r="O98" s="2"/>
    </row>
    <row r="99" spans="2:15" ht="3.95" customHeight="1" x14ac:dyDescent="0.25">
      <c r="B99" s="2"/>
      <c r="O99" s="2"/>
    </row>
    <row r="100" spans="2:15" ht="63.75" customHeight="1" x14ac:dyDescent="0.25">
      <c r="B100" s="2"/>
      <c r="D100" s="338" t="s">
        <v>62</v>
      </c>
      <c r="E100" s="339"/>
      <c r="F100" s="340" t="s">
        <v>2147</v>
      </c>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496</v>
      </c>
      <c r="K102" s="20"/>
      <c r="O102" s="2"/>
    </row>
    <row r="103" spans="2:15" ht="19.5" customHeight="1" x14ac:dyDescent="0.25">
      <c r="B103" s="2"/>
      <c r="D103" s="331"/>
      <c r="E103" s="332"/>
      <c r="F103" s="19" t="s">
        <v>66</v>
      </c>
      <c r="G103" s="4" t="s">
        <v>1828</v>
      </c>
      <c r="K103" s="21"/>
      <c r="O103" s="2"/>
    </row>
    <row r="104" spans="2:15" ht="27.75" customHeight="1" x14ac:dyDescent="0.25">
      <c r="B104" s="2"/>
      <c r="D104" s="331"/>
      <c r="E104" s="332"/>
      <c r="F104" s="19" t="s">
        <v>67</v>
      </c>
      <c r="G104" s="333" t="s">
        <v>1827</v>
      </c>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Director(a) Administrativa</v>
      </c>
      <c r="H108" s="334"/>
      <c r="I108" s="334"/>
      <c r="J108" s="334"/>
      <c r="K108" s="334"/>
      <c r="L108" s="334"/>
      <c r="M108" s="335"/>
      <c r="O108" s="2"/>
    </row>
    <row r="109" spans="2:15" ht="17.25" customHeight="1" x14ac:dyDescent="0.25">
      <c r="B109" s="2"/>
      <c r="D109" s="331"/>
      <c r="E109" s="332"/>
      <c r="F109" s="19" t="s">
        <v>2042</v>
      </c>
      <c r="G109" s="333" t="str">
        <f>+IF(M23="Si","Coordinador(a) Planeación y Sistemas","")</f>
        <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9:13" x14ac:dyDescent="0.25">
      <c r="M113" s="14" t="s">
        <v>70</v>
      </c>
    </row>
    <row r="123" spans="9:13" x14ac:dyDescent="0.25">
      <c r="I123" s="30"/>
      <c r="J123" s="30"/>
      <c r="K123" s="30"/>
    </row>
    <row r="124" spans="9:13" x14ac:dyDescent="0.25">
      <c r="I124" s="30"/>
      <c r="J124" s="30"/>
      <c r="K124" s="30"/>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449" priority="33">
      <formula>+IF($F$43="no",1,0)</formula>
    </cfRule>
  </conditionalFormatting>
  <conditionalFormatting sqref="F32:M32">
    <cfRule type="expression" dxfId="1448" priority="32">
      <formula>+IF($Q$30="NA",1,0)</formula>
    </cfRule>
  </conditionalFormatting>
  <conditionalFormatting sqref="F47:M47">
    <cfRule type="expression" dxfId="1447" priority="30">
      <formula>+IF($Q$47=0,1,0)</formula>
    </cfRule>
  </conditionalFormatting>
  <conditionalFormatting sqref="F73:G73">
    <cfRule type="cellIs" dxfId="1446" priority="16" operator="equal">
      <formula>"optimo"</formula>
    </cfRule>
    <cfRule type="cellIs" dxfId="1445" priority="17" operator="equal">
      <formula>"critico"</formula>
    </cfRule>
  </conditionalFormatting>
  <conditionalFormatting sqref="H73:I73">
    <cfRule type="cellIs" dxfId="1444" priority="14" operator="equal">
      <formula>"Adecuado"</formula>
    </cfRule>
    <cfRule type="cellIs" dxfId="1443" priority="15" operator="equal">
      <formula>"en riesgo"</formula>
    </cfRule>
  </conditionalFormatting>
  <conditionalFormatting sqref="J73:K73">
    <cfRule type="cellIs" dxfId="1442" priority="12" operator="equal">
      <formula>"Adecuado"</formula>
    </cfRule>
    <cfRule type="cellIs" dxfId="1441" priority="13" operator="equal">
      <formula>"en riesgo"</formula>
    </cfRule>
  </conditionalFormatting>
  <conditionalFormatting sqref="L73:M73">
    <cfRule type="cellIs" dxfId="1440" priority="10" operator="equal">
      <formula>"optimo"</formula>
    </cfRule>
    <cfRule type="cellIs" dxfId="1439" priority="11" operator="equal">
      <formula>"critico"</formula>
    </cfRule>
  </conditionalFormatting>
  <conditionalFormatting sqref="F75:M86">
    <cfRule type="expression" dxfId="1438" priority="9">
      <formula>+IF($AK75=0,1)</formula>
    </cfRule>
  </conditionalFormatting>
  <conditionalFormatting sqref="F103:G104">
    <cfRule type="expression" dxfId="1437" priority="8">
      <formula>+IF($G$102="No",1,0)</formula>
    </cfRule>
  </conditionalFormatting>
  <conditionalFormatting sqref="F51">
    <cfRule type="expression" dxfId="1436" priority="7">
      <formula>+IF($F$43="no",1,0)</formula>
    </cfRule>
  </conditionalFormatting>
  <conditionalFormatting sqref="I51">
    <cfRule type="expression" dxfId="1435" priority="6">
      <formula>+IF($F$51="no",1,0)</formula>
    </cfRule>
  </conditionalFormatting>
  <conditionalFormatting sqref="F33:M33">
    <cfRule type="expression" dxfId="1434" priority="5">
      <formula>+IF($Q$30="NA",1,0)</formula>
    </cfRule>
  </conditionalFormatting>
  <conditionalFormatting sqref="F33:M33">
    <cfRule type="expression" dxfId="1433" priority="4">
      <formula>+IF($Q$33=0,1,0)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6">
    <tabColor rgb="FF0070C0"/>
  </sheetPr>
  <dimension ref="B1:AV113"/>
  <sheetViews>
    <sheetView topLeftCell="A61" zoomScaleNormal="100" workbookViewId="0">
      <selection activeCell="F88" sqref="F88:M88"/>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271</v>
      </c>
      <c r="O10" s="2"/>
    </row>
    <row r="11" spans="2:24" ht="3.95" customHeight="1" x14ac:dyDescent="0.25">
      <c r="B11" s="2"/>
      <c r="D11" s="6"/>
      <c r="O11" s="2"/>
    </row>
    <row r="12" spans="2:24" ht="36" customHeight="1" x14ac:dyDescent="0.25">
      <c r="B12" s="2"/>
      <c r="D12" s="338" t="s">
        <v>5</v>
      </c>
      <c r="E12" s="339"/>
      <c r="F12" s="340" t="s">
        <v>1123</v>
      </c>
      <c r="G12" s="341"/>
      <c r="H12" s="341"/>
      <c r="I12" s="341"/>
      <c r="J12" s="341"/>
      <c r="K12" s="341"/>
      <c r="L12" s="341"/>
      <c r="M12" s="342"/>
      <c r="O12" s="2"/>
      <c r="W12" s="3" t="str">
        <f>+F23</f>
        <v>cuatrimestral</v>
      </c>
      <c r="X12" s="3" t="str">
        <f>+F71</f>
        <v>Abril</v>
      </c>
    </row>
    <row r="13" spans="2:24" ht="3.95" customHeight="1" x14ac:dyDescent="0.25">
      <c r="B13" s="2"/>
      <c r="O13" s="2"/>
    </row>
    <row r="14" spans="2:24" ht="38.25" customHeight="1" x14ac:dyDescent="0.25">
      <c r="B14" s="2"/>
      <c r="D14" s="338" t="s">
        <v>6</v>
      </c>
      <c r="E14" s="339"/>
      <c r="F14" s="340" t="s">
        <v>1124</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17" t="s">
        <v>512</v>
      </c>
      <c r="G22" s="337" t="s">
        <v>9</v>
      </c>
      <c r="H22" s="337"/>
      <c r="I22" s="17">
        <v>0.2</v>
      </c>
      <c r="K22" s="337" t="s">
        <v>10</v>
      </c>
      <c r="L22" s="337"/>
      <c r="M22" s="9" t="s">
        <v>496</v>
      </c>
      <c r="O22" s="2"/>
    </row>
    <row r="23" spans="2:17" ht="19.5" customHeight="1" x14ac:dyDescent="0.25">
      <c r="B23" s="2"/>
      <c r="D23" s="337" t="s">
        <v>11</v>
      </c>
      <c r="E23" s="337"/>
      <c r="F23" s="4" t="s">
        <v>1125</v>
      </c>
      <c r="G23" s="337" t="s">
        <v>12</v>
      </c>
      <c r="H23" s="337"/>
      <c r="I23" s="4" t="s">
        <v>497</v>
      </c>
      <c r="K23" s="337" t="s">
        <v>13</v>
      </c>
      <c r="L23" s="337"/>
      <c r="M23" s="9" t="s">
        <v>2</v>
      </c>
      <c r="O23" s="2"/>
    </row>
    <row r="24" spans="2:17" ht="20.100000000000001" customHeight="1" x14ac:dyDescent="0.25">
      <c r="B24" s="2"/>
      <c r="D24" s="337" t="s">
        <v>14</v>
      </c>
      <c r="E24" s="337"/>
      <c r="F24" s="4" t="s">
        <v>498</v>
      </c>
      <c r="G24" s="337" t="s">
        <v>15</v>
      </c>
      <c r="H24" s="337"/>
      <c r="I24" s="4" t="s">
        <v>533</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soporte</v>
      </c>
    </row>
    <row r="31" spans="2:17" ht="24" customHeight="1" x14ac:dyDescent="0.25">
      <c r="B31" s="2"/>
      <c r="D31" s="347"/>
      <c r="E31" s="348"/>
      <c r="F31" s="4" t="s">
        <v>257</v>
      </c>
      <c r="G31" s="340" t="s">
        <v>258</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1602</v>
      </c>
      <c r="G33" s="340" t="s">
        <v>1550</v>
      </c>
      <c r="H33" s="341"/>
      <c r="I33" s="341"/>
      <c r="J33" s="341"/>
      <c r="K33" s="341"/>
      <c r="L33" s="341"/>
      <c r="M33" s="342"/>
      <c r="O33" s="2"/>
      <c r="Q33" s="3">
        <f>+IFERROR(IF(VLOOKUP(G33,base!$A$26:$C$40,3,FALSE)=F31,1,0),"")</f>
        <v>1</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1716</v>
      </c>
      <c r="G35" s="340" t="s">
        <v>1592</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1126</v>
      </c>
      <c r="G45" s="340" t="s">
        <v>1127</v>
      </c>
      <c r="H45" s="341"/>
      <c r="I45" s="341"/>
      <c r="J45" s="341"/>
      <c r="K45" s="341"/>
      <c r="L45" s="341"/>
      <c r="M45" s="342"/>
      <c r="O45" s="2"/>
      <c r="Q45" s="3" t="str">
        <f>+IFERROR(VLOOKUP(G45,base!$A$41:$C$45,3,FALSE),"")</f>
        <v>admon</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1625</v>
      </c>
      <c r="G47" s="340" t="s">
        <v>1704</v>
      </c>
      <c r="H47" s="341"/>
      <c r="I47" s="341"/>
      <c r="J47" s="341"/>
      <c r="K47" s="341"/>
      <c r="L47" s="341"/>
      <c r="M47" s="342"/>
      <c r="O47" s="2"/>
      <c r="Q47" s="3">
        <f>+IF(VLOOKUP(G47,base!$A$46:$C$66,3,FALSE)=F45,1,0)</f>
        <v>1</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920</v>
      </c>
      <c r="G49" s="340" t="s">
        <v>899</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29"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37" t="s">
        <v>34</v>
      </c>
      <c r="E59" s="337"/>
      <c r="F59" s="344" t="s">
        <v>2140</v>
      </c>
      <c r="G59" s="344"/>
      <c r="H59" s="344"/>
      <c r="I59" s="344"/>
      <c r="J59" s="344"/>
      <c r="K59" s="344"/>
      <c r="L59" s="344"/>
      <c r="M59" s="344"/>
      <c r="O59" s="2"/>
    </row>
    <row r="60" spans="2:15" ht="31.5" customHeight="1" x14ac:dyDescent="0.25">
      <c r="B60" s="2"/>
      <c r="D60" s="359" t="s">
        <v>35</v>
      </c>
      <c r="E60" s="359"/>
      <c r="F60" s="344" t="s">
        <v>1128</v>
      </c>
      <c r="G60" s="344"/>
      <c r="H60" s="344"/>
      <c r="I60" s="344"/>
      <c r="J60" s="344"/>
      <c r="K60" s="344"/>
      <c r="L60" s="344"/>
      <c r="M60" s="344"/>
      <c r="O60" s="2"/>
    </row>
    <row r="61" spans="2:15" ht="41.25" customHeight="1" x14ac:dyDescent="0.25">
      <c r="B61" s="2"/>
      <c r="D61" s="359" t="s">
        <v>36</v>
      </c>
      <c r="E61" s="359"/>
      <c r="F61" s="340" t="s">
        <v>2139</v>
      </c>
      <c r="G61" s="341"/>
      <c r="H61" s="341"/>
      <c r="I61" s="341"/>
      <c r="J61" s="341"/>
      <c r="K61" s="341"/>
      <c r="L61" s="341"/>
      <c r="M61" s="342"/>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4</v>
      </c>
    </row>
    <row r="70" spans="2:37" ht="3.95" customHeight="1" x14ac:dyDescent="0.25">
      <c r="B70" s="2"/>
      <c r="D70" s="7"/>
      <c r="E70" s="7"/>
      <c r="O70" s="2"/>
    </row>
    <row r="71" spans="2:37" ht="18.75" customHeight="1" x14ac:dyDescent="0.25">
      <c r="B71" s="2"/>
      <c r="D71" s="343" t="s">
        <v>39</v>
      </c>
      <c r="E71" s="343"/>
      <c r="F71" s="4" t="s">
        <v>48</v>
      </c>
      <c r="G71" s="3">
        <v>4</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60" t="s">
        <v>48</v>
      </c>
      <c r="E78" s="360"/>
      <c r="F78" s="16" t="s">
        <v>500</v>
      </c>
      <c r="G78" s="16">
        <v>0.02</v>
      </c>
      <c r="H78" s="16">
        <v>2.1000000000000001E-2</v>
      </c>
      <c r="I78" s="16">
        <v>0.03</v>
      </c>
      <c r="J78" s="16">
        <v>3.1E-2</v>
      </c>
      <c r="K78" s="16">
        <v>3.9E-2</v>
      </c>
      <c r="L78" s="16">
        <v>0.04</v>
      </c>
      <c r="M78" s="16" t="s">
        <v>500</v>
      </c>
      <c r="O78" s="2"/>
      <c r="AE78" s="3" t="s">
        <v>48</v>
      </c>
      <c r="AF78" s="3">
        <v>4</v>
      </c>
      <c r="AG78" s="3">
        <f t="shared" si="0"/>
        <v>1</v>
      </c>
      <c r="AH78" s="3">
        <f>+IF(AG78=0,0,IF(AG78=1,(SUM($AG$75:AG78)-1),1))</f>
        <v>0</v>
      </c>
      <c r="AI78" s="3">
        <f t="shared" si="1"/>
        <v>0</v>
      </c>
      <c r="AJ78" s="3">
        <f t="shared" si="2"/>
        <v>1</v>
      </c>
      <c r="AK78" s="3">
        <f t="shared" si="3"/>
        <v>1</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1</v>
      </c>
      <c r="AI79" s="3">
        <f t="shared" si="1"/>
        <v>0</v>
      </c>
      <c r="AJ79" s="3">
        <f t="shared" si="2"/>
        <v>0</v>
      </c>
      <c r="AK79" s="3">
        <f t="shared" si="3"/>
        <v>0</v>
      </c>
    </row>
    <row r="80" spans="2:37" x14ac:dyDescent="0.25">
      <c r="B80" s="2"/>
      <c r="D80" s="360" t="s">
        <v>50</v>
      </c>
      <c r="E80" s="360"/>
      <c r="F80" s="16" t="s">
        <v>500</v>
      </c>
      <c r="G80" s="16" t="s">
        <v>500</v>
      </c>
      <c r="H80" s="16" t="s">
        <v>500</v>
      </c>
      <c r="I80" s="16" t="s">
        <v>500</v>
      </c>
      <c r="J80" s="16" t="s">
        <v>500</v>
      </c>
      <c r="K80" s="16" t="s">
        <v>500</v>
      </c>
      <c r="L80" s="16" t="s">
        <v>500</v>
      </c>
      <c r="M80" s="16" t="s">
        <v>500</v>
      </c>
      <c r="O80" s="2"/>
      <c r="AE80" s="3" t="s">
        <v>50</v>
      </c>
      <c r="AF80" s="3">
        <v>6</v>
      </c>
      <c r="AG80" s="3">
        <f t="shared" si="0"/>
        <v>1</v>
      </c>
      <c r="AH80" s="3">
        <f>+IF(AG80=0,0,IF(AG80=1,(SUM($AG$75:AG80)-1),1))</f>
        <v>2</v>
      </c>
      <c r="AI80" s="3">
        <f t="shared" si="1"/>
        <v>0</v>
      </c>
      <c r="AJ80" s="3">
        <f t="shared" si="2"/>
        <v>0</v>
      </c>
      <c r="AK80" s="3">
        <f t="shared" si="3"/>
        <v>0</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3</v>
      </c>
      <c r="AI81" s="3">
        <f t="shared" si="1"/>
        <v>0</v>
      </c>
      <c r="AJ81" s="3">
        <f t="shared" si="2"/>
        <v>0</v>
      </c>
      <c r="AK81" s="3">
        <f t="shared" si="3"/>
        <v>0</v>
      </c>
    </row>
    <row r="82" spans="2:37" x14ac:dyDescent="0.25">
      <c r="B82" s="2"/>
      <c r="D82" s="360" t="s">
        <v>54</v>
      </c>
      <c r="E82" s="360"/>
      <c r="F82" s="16" t="s">
        <v>500</v>
      </c>
      <c r="G82" s="16">
        <v>7.0000000000000007E-2</v>
      </c>
      <c r="H82" s="16">
        <v>7.1000000000000008E-2</v>
      </c>
      <c r="I82" s="16">
        <v>0.08</v>
      </c>
      <c r="J82" s="16">
        <v>8.1000000000000003E-2</v>
      </c>
      <c r="K82" s="16">
        <v>9.9000000000000005E-2</v>
      </c>
      <c r="L82" s="16">
        <v>0.1</v>
      </c>
      <c r="M82" s="16" t="s">
        <v>500</v>
      </c>
      <c r="O82" s="2"/>
      <c r="AE82" s="3" t="s">
        <v>54</v>
      </c>
      <c r="AF82" s="3">
        <v>8</v>
      </c>
      <c r="AG82" s="3">
        <f t="shared" si="0"/>
        <v>1</v>
      </c>
      <c r="AH82" s="3">
        <f>+IF(AG82=0,0,IF(AG82=1,(SUM($AG$75:AG82)-1),1))</f>
        <v>4</v>
      </c>
      <c r="AI82" s="3">
        <f t="shared" si="1"/>
        <v>1</v>
      </c>
      <c r="AJ82" s="3">
        <f t="shared" si="2"/>
        <v>0</v>
      </c>
      <c r="AK82" s="3">
        <f t="shared" si="3"/>
        <v>1</v>
      </c>
    </row>
    <row r="83" spans="2:37" x14ac:dyDescent="0.25">
      <c r="B83" s="2"/>
      <c r="D83" s="360" t="s">
        <v>55</v>
      </c>
      <c r="E83" s="360"/>
      <c r="F83" s="16" t="s">
        <v>500</v>
      </c>
      <c r="G83" s="16" t="s">
        <v>500</v>
      </c>
      <c r="H83" s="16" t="s">
        <v>500</v>
      </c>
      <c r="I83" s="16" t="s">
        <v>500</v>
      </c>
      <c r="J83" s="16" t="s">
        <v>500</v>
      </c>
      <c r="K83" s="16" t="s">
        <v>500</v>
      </c>
      <c r="L83" s="16" t="s">
        <v>500</v>
      </c>
      <c r="M83" s="16" t="s">
        <v>500</v>
      </c>
      <c r="O83" s="2"/>
      <c r="AE83" s="3" t="s">
        <v>55</v>
      </c>
      <c r="AF83" s="3">
        <v>9</v>
      </c>
      <c r="AG83" s="3">
        <f t="shared" si="0"/>
        <v>1</v>
      </c>
      <c r="AH83" s="3">
        <f>+IF(AG83=0,0,IF(AG83=1,(SUM($AG$75:AG83)-1),1))</f>
        <v>5</v>
      </c>
      <c r="AI83" s="3">
        <f t="shared" si="1"/>
        <v>0</v>
      </c>
      <c r="AJ83" s="3">
        <f t="shared" si="2"/>
        <v>0</v>
      </c>
      <c r="AK83" s="3">
        <f t="shared" si="3"/>
        <v>0</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6</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7</v>
      </c>
      <c r="AI85" s="3">
        <f t="shared" si="1"/>
        <v>0</v>
      </c>
      <c r="AJ85" s="3">
        <f t="shared" si="2"/>
        <v>0</v>
      </c>
      <c r="AK85" s="3">
        <f t="shared" si="3"/>
        <v>0</v>
      </c>
    </row>
    <row r="86" spans="2:37" x14ac:dyDescent="0.25">
      <c r="B86" s="2"/>
      <c r="D86" s="360" t="s">
        <v>58</v>
      </c>
      <c r="E86" s="360"/>
      <c r="F86" s="16" t="s">
        <v>500</v>
      </c>
      <c r="G86" s="16">
        <v>0.14000000000000001</v>
      </c>
      <c r="H86" s="16">
        <v>0.14100000000000001</v>
      </c>
      <c r="I86" s="16">
        <v>0.16</v>
      </c>
      <c r="J86" s="16">
        <v>0.161</v>
      </c>
      <c r="K86" s="16">
        <v>0.19900000000000001</v>
      </c>
      <c r="L86" s="16">
        <v>0.2</v>
      </c>
      <c r="M86" s="16"/>
      <c r="O86" s="2"/>
      <c r="AE86" s="3" t="s">
        <v>58</v>
      </c>
      <c r="AF86" s="65">
        <v>12</v>
      </c>
      <c r="AG86" s="3">
        <f t="shared" si="0"/>
        <v>1</v>
      </c>
      <c r="AH86" s="3">
        <f>+IF(AG86=0,0,IF(AG86=1,(SUM($AG$75:AG86)-1),1))</f>
        <v>8</v>
      </c>
      <c r="AI86" s="3">
        <f t="shared" si="1"/>
        <v>1</v>
      </c>
      <c r="AJ86" s="3">
        <f t="shared" si="2"/>
        <v>0</v>
      </c>
      <c r="AK86" s="3">
        <f t="shared" si="3"/>
        <v>1</v>
      </c>
    </row>
    <row r="87" spans="2:37" ht="3.75" customHeight="1" x14ac:dyDescent="0.25">
      <c r="B87" s="2"/>
      <c r="O87" s="2"/>
    </row>
    <row r="88" spans="2:37" ht="45.75" customHeight="1" x14ac:dyDescent="0.25">
      <c r="B88" s="2"/>
      <c r="D88" s="338" t="s">
        <v>59</v>
      </c>
      <c r="E88" s="339"/>
      <c r="F88" s="340"/>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2" customHeight="1" x14ac:dyDescent="0.25">
      <c r="B97" s="2"/>
      <c r="D97" s="359" t="s">
        <v>35</v>
      </c>
      <c r="E97" s="359"/>
      <c r="F97" s="344" t="s">
        <v>1129</v>
      </c>
      <c r="G97" s="344"/>
      <c r="H97" s="344"/>
      <c r="I97" s="344"/>
      <c r="J97" s="344"/>
      <c r="K97" s="344"/>
      <c r="L97" s="344"/>
      <c r="M97" s="344"/>
      <c r="O97" s="2"/>
    </row>
    <row r="98" spans="2:15" ht="42" customHeight="1" x14ac:dyDescent="0.25">
      <c r="B98" s="2"/>
      <c r="D98" s="359" t="s">
        <v>36</v>
      </c>
      <c r="E98" s="359"/>
      <c r="F98" s="344" t="s">
        <v>1130</v>
      </c>
      <c r="G98" s="344"/>
      <c r="H98" s="344"/>
      <c r="I98" s="344"/>
      <c r="J98" s="344"/>
      <c r="K98" s="344"/>
      <c r="L98" s="344"/>
      <c r="M98" s="344"/>
      <c r="O98" s="2"/>
    </row>
    <row r="99" spans="2:15" ht="3.95" customHeight="1" x14ac:dyDescent="0.25">
      <c r="B99" s="2"/>
      <c r="O99" s="2"/>
    </row>
    <row r="100" spans="2:15" ht="58.5" customHeight="1" x14ac:dyDescent="0.25">
      <c r="B100" s="2"/>
      <c r="D100" s="338" t="s">
        <v>62</v>
      </c>
      <c r="E100" s="339"/>
      <c r="F100" s="333"/>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496</v>
      </c>
      <c r="K102" s="20"/>
      <c r="O102" s="2"/>
    </row>
    <row r="103" spans="2:15" ht="19.5" customHeight="1" x14ac:dyDescent="0.25">
      <c r="B103" s="2"/>
      <c r="D103" s="331"/>
      <c r="E103" s="332"/>
      <c r="F103" s="19" t="s">
        <v>66</v>
      </c>
      <c r="G103" s="4" t="s">
        <v>1830</v>
      </c>
      <c r="K103" s="21"/>
      <c r="O103" s="2"/>
    </row>
    <row r="104" spans="2:15" ht="27.75" customHeight="1" x14ac:dyDescent="0.25">
      <c r="B104" s="2"/>
      <c r="D104" s="331"/>
      <c r="E104" s="332"/>
      <c r="F104" s="19" t="s">
        <v>67</v>
      </c>
      <c r="G104" s="333" t="s">
        <v>1829</v>
      </c>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Director(a) Administrativa</v>
      </c>
      <c r="H108" s="334"/>
      <c r="I108" s="334"/>
      <c r="J108" s="334"/>
      <c r="K108" s="334"/>
      <c r="L108" s="334"/>
      <c r="M108" s="335"/>
      <c r="O108" s="2"/>
    </row>
    <row r="109" spans="2:15" ht="17.25" customHeight="1" x14ac:dyDescent="0.25">
      <c r="B109" s="2"/>
      <c r="D109" s="331"/>
      <c r="E109" s="332"/>
      <c r="F109" s="19" t="s">
        <v>2042</v>
      </c>
      <c r="G109" s="333" t="str">
        <f>+IF(M23="Si","Coordinador(a) Planeación y Sistemas","")</f>
        <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6 F48:M49">
    <cfRule type="expression" dxfId="1432" priority="35">
      <formula>+IF($F$43="no",1,0)</formula>
    </cfRule>
  </conditionalFormatting>
  <conditionalFormatting sqref="F32:M32">
    <cfRule type="expression" dxfId="1431" priority="34">
      <formula>+IF($Q$30="NA",1,0)</formula>
    </cfRule>
  </conditionalFormatting>
  <conditionalFormatting sqref="F73:G73">
    <cfRule type="cellIs" dxfId="1430" priority="18" operator="equal">
      <formula>"optimo"</formula>
    </cfRule>
    <cfRule type="cellIs" dxfId="1429" priority="19" operator="equal">
      <formula>"critico"</formula>
    </cfRule>
  </conditionalFormatting>
  <conditionalFormatting sqref="H73:I73">
    <cfRule type="cellIs" dxfId="1428" priority="16" operator="equal">
      <formula>"Adecuado"</formula>
    </cfRule>
    <cfRule type="cellIs" dxfId="1427" priority="17" operator="equal">
      <formula>"en riesgo"</formula>
    </cfRule>
  </conditionalFormatting>
  <conditionalFormatting sqref="J73:K73">
    <cfRule type="cellIs" dxfId="1426" priority="14" operator="equal">
      <formula>"Adecuado"</formula>
    </cfRule>
    <cfRule type="cellIs" dxfId="1425" priority="15" operator="equal">
      <formula>"en riesgo"</formula>
    </cfRule>
  </conditionalFormatting>
  <conditionalFormatting sqref="L73:M73">
    <cfRule type="cellIs" dxfId="1424" priority="12" operator="equal">
      <formula>"optimo"</formula>
    </cfRule>
    <cfRule type="cellIs" dxfId="1423" priority="13" operator="equal">
      <formula>"critico"</formula>
    </cfRule>
  </conditionalFormatting>
  <conditionalFormatting sqref="F75:M86">
    <cfRule type="expression" dxfId="1422" priority="11">
      <formula>+IF($AK75=0,1)</formula>
    </cfRule>
  </conditionalFormatting>
  <conditionalFormatting sqref="F103:G104">
    <cfRule type="expression" dxfId="1421" priority="10">
      <formula>+IF($G$102="No",1,0)</formula>
    </cfRule>
  </conditionalFormatting>
  <conditionalFormatting sqref="F51">
    <cfRule type="expression" dxfId="1420" priority="9">
      <formula>+IF($F$43="no",1,0)</formula>
    </cfRule>
  </conditionalFormatting>
  <conditionalFormatting sqref="I51">
    <cfRule type="expression" dxfId="1419" priority="8">
      <formula>+IF($F$51="no",1,0)</formula>
    </cfRule>
  </conditionalFormatting>
  <conditionalFormatting sqref="F33:M33">
    <cfRule type="expression" dxfId="1418" priority="7">
      <formula>+IF($Q$30="NA",1,0)</formula>
    </cfRule>
  </conditionalFormatting>
  <conditionalFormatting sqref="F33:M33">
    <cfRule type="expression" dxfId="1417" priority="6">
      <formula>+IF($Q$33=0,1,0)</formula>
    </cfRule>
  </conditionalFormatting>
  <conditionalFormatting sqref="F47:M47">
    <cfRule type="expression" dxfId="1416" priority="5">
      <formula>+IF($F$43="no",1,0)</formula>
    </cfRule>
  </conditionalFormatting>
  <conditionalFormatting sqref="F47:M47">
    <cfRule type="expression" dxfId="1415" priority="4">
      <formula>+IF($Q$47=0,1,0)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7">
    <tabColor rgb="FF0070C0"/>
  </sheetPr>
  <dimension ref="B1:AV128"/>
  <sheetViews>
    <sheetView zoomScale="90" zoomScaleNormal="90" workbookViewId="0"/>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273</v>
      </c>
      <c r="O10" s="2"/>
    </row>
    <row r="11" spans="2:24" ht="3.95" customHeight="1" x14ac:dyDescent="0.25">
      <c r="B11" s="2"/>
      <c r="D11" s="6"/>
      <c r="O11" s="2"/>
    </row>
    <row r="12" spans="2:24" ht="36" customHeight="1" x14ac:dyDescent="0.25">
      <c r="B12" s="2"/>
      <c r="D12" s="338" t="s">
        <v>5</v>
      </c>
      <c r="E12" s="339"/>
      <c r="F12" s="340" t="s">
        <v>274</v>
      </c>
      <c r="G12" s="341"/>
      <c r="H12" s="341"/>
      <c r="I12" s="341"/>
      <c r="J12" s="341"/>
      <c r="K12" s="341"/>
      <c r="L12" s="341"/>
      <c r="M12" s="342"/>
      <c r="O12" s="2"/>
      <c r="W12" s="3" t="str">
        <f>+F23</f>
        <v>Trimestral</v>
      </c>
      <c r="X12" s="3" t="str">
        <f>+F71</f>
        <v>Marzo</v>
      </c>
    </row>
    <row r="13" spans="2:24" ht="3.95" customHeight="1" x14ac:dyDescent="0.25">
      <c r="B13" s="2"/>
      <c r="O13" s="2"/>
    </row>
    <row r="14" spans="2:24" ht="38.25" customHeight="1" x14ac:dyDescent="0.25">
      <c r="B14" s="2"/>
      <c r="D14" s="338" t="s">
        <v>6</v>
      </c>
      <c r="E14" s="339"/>
      <c r="F14" s="340" t="s">
        <v>1117</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29">
        <v>0</v>
      </c>
      <c r="G22" s="337" t="s">
        <v>9</v>
      </c>
      <c r="H22" s="337"/>
      <c r="I22" s="29">
        <v>52</v>
      </c>
      <c r="K22" s="337" t="s">
        <v>10</v>
      </c>
      <c r="L22" s="337"/>
      <c r="M22" s="9" t="s">
        <v>496</v>
      </c>
      <c r="O22" s="2"/>
    </row>
    <row r="23" spans="2:17" ht="19.5" customHeight="1" x14ac:dyDescent="0.25">
      <c r="B23" s="2"/>
      <c r="D23" s="337" t="s">
        <v>11</v>
      </c>
      <c r="E23" s="337"/>
      <c r="F23" s="4" t="s">
        <v>71</v>
      </c>
      <c r="G23" s="337" t="s">
        <v>12</v>
      </c>
      <c r="H23" s="337"/>
      <c r="I23" s="4" t="s">
        <v>514</v>
      </c>
      <c r="K23" s="337" t="s">
        <v>13</v>
      </c>
      <c r="L23" s="337"/>
      <c r="M23" s="9" t="s">
        <v>496</v>
      </c>
      <c r="O23" s="2"/>
    </row>
    <row r="24" spans="2:17" ht="20.100000000000001" customHeight="1" x14ac:dyDescent="0.25">
      <c r="B24" s="2"/>
      <c r="D24" s="337" t="s">
        <v>14</v>
      </c>
      <c r="E24" s="337"/>
      <c r="F24" s="4" t="s">
        <v>498</v>
      </c>
      <c r="G24" s="337" t="s">
        <v>15</v>
      </c>
      <c r="H24" s="337"/>
      <c r="I24" s="4" t="s">
        <v>103</v>
      </c>
      <c r="K24" s="337" t="s">
        <v>16</v>
      </c>
      <c r="L24" s="337"/>
      <c r="M24" s="9" t="s">
        <v>2</v>
      </c>
      <c r="O24" s="2"/>
    </row>
    <row r="25" spans="2:17" ht="20.100000000000001" customHeight="1" x14ac:dyDescent="0.25">
      <c r="B25" s="2"/>
      <c r="D25" s="337" t="s">
        <v>17</v>
      </c>
      <c r="E25" s="337"/>
      <c r="F25" s="4" t="s">
        <v>683</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soporte</v>
      </c>
    </row>
    <row r="31" spans="2:17" ht="24" customHeight="1" x14ac:dyDescent="0.25">
      <c r="B31" s="2"/>
      <c r="D31" s="347"/>
      <c r="E31" s="348"/>
      <c r="F31" s="4" t="s">
        <v>257</v>
      </c>
      <c r="G31" s="340" t="s">
        <v>258</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1602</v>
      </c>
      <c r="G33" s="340" t="s">
        <v>1550</v>
      </c>
      <c r="H33" s="341"/>
      <c r="I33" s="341"/>
      <c r="J33" s="341"/>
      <c r="K33" s="341"/>
      <c r="L33" s="341"/>
      <c r="M33" s="342"/>
      <c r="O33" s="2"/>
      <c r="Q33" s="3">
        <f>+IFERROR(IF(VLOOKUP(G33,base!$A$26:$C$40,3,FALSE)=F31,1,0),"")</f>
        <v>1</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1716</v>
      </c>
      <c r="G35" s="340" t="s">
        <v>1592</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2</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500</v>
      </c>
      <c r="G45" s="340" t="s">
        <v>512</v>
      </c>
      <c r="H45" s="341"/>
      <c r="I45" s="341"/>
      <c r="J45" s="341"/>
      <c r="K45" s="341"/>
      <c r="L45" s="341"/>
      <c r="M45" s="342"/>
      <c r="O45" s="2"/>
      <c r="Q45" s="3" t="str">
        <f>+IFERROR(VLOOKUP(G45,base!$A$41:$C$45,3,FALSE),"")</f>
        <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503</v>
      </c>
      <c r="G47" s="340"/>
      <c r="H47" s="341"/>
      <c r="I47" s="341"/>
      <c r="J47" s="341"/>
      <c r="K47" s="341"/>
      <c r="L47" s="341"/>
      <c r="M47" s="342"/>
      <c r="O47" s="2"/>
      <c r="Q47" s="3" t="e">
        <f>+IF(VLOOKUP(G47,base!$A$46:$C$66,3,FALSE)=F45,1,0)</f>
        <v>#N/A</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920</v>
      </c>
      <c r="G49" s="340" t="s">
        <v>899</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29"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37" t="s">
        <v>34</v>
      </c>
      <c r="E59" s="337"/>
      <c r="F59" s="344" t="s">
        <v>1118</v>
      </c>
      <c r="G59" s="344"/>
      <c r="H59" s="344"/>
      <c r="I59" s="344"/>
      <c r="J59" s="344"/>
      <c r="K59" s="344"/>
      <c r="L59" s="344"/>
      <c r="M59" s="344"/>
      <c r="O59" s="2"/>
    </row>
    <row r="60" spans="2:15" ht="66" customHeight="1" x14ac:dyDescent="0.25">
      <c r="B60" s="2"/>
      <c r="D60" s="359" t="s">
        <v>35</v>
      </c>
      <c r="E60" s="359"/>
      <c r="F60" s="344" t="s">
        <v>1119</v>
      </c>
      <c r="G60" s="344"/>
      <c r="H60" s="344"/>
      <c r="I60" s="344"/>
      <c r="J60" s="344"/>
      <c r="K60" s="344"/>
      <c r="L60" s="344"/>
      <c r="M60" s="344"/>
      <c r="O60" s="2"/>
    </row>
    <row r="61" spans="2:15" ht="41.25" customHeight="1" x14ac:dyDescent="0.25">
      <c r="B61" s="2"/>
      <c r="D61" s="359" t="s">
        <v>36</v>
      </c>
      <c r="E61" s="359"/>
      <c r="F61" s="340" t="s">
        <v>1120</v>
      </c>
      <c r="G61" s="341"/>
      <c r="H61" s="341"/>
      <c r="I61" s="341"/>
      <c r="J61" s="341"/>
      <c r="K61" s="341"/>
      <c r="L61" s="341"/>
      <c r="M61" s="342"/>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43" t="s">
        <v>39</v>
      </c>
      <c r="E71" s="343"/>
      <c r="F71" s="4" t="s">
        <v>47</v>
      </c>
      <c r="G71" s="3">
        <v>3</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22" t="s">
        <v>500</v>
      </c>
      <c r="M76" s="22"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v>0.08</v>
      </c>
      <c r="H77" s="16">
        <v>8.1000000000000003E-2</v>
      </c>
      <c r="I77" s="16">
        <v>0.12</v>
      </c>
      <c r="J77" s="16">
        <v>0.121</v>
      </c>
      <c r="K77" s="16">
        <v>0.14899999999999999</v>
      </c>
      <c r="L77" s="16">
        <v>0.15</v>
      </c>
      <c r="M77" s="22" t="s">
        <v>500</v>
      </c>
      <c r="O77" s="2"/>
      <c r="AE77" s="3" t="s">
        <v>47</v>
      </c>
      <c r="AF77" s="3">
        <v>3</v>
      </c>
      <c r="AG77" s="3">
        <f t="shared" si="0"/>
        <v>1</v>
      </c>
      <c r="AH77" s="3">
        <f>+IF(AG77=0,0,IF(AG77=1,(SUM($AG$75:AG77)-1),1))</f>
        <v>0</v>
      </c>
      <c r="AI77" s="3">
        <f t="shared" si="1"/>
        <v>0</v>
      </c>
      <c r="AJ77" s="3">
        <f t="shared" si="2"/>
        <v>1</v>
      </c>
      <c r="AK77" s="3">
        <f t="shared" si="3"/>
        <v>1</v>
      </c>
    </row>
    <row r="78" spans="2:37" x14ac:dyDescent="0.25">
      <c r="B78" s="2"/>
      <c r="D78" s="360" t="s">
        <v>48</v>
      </c>
      <c r="E78" s="360"/>
      <c r="F78" s="16" t="s">
        <v>500</v>
      </c>
      <c r="G78" s="16" t="s">
        <v>500</v>
      </c>
      <c r="H78" s="16" t="s">
        <v>500</v>
      </c>
      <c r="I78" s="16" t="s">
        <v>500</v>
      </c>
      <c r="J78" s="16" t="s">
        <v>500</v>
      </c>
      <c r="K78" s="16" t="s">
        <v>500</v>
      </c>
      <c r="L78" s="16" t="s">
        <v>500</v>
      </c>
      <c r="M78" s="22"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22" t="s">
        <v>500</v>
      </c>
      <c r="O79" s="2"/>
      <c r="AE79" s="3" t="s">
        <v>49</v>
      </c>
      <c r="AF79" s="3">
        <v>5</v>
      </c>
      <c r="AG79" s="3">
        <f t="shared" si="0"/>
        <v>1</v>
      </c>
      <c r="AH79" s="3">
        <f>+IF(AG79=0,0,IF(AG79=1,(SUM($AG$75:AG79)-1),1))</f>
        <v>2</v>
      </c>
      <c r="AI79" s="3">
        <f t="shared" si="1"/>
        <v>0</v>
      </c>
      <c r="AJ79" s="3">
        <f t="shared" si="2"/>
        <v>0</v>
      </c>
      <c r="AK79" s="3">
        <f t="shared" si="3"/>
        <v>0</v>
      </c>
    </row>
    <row r="80" spans="2:37" x14ac:dyDescent="0.25">
      <c r="B80" s="2"/>
      <c r="D80" s="360" t="s">
        <v>50</v>
      </c>
      <c r="E80" s="360"/>
      <c r="F80" s="16" t="s">
        <v>500</v>
      </c>
      <c r="G80" s="16">
        <v>0.27</v>
      </c>
      <c r="H80" s="16">
        <v>0.27100000000000002</v>
      </c>
      <c r="I80" s="16">
        <v>0.31</v>
      </c>
      <c r="J80" s="16">
        <v>0.311</v>
      </c>
      <c r="K80" s="16">
        <v>0.34899999999999998</v>
      </c>
      <c r="L80" s="16">
        <v>0.35</v>
      </c>
      <c r="M80" s="22" t="s">
        <v>500</v>
      </c>
      <c r="O80" s="2"/>
      <c r="AE80" s="3" t="s">
        <v>50</v>
      </c>
      <c r="AF80" s="3">
        <v>6</v>
      </c>
      <c r="AG80" s="3">
        <f t="shared" si="0"/>
        <v>1</v>
      </c>
      <c r="AH80" s="3">
        <f>+IF(AG80=0,0,IF(AG80=1,(SUM($AG$75:AG80)-1),1))</f>
        <v>3</v>
      </c>
      <c r="AI80" s="3">
        <f t="shared" si="1"/>
        <v>1</v>
      </c>
      <c r="AJ80" s="3">
        <f t="shared" si="2"/>
        <v>0</v>
      </c>
      <c r="AK80" s="3">
        <f t="shared" si="3"/>
        <v>1</v>
      </c>
    </row>
    <row r="81" spans="2:37" x14ac:dyDescent="0.25">
      <c r="B81" s="2"/>
      <c r="D81" s="360" t="s">
        <v>53</v>
      </c>
      <c r="E81" s="360"/>
      <c r="F81" s="16" t="s">
        <v>500</v>
      </c>
      <c r="G81" s="16" t="s">
        <v>500</v>
      </c>
      <c r="H81" s="16" t="s">
        <v>500</v>
      </c>
      <c r="I81" s="16" t="s">
        <v>500</v>
      </c>
      <c r="J81" s="16" t="s">
        <v>500</v>
      </c>
      <c r="K81" s="16" t="s">
        <v>500</v>
      </c>
      <c r="L81" s="16" t="s">
        <v>500</v>
      </c>
      <c r="M81" s="22" t="s">
        <v>500</v>
      </c>
      <c r="O81" s="2"/>
      <c r="AE81" s="3" t="s">
        <v>53</v>
      </c>
      <c r="AF81" s="3">
        <v>7</v>
      </c>
      <c r="AG81" s="3">
        <f t="shared" si="0"/>
        <v>1</v>
      </c>
      <c r="AH81" s="3">
        <f>+IF(AG81=0,0,IF(AG81=1,(SUM($AG$75:AG81)-1),1))</f>
        <v>4</v>
      </c>
      <c r="AI81" s="3">
        <f t="shared" si="1"/>
        <v>0</v>
      </c>
      <c r="AJ81" s="3">
        <f t="shared" si="2"/>
        <v>0</v>
      </c>
      <c r="AK81" s="3">
        <f t="shared" si="3"/>
        <v>0</v>
      </c>
    </row>
    <row r="82" spans="2:37" x14ac:dyDescent="0.25">
      <c r="B82" s="2"/>
      <c r="D82" s="360" t="s">
        <v>54</v>
      </c>
      <c r="E82" s="360"/>
      <c r="F82" s="16" t="s">
        <v>500</v>
      </c>
      <c r="G82" s="16" t="s">
        <v>500</v>
      </c>
      <c r="H82" s="16" t="s">
        <v>500</v>
      </c>
      <c r="I82" s="16" t="s">
        <v>500</v>
      </c>
      <c r="J82" s="16" t="s">
        <v>500</v>
      </c>
      <c r="K82" s="16" t="s">
        <v>500</v>
      </c>
      <c r="L82" s="16" t="s">
        <v>500</v>
      </c>
      <c r="M82" s="22"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60" t="s">
        <v>55</v>
      </c>
      <c r="E83" s="360"/>
      <c r="F83" s="16" t="s">
        <v>500</v>
      </c>
      <c r="G83" s="16">
        <v>0.65</v>
      </c>
      <c r="H83" s="16">
        <v>0.65100000000000002</v>
      </c>
      <c r="I83" s="16">
        <v>0.69</v>
      </c>
      <c r="J83" s="16">
        <v>0.69099999999999995</v>
      </c>
      <c r="K83" s="16">
        <v>0.72899999999999998</v>
      </c>
      <c r="L83" s="16">
        <v>0.73</v>
      </c>
      <c r="M83" s="22" t="s">
        <v>500</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60" t="s">
        <v>56</v>
      </c>
      <c r="E84" s="360"/>
      <c r="F84" s="16" t="s">
        <v>500</v>
      </c>
      <c r="G84" s="16" t="s">
        <v>500</v>
      </c>
      <c r="H84" s="16" t="s">
        <v>500</v>
      </c>
      <c r="I84" s="16" t="s">
        <v>500</v>
      </c>
      <c r="J84" s="16" t="s">
        <v>500</v>
      </c>
      <c r="K84" s="16" t="s">
        <v>500</v>
      </c>
      <c r="L84" s="22" t="s">
        <v>500</v>
      </c>
      <c r="M84" s="22"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22" t="s">
        <v>500</v>
      </c>
      <c r="M85" s="22"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60" t="s">
        <v>58</v>
      </c>
      <c r="E86" s="360"/>
      <c r="F86" s="16" t="s">
        <v>500</v>
      </c>
      <c r="G86" s="16">
        <v>0.85</v>
      </c>
      <c r="H86" s="16">
        <v>0.85099999999999998</v>
      </c>
      <c r="I86" s="16">
        <v>0.88</v>
      </c>
      <c r="J86" s="16">
        <v>0.88100000000000001</v>
      </c>
      <c r="K86" s="16">
        <v>0.91900000000000004</v>
      </c>
      <c r="L86" s="22" t="s">
        <v>500</v>
      </c>
      <c r="M86" s="16">
        <v>1</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66" customHeight="1" x14ac:dyDescent="0.25">
      <c r="B88" s="2"/>
      <c r="D88" s="338" t="s">
        <v>59</v>
      </c>
      <c r="E88" s="339"/>
      <c r="F88" s="340"/>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2" customHeight="1" x14ac:dyDescent="0.25">
      <c r="B97" s="2"/>
      <c r="D97" s="359" t="s">
        <v>35</v>
      </c>
      <c r="E97" s="359"/>
      <c r="F97" s="344" t="s">
        <v>1121</v>
      </c>
      <c r="G97" s="344"/>
      <c r="H97" s="344"/>
      <c r="I97" s="344"/>
      <c r="J97" s="344"/>
      <c r="K97" s="344"/>
      <c r="L97" s="344"/>
      <c r="M97" s="344"/>
      <c r="O97" s="2"/>
    </row>
    <row r="98" spans="2:15" ht="42" customHeight="1" x14ac:dyDescent="0.25">
      <c r="B98" s="2"/>
      <c r="D98" s="359" t="s">
        <v>36</v>
      </c>
      <c r="E98" s="359"/>
      <c r="F98" s="344" t="s">
        <v>1122</v>
      </c>
      <c r="G98" s="344"/>
      <c r="H98" s="344"/>
      <c r="I98" s="344"/>
      <c r="J98" s="344"/>
      <c r="K98" s="344"/>
      <c r="L98" s="344"/>
      <c r="M98" s="344"/>
      <c r="O98" s="2"/>
    </row>
    <row r="99" spans="2:15" ht="3.95" customHeight="1" x14ac:dyDescent="0.25">
      <c r="B99" s="2"/>
      <c r="O99" s="2"/>
    </row>
    <row r="100" spans="2:15" ht="58.5" customHeight="1" x14ac:dyDescent="0.25">
      <c r="B100" s="2"/>
      <c r="D100" s="338" t="s">
        <v>62</v>
      </c>
      <c r="E100" s="339"/>
      <c r="F100" s="333"/>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2</v>
      </c>
      <c r="K102" s="20"/>
      <c r="O102" s="2"/>
    </row>
    <row r="103" spans="2:15" ht="19.5" customHeight="1" x14ac:dyDescent="0.25">
      <c r="B103" s="2"/>
      <c r="D103" s="331"/>
      <c r="E103" s="332"/>
      <c r="F103" s="19" t="s">
        <v>66</v>
      </c>
      <c r="G103" s="4"/>
      <c r="K103" s="21"/>
      <c r="O103" s="2"/>
    </row>
    <row r="104" spans="2:15" ht="27.75" customHeight="1" x14ac:dyDescent="0.25">
      <c r="B104" s="2"/>
      <c r="D104" s="331"/>
      <c r="E104" s="332"/>
      <c r="F104" s="19" t="s">
        <v>67</v>
      </c>
      <c r="G104" s="333"/>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Director(a) Administrativa</v>
      </c>
      <c r="H108" s="334"/>
      <c r="I108" s="334"/>
      <c r="J108" s="334"/>
      <c r="K108" s="334"/>
      <c r="L108" s="334"/>
      <c r="M108" s="335"/>
      <c r="O108" s="2"/>
    </row>
    <row r="109" spans="2:15" ht="17.25" customHeight="1" x14ac:dyDescent="0.25">
      <c r="B109" s="2"/>
      <c r="D109" s="331"/>
      <c r="E109" s="332"/>
      <c r="F109" s="19" t="s">
        <v>2042</v>
      </c>
      <c r="G109" s="333" t="str">
        <f>+IF(M23="Si","Coordinador(a) Planeación y Sistemas","")</f>
        <v>Coordinador(a) Planeación y Sistemas</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9:13" x14ac:dyDescent="0.25">
      <c r="M113" s="14" t="s">
        <v>70</v>
      </c>
    </row>
    <row r="125" spans="9:13" x14ac:dyDescent="0.25">
      <c r="I125" s="30"/>
      <c r="J125" s="30"/>
      <c r="K125" s="30"/>
    </row>
    <row r="126" spans="9:13" x14ac:dyDescent="0.25">
      <c r="I126" s="30"/>
      <c r="J126" s="30"/>
      <c r="K126" s="30"/>
    </row>
    <row r="127" spans="9:13" x14ac:dyDescent="0.25">
      <c r="I127" s="30"/>
      <c r="J127" s="30"/>
      <c r="K127" s="30"/>
    </row>
    <row r="128" spans="9:13" x14ac:dyDescent="0.25">
      <c r="I128" s="30"/>
      <c r="J128" s="30"/>
      <c r="K128" s="30"/>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414" priority="33">
      <formula>+IF($F$43="no",1,0)</formula>
    </cfRule>
  </conditionalFormatting>
  <conditionalFormatting sqref="F32:M32">
    <cfRule type="expression" dxfId="1413" priority="32">
      <formula>+IF($Q$30="NA",1,0)</formula>
    </cfRule>
  </conditionalFormatting>
  <conditionalFormatting sqref="F47:M47">
    <cfRule type="expression" dxfId="1412" priority="30">
      <formula>+IF($Q$47=0,1,0)</formula>
    </cfRule>
  </conditionalFormatting>
  <conditionalFormatting sqref="F73:G73">
    <cfRule type="cellIs" dxfId="1411" priority="16" operator="equal">
      <formula>"optimo"</formula>
    </cfRule>
    <cfRule type="cellIs" dxfId="1410" priority="17" operator="equal">
      <formula>"critico"</formula>
    </cfRule>
  </conditionalFormatting>
  <conditionalFormatting sqref="H73:I73">
    <cfRule type="cellIs" dxfId="1409" priority="14" operator="equal">
      <formula>"Adecuado"</formula>
    </cfRule>
    <cfRule type="cellIs" dxfId="1408" priority="15" operator="equal">
      <formula>"en riesgo"</formula>
    </cfRule>
  </conditionalFormatting>
  <conditionalFormatting sqref="J73:K73">
    <cfRule type="cellIs" dxfId="1407" priority="12" operator="equal">
      <formula>"Adecuado"</formula>
    </cfRule>
    <cfRule type="cellIs" dxfId="1406" priority="13" operator="equal">
      <formula>"en riesgo"</formula>
    </cfRule>
  </conditionalFormatting>
  <conditionalFormatting sqref="L73:M73">
    <cfRule type="cellIs" dxfId="1405" priority="10" operator="equal">
      <formula>"optimo"</formula>
    </cfRule>
    <cfRule type="cellIs" dxfId="1404" priority="11" operator="equal">
      <formula>"critico"</formula>
    </cfRule>
  </conditionalFormatting>
  <conditionalFormatting sqref="F75:M86">
    <cfRule type="expression" dxfId="1403" priority="9">
      <formula>+IF($AK75=0,1)</formula>
    </cfRule>
  </conditionalFormatting>
  <conditionalFormatting sqref="F103:G104">
    <cfRule type="expression" dxfId="1402" priority="8">
      <formula>+IF($G$102="No",1,0)</formula>
    </cfRule>
  </conditionalFormatting>
  <conditionalFormatting sqref="F51">
    <cfRule type="expression" dxfId="1401" priority="7">
      <formula>+IF($F$43="no",1,0)</formula>
    </cfRule>
  </conditionalFormatting>
  <conditionalFormatting sqref="I51">
    <cfRule type="expression" dxfId="1400" priority="6">
      <formula>+IF($F$51="no",1,0)</formula>
    </cfRule>
  </conditionalFormatting>
  <conditionalFormatting sqref="F33:M33">
    <cfRule type="expression" dxfId="1399" priority="5">
      <formula>+IF($Q$30="NA",1,0)</formula>
    </cfRule>
  </conditionalFormatting>
  <conditionalFormatting sqref="F33:M33">
    <cfRule type="expression" dxfId="1398" priority="4">
      <formula>+IF($Q$33=0,1,0)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8">
    <tabColor rgb="FF0070C0"/>
  </sheetPr>
  <dimension ref="B1:AV113"/>
  <sheetViews>
    <sheetView zoomScale="90" zoomScaleNormal="90" workbookViewId="0">
      <selection activeCell="F108" sqref="F108:M11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275</v>
      </c>
      <c r="O10" s="2"/>
    </row>
    <row r="11" spans="2:24" ht="3.95" customHeight="1" x14ac:dyDescent="0.25">
      <c r="B11" s="2"/>
      <c r="D11" s="6"/>
      <c r="O11" s="2"/>
    </row>
    <row r="12" spans="2:24" ht="36" customHeight="1" x14ac:dyDescent="0.25">
      <c r="B12" s="2"/>
      <c r="D12" s="338" t="s">
        <v>5</v>
      </c>
      <c r="E12" s="339"/>
      <c r="F12" s="340" t="s">
        <v>276</v>
      </c>
      <c r="G12" s="341"/>
      <c r="H12" s="341"/>
      <c r="I12" s="341"/>
      <c r="J12" s="341"/>
      <c r="K12" s="341"/>
      <c r="L12" s="341"/>
      <c r="M12" s="342"/>
      <c r="O12" s="2"/>
      <c r="W12" s="3" t="str">
        <f>+F23</f>
        <v>Mensual</v>
      </c>
      <c r="X12" s="3" t="str">
        <f>+F71</f>
        <v>Enero</v>
      </c>
    </row>
    <row r="13" spans="2:24" ht="3.95" customHeight="1" x14ac:dyDescent="0.25">
      <c r="B13" s="2"/>
      <c r="O13" s="2"/>
    </row>
    <row r="14" spans="2:24" ht="38.25" customHeight="1" x14ac:dyDescent="0.25">
      <c r="B14" s="2"/>
      <c r="D14" s="338" t="s">
        <v>6</v>
      </c>
      <c r="E14" s="339"/>
      <c r="F14" s="340" t="s">
        <v>1111</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17">
        <v>0</v>
      </c>
      <c r="G22" s="337" t="s">
        <v>9</v>
      </c>
      <c r="H22" s="337"/>
      <c r="I22" s="17">
        <v>1</v>
      </c>
      <c r="K22" s="337" t="s">
        <v>10</v>
      </c>
      <c r="L22" s="337"/>
      <c r="M22" s="9" t="s">
        <v>496</v>
      </c>
      <c r="O22" s="2"/>
    </row>
    <row r="23" spans="2:17" ht="19.5" customHeight="1" x14ac:dyDescent="0.25">
      <c r="B23" s="2"/>
      <c r="D23" s="337" t="s">
        <v>11</v>
      </c>
      <c r="E23" s="337"/>
      <c r="F23" s="4" t="s">
        <v>84</v>
      </c>
      <c r="G23" s="337" t="s">
        <v>12</v>
      </c>
      <c r="H23" s="337"/>
      <c r="I23" s="4" t="s">
        <v>497</v>
      </c>
      <c r="K23" s="337" t="s">
        <v>13</v>
      </c>
      <c r="L23" s="337"/>
      <c r="M23" s="9" t="s">
        <v>2</v>
      </c>
      <c r="O23" s="2"/>
    </row>
    <row r="24" spans="2:17" ht="20.100000000000001" customHeight="1" x14ac:dyDescent="0.25">
      <c r="B24" s="2"/>
      <c r="D24" s="337" t="s">
        <v>14</v>
      </c>
      <c r="E24" s="337"/>
      <c r="F24" s="4" t="s">
        <v>81</v>
      </c>
      <c r="G24" s="337" t="s">
        <v>15</v>
      </c>
      <c r="H24" s="337"/>
      <c r="I24" s="4" t="s">
        <v>533</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soporte</v>
      </c>
    </row>
    <row r="31" spans="2:17" ht="24" customHeight="1" x14ac:dyDescent="0.25">
      <c r="B31" s="2"/>
      <c r="D31" s="347"/>
      <c r="E31" s="348"/>
      <c r="F31" s="4" t="s">
        <v>257</v>
      </c>
      <c r="G31" s="340" t="s">
        <v>258</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1602</v>
      </c>
      <c r="G33" s="340" t="s">
        <v>1550</v>
      </c>
      <c r="H33" s="341"/>
      <c r="I33" s="341"/>
      <c r="J33" s="341"/>
      <c r="K33" s="341"/>
      <c r="L33" s="341"/>
      <c r="M33" s="342"/>
      <c r="O33" s="2"/>
      <c r="Q33" s="3">
        <f>+IFERROR(IF(VLOOKUP(G33,base!$A$26:$C$40,3,FALSE)=F31,1,0),"")</f>
        <v>1</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1716</v>
      </c>
      <c r="G35" s="340" t="s">
        <v>1592</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2</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500</v>
      </c>
      <c r="G45" s="340" t="s">
        <v>512</v>
      </c>
      <c r="H45" s="341"/>
      <c r="I45" s="341"/>
      <c r="J45" s="341"/>
      <c r="K45" s="341"/>
      <c r="L45" s="341"/>
      <c r="M45" s="342"/>
      <c r="O45" s="2"/>
      <c r="Q45" s="3" t="str">
        <f>+IFERROR(VLOOKUP(G45,base!$A$41:$C$45,3,FALSE),"")</f>
        <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503</v>
      </c>
      <c r="G47" s="340"/>
      <c r="H47" s="341"/>
      <c r="I47" s="341"/>
      <c r="J47" s="341"/>
      <c r="K47" s="341"/>
      <c r="L47" s="341"/>
      <c r="M47" s="342"/>
      <c r="O47" s="2"/>
      <c r="Q47" s="3" t="e">
        <f>+IF(VLOOKUP(G47,base!$A$46:$C$66,3,FALSE)=F45,1,0)</f>
        <v>#N/A</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920</v>
      </c>
      <c r="G49" s="340" t="s">
        <v>899</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29"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37" t="s">
        <v>34</v>
      </c>
      <c r="E59" s="337"/>
      <c r="F59" s="344" t="s">
        <v>1112</v>
      </c>
      <c r="G59" s="344"/>
      <c r="H59" s="344"/>
      <c r="I59" s="344"/>
      <c r="J59" s="344"/>
      <c r="K59" s="344"/>
      <c r="L59" s="344"/>
      <c r="M59" s="344"/>
      <c r="O59" s="2"/>
    </row>
    <row r="60" spans="2:15" ht="66" customHeight="1" x14ac:dyDescent="0.25">
      <c r="B60" s="2"/>
      <c r="D60" s="359" t="s">
        <v>35</v>
      </c>
      <c r="E60" s="359"/>
      <c r="F60" s="344" t="s">
        <v>1113</v>
      </c>
      <c r="G60" s="344"/>
      <c r="H60" s="344"/>
      <c r="I60" s="344"/>
      <c r="J60" s="344"/>
      <c r="K60" s="344"/>
      <c r="L60" s="344"/>
      <c r="M60" s="344"/>
      <c r="O60" s="2"/>
    </row>
    <row r="61" spans="2:15" ht="41.25" customHeight="1" x14ac:dyDescent="0.25">
      <c r="B61" s="2"/>
      <c r="D61" s="359" t="s">
        <v>36</v>
      </c>
      <c r="E61" s="359"/>
      <c r="F61" s="340" t="s">
        <v>1114</v>
      </c>
      <c r="G61" s="341"/>
      <c r="H61" s="341"/>
      <c r="I61" s="341"/>
      <c r="J61" s="341"/>
      <c r="K61" s="341"/>
      <c r="L61" s="341"/>
      <c r="M61" s="342"/>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43" t="s">
        <v>39</v>
      </c>
      <c r="E71" s="343"/>
      <c r="F71" s="4" t="s">
        <v>46</v>
      </c>
      <c r="G71" s="3">
        <v>1</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v>0.89900000000000002</v>
      </c>
      <c r="H75" s="16">
        <v>0.9</v>
      </c>
      <c r="I75" s="16">
        <v>0.94899999999999995</v>
      </c>
      <c r="J75" s="16">
        <v>0.95</v>
      </c>
      <c r="K75" s="16">
        <v>0.999</v>
      </c>
      <c r="L75" s="16" t="s">
        <v>500</v>
      </c>
      <c r="M75" s="16">
        <v>1</v>
      </c>
      <c r="O75" s="2"/>
      <c r="AE75" s="3" t="s">
        <v>46</v>
      </c>
      <c r="AF75" s="3">
        <v>1</v>
      </c>
      <c r="AG75" s="3">
        <f>+IF(AF75&gt;=$G$71,1,0)</f>
        <v>1</v>
      </c>
      <c r="AH75" s="3">
        <f>+IF(AG75=0,0,IF(AG75=1,(SUM($AG$75:AG75)-1),1))</f>
        <v>0</v>
      </c>
      <c r="AI75" s="3">
        <f>+IF(AH75=0,0,IF(MOD(AH75,$U$69)=0,1,0))</f>
        <v>0</v>
      </c>
      <c r="AJ75" s="3">
        <f>+IF(AE75=$F$71,1,0)</f>
        <v>1</v>
      </c>
      <c r="AK75" s="3">
        <f>+MAX(AI75:AJ75)</f>
        <v>1</v>
      </c>
    </row>
    <row r="76" spans="2:37" x14ac:dyDescent="0.25">
      <c r="B76" s="2"/>
      <c r="D76" s="360" t="s">
        <v>40</v>
      </c>
      <c r="E76" s="360"/>
      <c r="F76" s="16" t="s">
        <v>500</v>
      </c>
      <c r="G76" s="16">
        <v>0.89900000000000002</v>
      </c>
      <c r="H76" s="16">
        <v>0.9</v>
      </c>
      <c r="I76" s="16">
        <v>0.94899999999999995</v>
      </c>
      <c r="J76" s="16">
        <v>0.95</v>
      </c>
      <c r="K76" s="16">
        <v>0.999</v>
      </c>
      <c r="L76" s="16" t="s">
        <v>500</v>
      </c>
      <c r="M76" s="16">
        <v>1</v>
      </c>
      <c r="O76" s="2"/>
      <c r="AE76" s="3" t="s">
        <v>40</v>
      </c>
      <c r="AF76" s="3">
        <v>2</v>
      </c>
      <c r="AG76" s="3">
        <f t="shared" ref="AG76:AG86" si="0">+IF(AF76&gt;=$G$71,1,0)</f>
        <v>1</v>
      </c>
      <c r="AH76" s="3">
        <f>+IF(AG76=0,0,IF(AG76=1,(SUM($AG$75:AG76)-1),1))</f>
        <v>1</v>
      </c>
      <c r="AI76" s="3">
        <f t="shared" ref="AI76:AI86" si="1">+IF(AH76=0,0,IF(MOD(AH76,$U$69)=0,1,0))</f>
        <v>1</v>
      </c>
      <c r="AJ76" s="3">
        <f t="shared" ref="AJ76:AJ86" si="2">+IF(AE76=$F$71,1,0)</f>
        <v>0</v>
      </c>
      <c r="AK76" s="3">
        <f t="shared" ref="AK76:AK86" si="3">+MAX(AI76:AJ76)</f>
        <v>1</v>
      </c>
    </row>
    <row r="77" spans="2:37" x14ac:dyDescent="0.25">
      <c r="B77" s="2"/>
      <c r="D77" s="360" t="s">
        <v>47</v>
      </c>
      <c r="E77" s="360"/>
      <c r="F77" s="16" t="s">
        <v>500</v>
      </c>
      <c r="G77" s="16">
        <v>0.89900000000000002</v>
      </c>
      <c r="H77" s="16">
        <v>0.9</v>
      </c>
      <c r="I77" s="16">
        <v>0.94899999999999995</v>
      </c>
      <c r="J77" s="16">
        <v>0.95</v>
      </c>
      <c r="K77" s="16">
        <v>0.999</v>
      </c>
      <c r="L77" s="16" t="s">
        <v>500</v>
      </c>
      <c r="M77" s="16">
        <v>1</v>
      </c>
      <c r="O77" s="2"/>
      <c r="AE77" s="3" t="s">
        <v>47</v>
      </c>
      <c r="AF77" s="3">
        <v>3</v>
      </c>
      <c r="AG77" s="3">
        <f t="shared" si="0"/>
        <v>1</v>
      </c>
      <c r="AH77" s="3">
        <f>+IF(AG77=0,0,IF(AG77=1,(SUM($AG$75:AG77)-1),1))</f>
        <v>2</v>
      </c>
      <c r="AI77" s="3">
        <f t="shared" si="1"/>
        <v>1</v>
      </c>
      <c r="AJ77" s="3">
        <f t="shared" si="2"/>
        <v>0</v>
      </c>
      <c r="AK77" s="3">
        <f t="shared" si="3"/>
        <v>1</v>
      </c>
    </row>
    <row r="78" spans="2:37" x14ac:dyDescent="0.25">
      <c r="B78" s="2"/>
      <c r="D78" s="360" t="s">
        <v>48</v>
      </c>
      <c r="E78" s="360"/>
      <c r="F78" s="16" t="s">
        <v>500</v>
      </c>
      <c r="G78" s="16">
        <v>0.89900000000000002</v>
      </c>
      <c r="H78" s="16">
        <v>0.9</v>
      </c>
      <c r="I78" s="16">
        <v>0.94899999999999995</v>
      </c>
      <c r="J78" s="16">
        <v>0.95</v>
      </c>
      <c r="K78" s="16">
        <v>0.999</v>
      </c>
      <c r="L78" s="16" t="s">
        <v>500</v>
      </c>
      <c r="M78" s="16">
        <v>1</v>
      </c>
      <c r="O78" s="2"/>
      <c r="AE78" s="3" t="s">
        <v>48</v>
      </c>
      <c r="AF78" s="3">
        <v>4</v>
      </c>
      <c r="AG78" s="3">
        <f t="shared" si="0"/>
        <v>1</v>
      </c>
      <c r="AH78" s="3">
        <f>+IF(AG78=0,0,IF(AG78=1,(SUM($AG$75:AG78)-1),1))</f>
        <v>3</v>
      </c>
      <c r="AI78" s="3">
        <f t="shared" si="1"/>
        <v>1</v>
      </c>
      <c r="AJ78" s="3">
        <f t="shared" si="2"/>
        <v>0</v>
      </c>
      <c r="AK78" s="3">
        <f t="shared" si="3"/>
        <v>1</v>
      </c>
    </row>
    <row r="79" spans="2:37" x14ac:dyDescent="0.25">
      <c r="B79" s="2"/>
      <c r="D79" s="360" t="s">
        <v>49</v>
      </c>
      <c r="E79" s="360"/>
      <c r="F79" s="16" t="s">
        <v>500</v>
      </c>
      <c r="G79" s="16">
        <v>0.89900000000000002</v>
      </c>
      <c r="H79" s="16">
        <v>0.9</v>
      </c>
      <c r="I79" s="16">
        <v>0.94899999999999995</v>
      </c>
      <c r="J79" s="16">
        <v>0.95</v>
      </c>
      <c r="K79" s="16">
        <v>0.999</v>
      </c>
      <c r="L79" s="16" t="s">
        <v>500</v>
      </c>
      <c r="M79" s="16">
        <v>1</v>
      </c>
      <c r="O79" s="2"/>
      <c r="AE79" s="3" t="s">
        <v>49</v>
      </c>
      <c r="AF79" s="3">
        <v>5</v>
      </c>
      <c r="AG79" s="3">
        <f t="shared" si="0"/>
        <v>1</v>
      </c>
      <c r="AH79" s="3">
        <f>+IF(AG79=0,0,IF(AG79=1,(SUM($AG$75:AG79)-1),1))</f>
        <v>4</v>
      </c>
      <c r="AI79" s="3">
        <f t="shared" si="1"/>
        <v>1</v>
      </c>
      <c r="AJ79" s="3">
        <f t="shared" si="2"/>
        <v>0</v>
      </c>
      <c r="AK79" s="3">
        <f t="shared" si="3"/>
        <v>1</v>
      </c>
    </row>
    <row r="80" spans="2:37" x14ac:dyDescent="0.25">
      <c r="B80" s="2"/>
      <c r="D80" s="360" t="s">
        <v>50</v>
      </c>
      <c r="E80" s="360"/>
      <c r="F80" s="16" t="s">
        <v>500</v>
      </c>
      <c r="G80" s="16">
        <v>0.89900000000000002</v>
      </c>
      <c r="H80" s="16">
        <v>0.9</v>
      </c>
      <c r="I80" s="16">
        <v>0.94899999999999995</v>
      </c>
      <c r="J80" s="16">
        <v>0.95</v>
      </c>
      <c r="K80" s="16">
        <v>0.999</v>
      </c>
      <c r="L80" s="16" t="s">
        <v>500</v>
      </c>
      <c r="M80" s="16">
        <v>1</v>
      </c>
      <c r="O80" s="2"/>
      <c r="AE80" s="3" t="s">
        <v>50</v>
      </c>
      <c r="AF80" s="3">
        <v>6</v>
      </c>
      <c r="AG80" s="3">
        <f t="shared" si="0"/>
        <v>1</v>
      </c>
      <c r="AH80" s="3">
        <f>+IF(AG80=0,0,IF(AG80=1,(SUM($AG$75:AG80)-1),1))</f>
        <v>5</v>
      </c>
      <c r="AI80" s="3">
        <f t="shared" si="1"/>
        <v>1</v>
      </c>
      <c r="AJ80" s="3">
        <f t="shared" si="2"/>
        <v>0</v>
      </c>
      <c r="AK80" s="3">
        <f t="shared" si="3"/>
        <v>1</v>
      </c>
    </row>
    <row r="81" spans="2:37" x14ac:dyDescent="0.25">
      <c r="B81" s="2"/>
      <c r="D81" s="360" t="s">
        <v>53</v>
      </c>
      <c r="E81" s="360"/>
      <c r="F81" s="16" t="s">
        <v>500</v>
      </c>
      <c r="G81" s="16">
        <v>0.89900000000000002</v>
      </c>
      <c r="H81" s="16">
        <v>0.9</v>
      </c>
      <c r="I81" s="16">
        <v>0.94899999999999995</v>
      </c>
      <c r="J81" s="16">
        <v>0.95</v>
      </c>
      <c r="K81" s="16">
        <v>0.999</v>
      </c>
      <c r="L81" s="16" t="s">
        <v>500</v>
      </c>
      <c r="M81" s="16">
        <v>1</v>
      </c>
      <c r="O81" s="2"/>
      <c r="AE81" s="3" t="s">
        <v>53</v>
      </c>
      <c r="AF81" s="3">
        <v>7</v>
      </c>
      <c r="AG81" s="3">
        <f t="shared" si="0"/>
        <v>1</v>
      </c>
      <c r="AH81" s="3">
        <f>+IF(AG81=0,0,IF(AG81=1,(SUM($AG$75:AG81)-1),1))</f>
        <v>6</v>
      </c>
      <c r="AI81" s="3">
        <f t="shared" si="1"/>
        <v>1</v>
      </c>
      <c r="AJ81" s="3">
        <f t="shared" si="2"/>
        <v>0</v>
      </c>
      <c r="AK81" s="3">
        <f t="shared" si="3"/>
        <v>1</v>
      </c>
    </row>
    <row r="82" spans="2:37" x14ac:dyDescent="0.25">
      <c r="B82" s="2"/>
      <c r="D82" s="360" t="s">
        <v>54</v>
      </c>
      <c r="E82" s="360"/>
      <c r="F82" s="16" t="s">
        <v>500</v>
      </c>
      <c r="G82" s="16">
        <v>0.89900000000000002</v>
      </c>
      <c r="H82" s="16">
        <v>0.9</v>
      </c>
      <c r="I82" s="16">
        <v>0.94899999999999995</v>
      </c>
      <c r="J82" s="16">
        <v>0.95</v>
      </c>
      <c r="K82" s="16">
        <v>0.999</v>
      </c>
      <c r="L82" s="16" t="s">
        <v>500</v>
      </c>
      <c r="M82" s="16">
        <v>1</v>
      </c>
      <c r="O82" s="2"/>
      <c r="AE82" s="3" t="s">
        <v>54</v>
      </c>
      <c r="AF82" s="3">
        <v>8</v>
      </c>
      <c r="AG82" s="3">
        <f t="shared" si="0"/>
        <v>1</v>
      </c>
      <c r="AH82" s="3">
        <f>+IF(AG82=0,0,IF(AG82=1,(SUM($AG$75:AG82)-1),1))</f>
        <v>7</v>
      </c>
      <c r="AI82" s="3">
        <f t="shared" si="1"/>
        <v>1</v>
      </c>
      <c r="AJ82" s="3">
        <f t="shared" si="2"/>
        <v>0</v>
      </c>
      <c r="AK82" s="3">
        <f t="shared" si="3"/>
        <v>1</v>
      </c>
    </row>
    <row r="83" spans="2:37" x14ac:dyDescent="0.25">
      <c r="B83" s="2"/>
      <c r="D83" s="360" t="s">
        <v>55</v>
      </c>
      <c r="E83" s="360"/>
      <c r="F83" s="16" t="s">
        <v>500</v>
      </c>
      <c r="G83" s="16">
        <v>0.89900000000000002</v>
      </c>
      <c r="H83" s="16">
        <v>0.9</v>
      </c>
      <c r="I83" s="16">
        <v>0.94899999999999995</v>
      </c>
      <c r="J83" s="16">
        <v>0.95</v>
      </c>
      <c r="K83" s="16">
        <v>0.999</v>
      </c>
      <c r="L83" s="16" t="s">
        <v>500</v>
      </c>
      <c r="M83" s="16">
        <v>1</v>
      </c>
      <c r="O83" s="2"/>
      <c r="AE83" s="3" t="s">
        <v>55</v>
      </c>
      <c r="AF83" s="3">
        <v>9</v>
      </c>
      <c r="AG83" s="3">
        <f t="shared" si="0"/>
        <v>1</v>
      </c>
      <c r="AH83" s="3">
        <f>+IF(AG83=0,0,IF(AG83=1,(SUM($AG$75:AG83)-1),1))</f>
        <v>8</v>
      </c>
      <c r="AI83" s="3">
        <f t="shared" si="1"/>
        <v>1</v>
      </c>
      <c r="AJ83" s="3">
        <f t="shared" si="2"/>
        <v>0</v>
      </c>
      <c r="AK83" s="3">
        <f t="shared" si="3"/>
        <v>1</v>
      </c>
    </row>
    <row r="84" spans="2:37" x14ac:dyDescent="0.25">
      <c r="B84" s="2"/>
      <c r="D84" s="360" t="s">
        <v>56</v>
      </c>
      <c r="E84" s="360"/>
      <c r="F84" s="16" t="s">
        <v>500</v>
      </c>
      <c r="G84" s="16">
        <v>0.89900000000000002</v>
      </c>
      <c r="H84" s="16">
        <v>0.9</v>
      </c>
      <c r="I84" s="16">
        <v>0.94899999999999995</v>
      </c>
      <c r="J84" s="16">
        <v>0.95</v>
      </c>
      <c r="K84" s="16">
        <v>0.999</v>
      </c>
      <c r="L84" s="16" t="s">
        <v>500</v>
      </c>
      <c r="M84" s="16">
        <v>1</v>
      </c>
      <c r="O84" s="2"/>
      <c r="AE84" s="3" t="s">
        <v>56</v>
      </c>
      <c r="AF84" s="3">
        <v>10</v>
      </c>
      <c r="AG84" s="3">
        <f t="shared" si="0"/>
        <v>1</v>
      </c>
      <c r="AH84" s="3">
        <f>+IF(AG84=0,0,IF(AG84=1,(SUM($AG$75:AG84)-1),1))</f>
        <v>9</v>
      </c>
      <c r="AI84" s="3">
        <f t="shared" si="1"/>
        <v>1</v>
      </c>
      <c r="AJ84" s="3">
        <f t="shared" si="2"/>
        <v>0</v>
      </c>
      <c r="AK84" s="3">
        <f t="shared" si="3"/>
        <v>1</v>
      </c>
    </row>
    <row r="85" spans="2:37" x14ac:dyDescent="0.25">
      <c r="B85" s="2"/>
      <c r="D85" s="360" t="s">
        <v>57</v>
      </c>
      <c r="E85" s="360"/>
      <c r="F85" s="16" t="s">
        <v>500</v>
      </c>
      <c r="G85" s="16">
        <v>0.89900000000000002</v>
      </c>
      <c r="H85" s="16">
        <v>0.9</v>
      </c>
      <c r="I85" s="16">
        <v>0.94899999999999995</v>
      </c>
      <c r="J85" s="16">
        <v>0.95</v>
      </c>
      <c r="K85" s="16">
        <v>0.999</v>
      </c>
      <c r="L85" s="16" t="s">
        <v>500</v>
      </c>
      <c r="M85" s="16">
        <v>1</v>
      </c>
      <c r="O85" s="2"/>
      <c r="AE85" s="3" t="s">
        <v>57</v>
      </c>
      <c r="AF85" s="3">
        <v>11</v>
      </c>
      <c r="AG85" s="3">
        <f t="shared" si="0"/>
        <v>1</v>
      </c>
      <c r="AH85" s="3">
        <f>+IF(AG85=0,0,IF(AG85=1,(SUM($AG$75:AG85)-1),1))</f>
        <v>10</v>
      </c>
      <c r="AI85" s="3">
        <f t="shared" si="1"/>
        <v>1</v>
      </c>
      <c r="AJ85" s="3">
        <f t="shared" si="2"/>
        <v>0</v>
      </c>
      <c r="AK85" s="3">
        <f t="shared" si="3"/>
        <v>1</v>
      </c>
    </row>
    <row r="86" spans="2:37" x14ac:dyDescent="0.25">
      <c r="B86" s="2"/>
      <c r="D86" s="360" t="s">
        <v>58</v>
      </c>
      <c r="E86" s="360"/>
      <c r="F86" s="16" t="s">
        <v>500</v>
      </c>
      <c r="G86" s="16">
        <v>0.89900000000000002</v>
      </c>
      <c r="H86" s="16">
        <v>0.9</v>
      </c>
      <c r="I86" s="16">
        <v>0.94899999999999995</v>
      </c>
      <c r="J86" s="16">
        <v>0.95</v>
      </c>
      <c r="K86" s="16">
        <v>0.999</v>
      </c>
      <c r="L86" s="16" t="s">
        <v>500</v>
      </c>
      <c r="M86" s="16">
        <v>1</v>
      </c>
      <c r="O86" s="2"/>
      <c r="AE86" s="3" t="s">
        <v>58</v>
      </c>
      <c r="AF86" s="65">
        <v>12</v>
      </c>
      <c r="AG86" s="3">
        <f t="shared" si="0"/>
        <v>1</v>
      </c>
      <c r="AH86" s="3">
        <f>+IF(AG86=0,0,IF(AG86=1,(SUM($AG$75:AG86)-1),1))</f>
        <v>11</v>
      </c>
      <c r="AI86" s="3">
        <f t="shared" si="1"/>
        <v>1</v>
      </c>
      <c r="AJ86" s="3">
        <f t="shared" si="2"/>
        <v>0</v>
      </c>
      <c r="AK86" s="3">
        <f t="shared" si="3"/>
        <v>1</v>
      </c>
    </row>
    <row r="87" spans="2:37" ht="3.75" customHeight="1" x14ac:dyDescent="0.25">
      <c r="B87" s="2"/>
      <c r="O87" s="2"/>
    </row>
    <row r="88" spans="2:37" ht="66" customHeight="1" x14ac:dyDescent="0.25">
      <c r="B88" s="2"/>
      <c r="D88" s="338" t="s">
        <v>59</v>
      </c>
      <c r="E88" s="339"/>
      <c r="F88" s="340" t="s">
        <v>1063</v>
      </c>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2" customHeight="1" x14ac:dyDescent="0.25">
      <c r="B97" s="2"/>
      <c r="D97" s="359" t="s">
        <v>35</v>
      </c>
      <c r="E97" s="359"/>
      <c r="F97" s="344" t="s">
        <v>1115</v>
      </c>
      <c r="G97" s="344"/>
      <c r="H97" s="344"/>
      <c r="I97" s="344"/>
      <c r="J97" s="344"/>
      <c r="K97" s="344"/>
      <c r="L97" s="344"/>
      <c r="M97" s="344"/>
      <c r="O97" s="2"/>
    </row>
    <row r="98" spans="2:15" ht="42" customHeight="1" x14ac:dyDescent="0.25">
      <c r="B98" s="2"/>
      <c r="D98" s="359" t="s">
        <v>36</v>
      </c>
      <c r="E98" s="359"/>
      <c r="F98" s="344" t="s">
        <v>1116</v>
      </c>
      <c r="G98" s="344"/>
      <c r="H98" s="344"/>
      <c r="I98" s="344"/>
      <c r="J98" s="344"/>
      <c r="K98" s="344"/>
      <c r="L98" s="344"/>
      <c r="M98" s="344"/>
      <c r="O98" s="2"/>
    </row>
    <row r="99" spans="2:15" ht="3.95" customHeight="1" x14ac:dyDescent="0.25">
      <c r="B99" s="2"/>
      <c r="O99" s="2"/>
    </row>
    <row r="100" spans="2:15" ht="58.5" customHeight="1" x14ac:dyDescent="0.25">
      <c r="B100" s="2"/>
      <c r="D100" s="338" t="s">
        <v>62</v>
      </c>
      <c r="E100" s="339"/>
      <c r="F100" s="333"/>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2</v>
      </c>
      <c r="K102" s="20"/>
      <c r="O102" s="2"/>
    </row>
    <row r="103" spans="2:15" ht="19.5" customHeight="1" x14ac:dyDescent="0.25">
      <c r="B103" s="2"/>
      <c r="D103" s="331"/>
      <c r="E103" s="332"/>
      <c r="F103" s="19" t="s">
        <v>66</v>
      </c>
      <c r="G103" s="4"/>
      <c r="K103" s="21"/>
      <c r="O103" s="2"/>
    </row>
    <row r="104" spans="2:15" ht="27.75" customHeight="1" x14ac:dyDescent="0.25">
      <c r="B104" s="2"/>
      <c r="D104" s="331"/>
      <c r="E104" s="332"/>
      <c r="F104" s="19" t="s">
        <v>67</v>
      </c>
      <c r="G104" s="333"/>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Director(a) Administrativa</v>
      </c>
      <c r="H108" s="334"/>
      <c r="I108" s="334"/>
      <c r="J108" s="334"/>
      <c r="K108" s="334"/>
      <c r="L108" s="334"/>
      <c r="M108" s="335"/>
      <c r="O108" s="2"/>
    </row>
    <row r="109" spans="2:15" ht="17.25" customHeight="1" x14ac:dyDescent="0.25">
      <c r="B109" s="2"/>
      <c r="D109" s="331"/>
      <c r="E109" s="332"/>
      <c r="F109" s="19" t="s">
        <v>2042</v>
      </c>
      <c r="G109" s="333" t="str">
        <f>+IF(M23="Si","Coordinador(a) Planeación y Sistemas","")</f>
        <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397" priority="24">
      <formula>+IF($F$43="no",1,0)</formula>
    </cfRule>
  </conditionalFormatting>
  <conditionalFormatting sqref="F32:M32">
    <cfRule type="expression" dxfId="1396" priority="23">
      <formula>+IF($Q$30="NA",1,0)</formula>
    </cfRule>
  </conditionalFormatting>
  <conditionalFormatting sqref="F47:M47">
    <cfRule type="expression" dxfId="1395" priority="21">
      <formula>+IF($Q$47=0,1,0)</formula>
    </cfRule>
  </conditionalFormatting>
  <conditionalFormatting sqref="F73:G73">
    <cfRule type="cellIs" dxfId="1394" priority="18" operator="equal">
      <formula>"optimo"</formula>
    </cfRule>
    <cfRule type="cellIs" dxfId="1393" priority="19" operator="equal">
      <formula>"critico"</formula>
    </cfRule>
  </conditionalFormatting>
  <conditionalFormatting sqref="H73:I73">
    <cfRule type="cellIs" dxfId="1392" priority="16" operator="equal">
      <formula>"Adecuado"</formula>
    </cfRule>
    <cfRule type="cellIs" dxfId="1391" priority="17" operator="equal">
      <formula>"en riesgo"</formula>
    </cfRule>
  </conditionalFormatting>
  <conditionalFormatting sqref="J73:K73">
    <cfRule type="cellIs" dxfId="1390" priority="14" operator="equal">
      <formula>"Adecuado"</formula>
    </cfRule>
    <cfRule type="cellIs" dxfId="1389" priority="15" operator="equal">
      <formula>"en riesgo"</formula>
    </cfRule>
  </conditionalFormatting>
  <conditionalFormatting sqref="L73:M73">
    <cfRule type="cellIs" dxfId="1388" priority="12" operator="equal">
      <formula>"optimo"</formula>
    </cfRule>
    <cfRule type="cellIs" dxfId="1387" priority="13" operator="equal">
      <formula>"critico"</formula>
    </cfRule>
  </conditionalFormatting>
  <conditionalFormatting sqref="F75:M86">
    <cfRule type="expression" dxfId="1386" priority="11">
      <formula>+IF($AK75=0,1)</formula>
    </cfRule>
  </conditionalFormatting>
  <conditionalFormatting sqref="F103:G104">
    <cfRule type="expression" dxfId="1385" priority="10">
      <formula>+IF($G$102="No",1,0)</formula>
    </cfRule>
  </conditionalFormatting>
  <conditionalFormatting sqref="F51">
    <cfRule type="expression" dxfId="1384" priority="9">
      <formula>+IF($F$43="no",1,0)</formula>
    </cfRule>
  </conditionalFormatting>
  <conditionalFormatting sqref="I51">
    <cfRule type="expression" dxfId="1383" priority="8">
      <formula>+IF($F$51="no",1,0)</formula>
    </cfRule>
  </conditionalFormatting>
  <conditionalFormatting sqref="F33:M33">
    <cfRule type="expression" dxfId="1382" priority="5">
      <formula>+IF($Q$30="NA",1,0)</formula>
    </cfRule>
  </conditionalFormatting>
  <conditionalFormatting sqref="F33:M33">
    <cfRule type="expression" dxfId="1381" priority="4">
      <formula>+IF($Q$33=0,1,0)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tabColor rgb="FF0070C0"/>
  </sheetPr>
  <dimension ref="B1:AV113"/>
  <sheetViews>
    <sheetView topLeftCell="A49" zoomScaleNormal="100" workbookViewId="0">
      <selection activeCell="L80" sqref="L8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123</v>
      </c>
      <c r="O10" s="2"/>
    </row>
    <row r="11" spans="2:24" ht="3.95" customHeight="1" x14ac:dyDescent="0.25">
      <c r="B11" s="2"/>
      <c r="D11" s="6"/>
      <c r="O11" s="2"/>
    </row>
    <row r="12" spans="2:24" ht="36" customHeight="1" x14ac:dyDescent="0.25">
      <c r="B12" s="2"/>
      <c r="D12" s="338" t="s">
        <v>5</v>
      </c>
      <c r="E12" s="339"/>
      <c r="F12" s="340" t="s">
        <v>1906</v>
      </c>
      <c r="G12" s="341"/>
      <c r="H12" s="341"/>
      <c r="I12" s="341"/>
      <c r="J12" s="341"/>
      <c r="K12" s="341"/>
      <c r="L12" s="341"/>
      <c r="M12" s="342"/>
      <c r="O12" s="2"/>
      <c r="W12" s="3" t="str">
        <f>+F23</f>
        <v>Mensual</v>
      </c>
      <c r="X12" s="3" t="str">
        <f>+F71</f>
        <v>Marzo</v>
      </c>
    </row>
    <row r="13" spans="2:24" ht="3.95" customHeight="1" x14ac:dyDescent="0.25">
      <c r="B13" s="2"/>
      <c r="O13" s="2"/>
    </row>
    <row r="14" spans="2:24" ht="36" customHeight="1" x14ac:dyDescent="0.25">
      <c r="B14" s="2"/>
      <c r="D14" s="338" t="s">
        <v>6</v>
      </c>
      <c r="E14" s="339"/>
      <c r="F14" s="340" t="s">
        <v>1907</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17" t="s">
        <v>512</v>
      </c>
      <c r="G22" s="337" t="s">
        <v>9</v>
      </c>
      <c r="H22" s="337"/>
      <c r="I22" s="17">
        <v>0.5</v>
      </c>
      <c r="K22" s="337" t="s">
        <v>10</v>
      </c>
      <c r="L22" s="337"/>
      <c r="M22" s="9" t="s">
        <v>496</v>
      </c>
      <c r="O22" s="2"/>
    </row>
    <row r="23" spans="2:17" ht="19.5" customHeight="1" x14ac:dyDescent="0.25">
      <c r="B23" s="2"/>
      <c r="D23" s="337" t="s">
        <v>11</v>
      </c>
      <c r="E23" s="337"/>
      <c r="F23" s="4" t="s">
        <v>84</v>
      </c>
      <c r="G23" s="337" t="s">
        <v>12</v>
      </c>
      <c r="H23" s="337"/>
      <c r="I23" s="4" t="s">
        <v>497</v>
      </c>
      <c r="K23" s="337" t="s">
        <v>13</v>
      </c>
      <c r="L23" s="337"/>
      <c r="M23" s="9" t="s">
        <v>2</v>
      </c>
      <c r="O23" s="2"/>
    </row>
    <row r="24" spans="2:17" ht="20.100000000000001" customHeight="1" x14ac:dyDescent="0.25">
      <c r="B24" s="2"/>
      <c r="D24" s="337" t="s">
        <v>14</v>
      </c>
      <c r="E24" s="337"/>
      <c r="F24" s="4" t="s">
        <v>498</v>
      </c>
      <c r="G24" s="337" t="s">
        <v>15</v>
      </c>
      <c r="H24" s="337"/>
      <c r="I24" s="4" t="s">
        <v>533</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20</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NA</v>
      </c>
    </row>
    <row r="31" spans="2:17" ht="24" customHeight="1" x14ac:dyDescent="0.25">
      <c r="B31" s="2"/>
      <c r="D31" s="347"/>
      <c r="E31" s="348"/>
      <c r="F31" s="4" t="s">
        <v>109</v>
      </c>
      <c r="G31" s="340" t="s">
        <v>110</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500</v>
      </c>
      <c r="G33" s="340"/>
      <c r="H33" s="341"/>
      <c r="I33" s="341"/>
      <c r="J33" s="341"/>
      <c r="K33" s="341"/>
      <c r="L33" s="341"/>
      <c r="M33" s="342"/>
      <c r="O33" s="2"/>
      <c r="Q33" s="3" t="str">
        <f>+IFERROR(IF(VLOOKUP(G33,base!$A$26:$C$40,3,FALSE)=F31,1,0),"")</f>
        <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1711</v>
      </c>
      <c r="G35" s="340" t="s">
        <v>1587</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501</v>
      </c>
      <c r="G45" s="340" t="s">
        <v>502</v>
      </c>
      <c r="H45" s="341"/>
      <c r="I45" s="341"/>
      <c r="J45" s="341"/>
      <c r="K45" s="341"/>
      <c r="L45" s="341"/>
      <c r="M45" s="342"/>
      <c r="O45" s="2"/>
      <c r="Q45" s="3" t="str">
        <f>+IFERROR(VLOOKUP(G45,base!$A$41:$C$45,3,FALSE),"")</f>
        <v>misional</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503</v>
      </c>
      <c r="G47" s="340" t="s">
        <v>504</v>
      </c>
      <c r="H47" s="341"/>
      <c r="I47" s="341"/>
      <c r="J47" s="341"/>
      <c r="K47" s="341"/>
      <c r="L47" s="341"/>
      <c r="M47" s="342"/>
      <c r="O47" s="2"/>
      <c r="Q47" s="3">
        <f>+IF(VLOOKUP(G47,base!$A$46:$C$66,3,FALSE)=F45,1,0)</f>
        <v>1</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535</v>
      </c>
      <c r="G49" s="340" t="s">
        <v>30</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496</v>
      </c>
      <c r="G51" s="337" t="s">
        <v>32</v>
      </c>
      <c r="H51" s="337"/>
      <c r="I51" s="17">
        <v>0.9</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75" customHeight="1" x14ac:dyDescent="0.25">
      <c r="B59" s="2"/>
      <c r="D59" s="337" t="s">
        <v>34</v>
      </c>
      <c r="E59" s="337"/>
      <c r="F59" s="344" t="s">
        <v>1903</v>
      </c>
      <c r="G59" s="344"/>
      <c r="H59" s="344"/>
      <c r="I59" s="344"/>
      <c r="J59" s="344"/>
      <c r="K59" s="344"/>
      <c r="L59" s="344"/>
      <c r="M59" s="344"/>
      <c r="O59" s="2"/>
    </row>
    <row r="60" spans="2:15" ht="27" customHeight="1" x14ac:dyDescent="0.25">
      <c r="B60" s="2"/>
      <c r="D60" s="359" t="s">
        <v>35</v>
      </c>
      <c r="E60" s="359"/>
      <c r="F60" s="344" t="s">
        <v>1904</v>
      </c>
      <c r="G60" s="344"/>
      <c r="H60" s="344"/>
      <c r="I60" s="344"/>
      <c r="J60" s="344"/>
      <c r="K60" s="344"/>
      <c r="L60" s="344"/>
      <c r="M60" s="344"/>
      <c r="O60" s="2"/>
    </row>
    <row r="61" spans="2:15" ht="27" customHeight="1" x14ac:dyDescent="0.25">
      <c r="B61" s="2"/>
      <c r="D61" s="359" t="s">
        <v>36</v>
      </c>
      <c r="E61" s="359"/>
      <c r="F61" s="344" t="s">
        <v>1905</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43" t="s">
        <v>39</v>
      </c>
      <c r="E71" s="343"/>
      <c r="F71" s="4" t="s">
        <v>47</v>
      </c>
      <c r="G71" s="3">
        <v>3</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v>9.9000000000000005E-2</v>
      </c>
      <c r="H77" s="16">
        <v>0.1</v>
      </c>
      <c r="I77" s="16">
        <v>0.14899999999999999</v>
      </c>
      <c r="J77" s="16">
        <v>0.15</v>
      </c>
      <c r="K77" s="16">
        <v>0.19900000000000001</v>
      </c>
      <c r="L77" s="16">
        <v>0.2</v>
      </c>
      <c r="M77" s="16" t="s">
        <v>500</v>
      </c>
      <c r="O77" s="2"/>
      <c r="AE77" s="3" t="s">
        <v>47</v>
      </c>
      <c r="AF77" s="3">
        <v>3</v>
      </c>
      <c r="AG77" s="3">
        <f t="shared" si="0"/>
        <v>1</v>
      </c>
      <c r="AH77" s="3">
        <f>+IF(AG77=0,0,IF(AG77=1,(SUM($AG$75:AG77)-1),1))</f>
        <v>0</v>
      </c>
      <c r="AI77" s="3">
        <f t="shared" si="1"/>
        <v>0</v>
      </c>
      <c r="AJ77" s="3">
        <f t="shared" si="2"/>
        <v>1</v>
      </c>
      <c r="AK77" s="3">
        <f t="shared" si="3"/>
        <v>1</v>
      </c>
    </row>
    <row r="78" spans="2:37" x14ac:dyDescent="0.25">
      <c r="B78" s="2"/>
      <c r="D78" s="360" t="s">
        <v>48</v>
      </c>
      <c r="E78" s="360"/>
      <c r="F78" s="16" t="s">
        <v>500</v>
      </c>
      <c r="G78" s="16">
        <v>0.109</v>
      </c>
      <c r="H78" s="16">
        <v>0.11</v>
      </c>
      <c r="I78" s="16">
        <v>0.14899999999999999</v>
      </c>
      <c r="J78" s="16">
        <v>0.15</v>
      </c>
      <c r="K78" s="16">
        <v>0.24399999999999999</v>
      </c>
      <c r="L78" s="16">
        <v>0.24461722488038279</v>
      </c>
      <c r="M78" s="16"/>
      <c r="O78" s="2"/>
      <c r="AE78" s="3" t="s">
        <v>48</v>
      </c>
      <c r="AF78" s="3">
        <v>4</v>
      </c>
      <c r="AG78" s="3">
        <f t="shared" si="0"/>
        <v>1</v>
      </c>
      <c r="AH78" s="3">
        <f>+IF(AG78=0,0,IF(AG78=1,(SUM($AG$75:AG78)-1),1))</f>
        <v>1</v>
      </c>
      <c r="AI78" s="3">
        <f t="shared" si="1"/>
        <v>1</v>
      </c>
      <c r="AJ78" s="3">
        <f t="shared" si="2"/>
        <v>0</v>
      </c>
      <c r="AK78" s="3">
        <f t="shared" si="3"/>
        <v>1</v>
      </c>
    </row>
    <row r="79" spans="2:37" x14ac:dyDescent="0.25">
      <c r="B79" s="2"/>
      <c r="D79" s="360" t="s">
        <v>49</v>
      </c>
      <c r="E79" s="360"/>
      <c r="F79" s="16" t="s">
        <v>500</v>
      </c>
      <c r="G79" s="16">
        <v>0.129</v>
      </c>
      <c r="H79" s="16">
        <v>0.14000000000000001</v>
      </c>
      <c r="I79" s="16">
        <v>0.19900000000000001</v>
      </c>
      <c r="J79" s="16">
        <v>0.2</v>
      </c>
      <c r="K79" s="16">
        <v>0.28799999999999998</v>
      </c>
      <c r="L79" s="16">
        <v>0.28947368421052633</v>
      </c>
      <c r="M79" s="16"/>
      <c r="O79" s="2"/>
      <c r="AE79" s="3" t="s">
        <v>49</v>
      </c>
      <c r="AF79" s="3">
        <v>5</v>
      </c>
      <c r="AG79" s="3">
        <f t="shared" si="0"/>
        <v>1</v>
      </c>
      <c r="AH79" s="3">
        <f>+IF(AG79=0,0,IF(AG79=1,(SUM($AG$75:AG79)-1),1))</f>
        <v>2</v>
      </c>
      <c r="AI79" s="3">
        <f t="shared" si="1"/>
        <v>1</v>
      </c>
      <c r="AJ79" s="3">
        <f t="shared" si="2"/>
        <v>0</v>
      </c>
      <c r="AK79" s="3">
        <f t="shared" si="3"/>
        <v>1</v>
      </c>
    </row>
    <row r="80" spans="2:37" x14ac:dyDescent="0.25">
      <c r="B80" s="2"/>
      <c r="D80" s="360" t="s">
        <v>50</v>
      </c>
      <c r="E80" s="360"/>
      <c r="F80" s="16" t="s">
        <v>500</v>
      </c>
      <c r="G80" s="16">
        <v>0.159</v>
      </c>
      <c r="H80" s="16">
        <v>0.16</v>
      </c>
      <c r="I80" s="16">
        <v>0.249</v>
      </c>
      <c r="J80" s="16">
        <v>0.25</v>
      </c>
      <c r="K80" s="16">
        <v>0.30599999999999999</v>
      </c>
      <c r="L80" s="16">
        <v>0.30651913875598086</v>
      </c>
      <c r="M80" s="16"/>
      <c r="O80" s="2"/>
      <c r="AE80" s="3" t="s">
        <v>50</v>
      </c>
      <c r="AF80" s="3">
        <v>6</v>
      </c>
      <c r="AG80" s="3">
        <f t="shared" si="0"/>
        <v>1</v>
      </c>
      <c r="AH80" s="3">
        <f>+IF(AG80=0,0,IF(AG80=1,(SUM($AG$75:AG80)-1),1))</f>
        <v>3</v>
      </c>
      <c r="AI80" s="3">
        <f t="shared" si="1"/>
        <v>1</v>
      </c>
      <c r="AJ80" s="3">
        <f t="shared" si="2"/>
        <v>0</v>
      </c>
      <c r="AK80" s="3">
        <f t="shared" si="3"/>
        <v>1</v>
      </c>
    </row>
    <row r="81" spans="2:37" x14ac:dyDescent="0.25">
      <c r="B81" s="2"/>
      <c r="D81" s="360" t="s">
        <v>53</v>
      </c>
      <c r="E81" s="360"/>
      <c r="F81" s="16" t="s">
        <v>500</v>
      </c>
      <c r="G81" s="16">
        <v>0.20899999999999999</v>
      </c>
      <c r="H81" s="16">
        <v>0.2</v>
      </c>
      <c r="I81" s="16">
        <v>0.29899999999999999</v>
      </c>
      <c r="J81" s="16">
        <v>0.3</v>
      </c>
      <c r="K81" s="16">
        <v>0.35399999999999998</v>
      </c>
      <c r="L81" s="16">
        <v>0.35496411483253587</v>
      </c>
      <c r="M81" s="16"/>
      <c r="O81" s="2"/>
      <c r="AE81" s="3" t="s">
        <v>53</v>
      </c>
      <c r="AF81" s="3">
        <v>7</v>
      </c>
      <c r="AG81" s="3">
        <f t="shared" si="0"/>
        <v>1</v>
      </c>
      <c r="AH81" s="3">
        <f>+IF(AG81=0,0,IF(AG81=1,(SUM($AG$75:AG81)-1),1))</f>
        <v>4</v>
      </c>
      <c r="AI81" s="3">
        <f t="shared" si="1"/>
        <v>1</v>
      </c>
      <c r="AJ81" s="3">
        <f t="shared" si="2"/>
        <v>0</v>
      </c>
      <c r="AK81" s="3">
        <f t="shared" si="3"/>
        <v>1</v>
      </c>
    </row>
    <row r="82" spans="2:37" x14ac:dyDescent="0.25">
      <c r="B82" s="2"/>
      <c r="D82" s="360" t="s">
        <v>54</v>
      </c>
      <c r="E82" s="360"/>
      <c r="F82" s="16" t="s">
        <v>500</v>
      </c>
      <c r="G82" s="16">
        <v>0.25900000000000001</v>
      </c>
      <c r="H82" s="16">
        <v>0.25</v>
      </c>
      <c r="I82" s="16">
        <v>0.34899999999999998</v>
      </c>
      <c r="J82" s="16">
        <v>0.35</v>
      </c>
      <c r="K82" s="16">
        <v>0.40200000000000002</v>
      </c>
      <c r="L82" s="16">
        <v>0.40340909090909088</v>
      </c>
      <c r="M82" s="16"/>
      <c r="O82" s="2"/>
      <c r="AE82" s="3" t="s">
        <v>54</v>
      </c>
      <c r="AF82" s="3">
        <v>8</v>
      </c>
      <c r="AG82" s="3">
        <f t="shared" si="0"/>
        <v>1</v>
      </c>
      <c r="AH82" s="3">
        <f>+IF(AG82=0,0,IF(AG82=1,(SUM($AG$75:AG82)-1),1))</f>
        <v>5</v>
      </c>
      <c r="AI82" s="3">
        <f t="shared" si="1"/>
        <v>1</v>
      </c>
      <c r="AJ82" s="3">
        <f t="shared" si="2"/>
        <v>0</v>
      </c>
      <c r="AK82" s="3">
        <f t="shared" si="3"/>
        <v>1</v>
      </c>
    </row>
    <row r="83" spans="2:37" x14ac:dyDescent="0.25">
      <c r="B83" s="2"/>
      <c r="D83" s="360" t="s">
        <v>55</v>
      </c>
      <c r="E83" s="360"/>
      <c r="F83" s="16" t="s">
        <v>500</v>
      </c>
      <c r="G83" s="16">
        <v>0.309</v>
      </c>
      <c r="H83" s="16">
        <v>0.3</v>
      </c>
      <c r="I83" s="16">
        <v>0.39900000000000002</v>
      </c>
      <c r="J83" s="16">
        <v>0.4</v>
      </c>
      <c r="K83" s="16">
        <v>0.45100000000000001</v>
      </c>
      <c r="L83" s="16">
        <v>0.45185406698564595</v>
      </c>
      <c r="M83" s="16"/>
      <c r="O83" s="2"/>
      <c r="AE83" s="3" t="s">
        <v>55</v>
      </c>
      <c r="AF83" s="3">
        <v>9</v>
      </c>
      <c r="AG83" s="3">
        <f t="shared" si="0"/>
        <v>1</v>
      </c>
      <c r="AH83" s="3">
        <f>+IF(AG83=0,0,IF(AG83=1,(SUM($AG$75:AG83)-1),1))</f>
        <v>6</v>
      </c>
      <c r="AI83" s="3">
        <f t="shared" si="1"/>
        <v>1</v>
      </c>
      <c r="AJ83" s="3">
        <f t="shared" si="2"/>
        <v>0</v>
      </c>
      <c r="AK83" s="3">
        <f t="shared" si="3"/>
        <v>1</v>
      </c>
    </row>
    <row r="84" spans="2:37" x14ac:dyDescent="0.25">
      <c r="B84" s="2"/>
      <c r="D84" s="360" t="s">
        <v>56</v>
      </c>
      <c r="E84" s="360"/>
      <c r="F84" s="16" t="s">
        <v>500</v>
      </c>
      <c r="G84" s="16">
        <v>0.39900000000000002</v>
      </c>
      <c r="H84" s="16">
        <v>0.4</v>
      </c>
      <c r="I84" s="16">
        <v>0.44900000000000001</v>
      </c>
      <c r="J84" s="16">
        <v>0.45</v>
      </c>
      <c r="K84" s="16">
        <v>0.499</v>
      </c>
      <c r="L84" s="16"/>
      <c r="M84" s="16">
        <v>0.5</v>
      </c>
      <c r="O84" s="2"/>
      <c r="AE84" s="3" t="s">
        <v>56</v>
      </c>
      <c r="AF84" s="3">
        <v>10</v>
      </c>
      <c r="AG84" s="3">
        <f t="shared" si="0"/>
        <v>1</v>
      </c>
      <c r="AH84" s="3">
        <f>+IF(AG84=0,0,IF(AG84=1,(SUM($AG$75:AG84)-1),1))</f>
        <v>7</v>
      </c>
      <c r="AI84" s="3">
        <f t="shared" si="1"/>
        <v>1</v>
      </c>
      <c r="AJ84" s="3">
        <f t="shared" si="2"/>
        <v>0</v>
      </c>
      <c r="AK84" s="3">
        <f t="shared" si="3"/>
        <v>1</v>
      </c>
    </row>
    <row r="85" spans="2:37" x14ac:dyDescent="0.25">
      <c r="B85" s="2"/>
      <c r="D85" s="360" t="s">
        <v>57</v>
      </c>
      <c r="E85" s="360"/>
      <c r="F85" s="16" t="s">
        <v>500</v>
      </c>
      <c r="G85" s="16">
        <v>0.39900000000000002</v>
      </c>
      <c r="H85" s="16">
        <v>0.4</v>
      </c>
      <c r="I85" s="16">
        <v>0.44900000000000001</v>
      </c>
      <c r="J85" s="16">
        <v>0.45</v>
      </c>
      <c r="K85" s="16">
        <v>0.499</v>
      </c>
      <c r="L85" s="16"/>
      <c r="M85" s="16">
        <v>0.5</v>
      </c>
      <c r="O85" s="2"/>
      <c r="AE85" s="3" t="s">
        <v>57</v>
      </c>
      <c r="AF85" s="3">
        <v>11</v>
      </c>
      <c r="AG85" s="3">
        <f t="shared" si="0"/>
        <v>1</v>
      </c>
      <c r="AH85" s="3">
        <f>+IF(AG85=0,0,IF(AG85=1,(SUM($AG$75:AG85)-1),1))</f>
        <v>8</v>
      </c>
      <c r="AI85" s="3">
        <f t="shared" si="1"/>
        <v>1</v>
      </c>
      <c r="AJ85" s="3">
        <f t="shared" si="2"/>
        <v>0</v>
      </c>
      <c r="AK85" s="3">
        <f t="shared" si="3"/>
        <v>1</v>
      </c>
    </row>
    <row r="86" spans="2:37" x14ac:dyDescent="0.25">
      <c r="B86" s="2"/>
      <c r="D86" s="360" t="s">
        <v>58</v>
      </c>
      <c r="E86" s="360"/>
      <c r="F86" s="16" t="s">
        <v>500</v>
      </c>
      <c r="G86" s="16">
        <v>0.39900000000000002</v>
      </c>
      <c r="H86" s="16">
        <v>0.4</v>
      </c>
      <c r="I86" s="16">
        <v>0.44900000000000001</v>
      </c>
      <c r="J86" s="16">
        <v>0.45</v>
      </c>
      <c r="K86" s="16">
        <v>0.499</v>
      </c>
      <c r="L86" s="16"/>
      <c r="M86" s="16">
        <v>0.5</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66" customHeight="1" x14ac:dyDescent="0.25">
      <c r="B88" s="2"/>
      <c r="D88" s="338" t="s">
        <v>59</v>
      </c>
      <c r="E88" s="339"/>
      <c r="F88" s="340"/>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28.5" customHeight="1" x14ac:dyDescent="0.25">
      <c r="B97" s="2"/>
      <c r="D97" s="359" t="s">
        <v>35</v>
      </c>
      <c r="E97" s="359"/>
      <c r="F97" s="344" t="s">
        <v>2102</v>
      </c>
      <c r="G97" s="344"/>
      <c r="H97" s="344"/>
      <c r="I97" s="344"/>
      <c r="J97" s="344"/>
      <c r="K97" s="344"/>
      <c r="L97" s="344"/>
      <c r="M97" s="344"/>
      <c r="O97" s="2"/>
    </row>
    <row r="98" spans="2:15" ht="28.5" customHeight="1" x14ac:dyDescent="0.25">
      <c r="B98" s="2"/>
      <c r="D98" s="359" t="s">
        <v>36</v>
      </c>
      <c r="E98" s="359"/>
      <c r="F98" s="344" t="s">
        <v>624</v>
      </c>
      <c r="G98" s="344"/>
      <c r="H98" s="344"/>
      <c r="I98" s="344"/>
      <c r="J98" s="344"/>
      <c r="K98" s="344"/>
      <c r="L98" s="344"/>
      <c r="M98" s="344"/>
      <c r="O98" s="2"/>
    </row>
    <row r="99" spans="2:15" ht="3.95" customHeight="1" x14ac:dyDescent="0.25">
      <c r="B99" s="2"/>
      <c r="O99" s="2"/>
    </row>
    <row r="100" spans="2:15" ht="93.75" customHeight="1" x14ac:dyDescent="0.25">
      <c r="B100" s="2"/>
      <c r="D100" s="338" t="s">
        <v>62</v>
      </c>
      <c r="E100" s="339"/>
      <c r="F100" s="340" t="s">
        <v>2103</v>
      </c>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2</v>
      </c>
      <c r="K102" s="20"/>
      <c r="O102" s="2"/>
    </row>
    <row r="103" spans="2:15" ht="19.5" customHeight="1" x14ac:dyDescent="0.25">
      <c r="B103" s="2"/>
      <c r="D103" s="331"/>
      <c r="E103" s="332"/>
      <c r="F103" s="19" t="s">
        <v>66</v>
      </c>
      <c r="G103" s="4"/>
      <c r="K103" s="21"/>
      <c r="O103" s="2"/>
    </row>
    <row r="104" spans="2:15" ht="27.75" customHeight="1" x14ac:dyDescent="0.25">
      <c r="B104" s="2"/>
      <c r="D104" s="331"/>
      <c r="E104" s="332"/>
      <c r="F104" s="19" t="s">
        <v>67</v>
      </c>
      <c r="G104" s="333"/>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69</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 xml:space="preserve">Director(a) Primera Infancia </v>
      </c>
      <c r="H108" s="334"/>
      <c r="I108" s="334"/>
      <c r="J108" s="334"/>
      <c r="K108" s="334"/>
      <c r="L108" s="334"/>
      <c r="M108" s="335"/>
      <c r="O108" s="2"/>
    </row>
    <row r="109" spans="2:15" ht="17.25" customHeight="1" x14ac:dyDescent="0.25">
      <c r="B109" s="2"/>
      <c r="D109" s="331"/>
      <c r="E109" s="332"/>
      <c r="F109" s="19" t="s">
        <v>2042</v>
      </c>
      <c r="G109" s="333" t="str">
        <f>+IF(M23="Si","Coordinador(a) Planeación y Sistemas","")</f>
        <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F51 G102">
    <cfRule type="expression" dxfId="3353" priority="29">
      <formula>+IF($F$43="no",1,0)</formula>
    </cfRule>
  </conditionalFormatting>
  <conditionalFormatting sqref="F32:M33">
    <cfRule type="expression" dxfId="3352" priority="28">
      <formula>+IF($Q$30="NA",1,0)</formula>
    </cfRule>
  </conditionalFormatting>
  <conditionalFormatting sqref="F33:M33">
    <cfRule type="expression" dxfId="3351" priority="27">
      <formula>+IF($Q$33=0,1,0)</formula>
    </cfRule>
  </conditionalFormatting>
  <conditionalFormatting sqref="F47:M47">
    <cfRule type="expression" dxfId="3350" priority="26">
      <formula>+IF($Q$47=0,1,0)</formula>
    </cfRule>
  </conditionalFormatting>
  <conditionalFormatting sqref="F73:G73">
    <cfRule type="cellIs" dxfId="3349" priority="20" operator="equal">
      <formula>"optimo"</formula>
    </cfRule>
    <cfRule type="cellIs" dxfId="3348" priority="21" operator="equal">
      <formula>"critico"</formula>
    </cfRule>
  </conditionalFormatting>
  <conditionalFormatting sqref="H73:I73">
    <cfRule type="cellIs" dxfId="3347" priority="18" operator="equal">
      <formula>"Adecuado"</formula>
    </cfRule>
    <cfRule type="cellIs" dxfId="3346" priority="19" operator="equal">
      <formula>"en riesgo"</formula>
    </cfRule>
  </conditionalFormatting>
  <conditionalFormatting sqref="J73:K73">
    <cfRule type="cellIs" dxfId="3345" priority="16" operator="equal">
      <formula>"Adecuado"</formula>
    </cfRule>
    <cfRule type="cellIs" dxfId="3344" priority="17" operator="equal">
      <formula>"en riesgo"</formula>
    </cfRule>
  </conditionalFormatting>
  <conditionalFormatting sqref="L73:M73">
    <cfRule type="cellIs" dxfId="3343" priority="14" operator="equal">
      <formula>"optimo"</formula>
    </cfRule>
    <cfRule type="cellIs" dxfId="3342" priority="15" operator="equal">
      <formula>"critico"</formula>
    </cfRule>
  </conditionalFormatting>
  <conditionalFormatting sqref="F75:M86">
    <cfRule type="expression" dxfId="3341" priority="13">
      <formula>+IF($AK75=0,1)</formula>
    </cfRule>
  </conditionalFormatting>
  <conditionalFormatting sqref="F103:G104">
    <cfRule type="expression" dxfId="3340" priority="12">
      <formula>+IF($G$102="No",1,0)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9">
    <tabColor rgb="FF0070C0"/>
  </sheetPr>
  <dimension ref="B1:AV113"/>
  <sheetViews>
    <sheetView zoomScale="90" zoomScaleNormal="90" workbookViewId="0">
      <selection activeCell="P1" sqref="P1"/>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277</v>
      </c>
      <c r="O10" s="2"/>
    </row>
    <row r="11" spans="2:24" ht="3.75" customHeight="1" x14ac:dyDescent="0.25">
      <c r="B11" s="2"/>
      <c r="D11" s="6"/>
      <c r="O11" s="2"/>
    </row>
    <row r="12" spans="2:24" ht="36" customHeight="1" x14ac:dyDescent="0.25">
      <c r="B12" s="2"/>
      <c r="D12" s="338" t="s">
        <v>5</v>
      </c>
      <c r="E12" s="339"/>
      <c r="F12" s="340" t="s">
        <v>1157</v>
      </c>
      <c r="G12" s="341"/>
      <c r="H12" s="341"/>
      <c r="I12" s="341"/>
      <c r="J12" s="341"/>
      <c r="K12" s="341"/>
      <c r="L12" s="341"/>
      <c r="M12" s="342"/>
      <c r="O12" s="2"/>
      <c r="W12" s="3" t="str">
        <f>+F23</f>
        <v>Trimestral</v>
      </c>
      <c r="X12" s="3" t="str">
        <f>+F71</f>
        <v>Marzo</v>
      </c>
    </row>
    <row r="13" spans="2:24" ht="3.95" customHeight="1" x14ac:dyDescent="0.25">
      <c r="B13" s="2"/>
      <c r="O13" s="2"/>
    </row>
    <row r="14" spans="2:24" ht="38.25" customHeight="1" x14ac:dyDescent="0.25">
      <c r="B14" s="2"/>
      <c r="D14" s="338" t="s">
        <v>6</v>
      </c>
      <c r="E14" s="339"/>
      <c r="F14" s="340" t="s">
        <v>1107</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29">
        <v>0</v>
      </c>
      <c r="G22" s="337" t="s">
        <v>9</v>
      </c>
      <c r="H22" s="337"/>
      <c r="I22" s="17">
        <v>1</v>
      </c>
      <c r="K22" s="337" t="s">
        <v>10</v>
      </c>
      <c r="L22" s="337"/>
      <c r="M22" s="9" t="s">
        <v>496</v>
      </c>
      <c r="O22" s="2"/>
    </row>
    <row r="23" spans="2:17" ht="19.5" customHeight="1" x14ac:dyDescent="0.25">
      <c r="B23" s="2"/>
      <c r="D23" s="337" t="s">
        <v>11</v>
      </c>
      <c r="E23" s="337"/>
      <c r="F23" s="4" t="s">
        <v>71</v>
      </c>
      <c r="G23" s="337" t="s">
        <v>12</v>
      </c>
      <c r="H23" s="337"/>
      <c r="I23" s="4" t="s">
        <v>497</v>
      </c>
      <c r="K23" s="337" t="s">
        <v>13</v>
      </c>
      <c r="L23" s="337"/>
      <c r="M23" s="9" t="s">
        <v>2</v>
      </c>
      <c r="O23" s="2"/>
    </row>
    <row r="24" spans="2:17" ht="20.100000000000001" customHeight="1" x14ac:dyDescent="0.25">
      <c r="B24" s="2"/>
      <c r="D24" s="337" t="s">
        <v>14</v>
      </c>
      <c r="E24" s="337"/>
      <c r="F24" s="4" t="s">
        <v>498</v>
      </c>
      <c r="G24" s="337" t="s">
        <v>15</v>
      </c>
      <c r="H24" s="337"/>
      <c r="I24" s="4" t="s">
        <v>533</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soporte</v>
      </c>
    </row>
    <row r="31" spans="2:17" ht="24" customHeight="1" x14ac:dyDescent="0.25">
      <c r="B31" s="2"/>
      <c r="D31" s="347"/>
      <c r="E31" s="348"/>
      <c r="F31" s="4" t="s">
        <v>257</v>
      </c>
      <c r="G31" s="340" t="s">
        <v>258</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1602</v>
      </c>
      <c r="G33" s="340" t="s">
        <v>1550</v>
      </c>
      <c r="H33" s="341"/>
      <c r="I33" s="341"/>
      <c r="J33" s="341"/>
      <c r="K33" s="341"/>
      <c r="L33" s="341"/>
      <c r="M33" s="342"/>
      <c r="O33" s="2"/>
      <c r="Q33" s="3">
        <f>+IFERROR(IF(VLOOKUP(G33,base!$A$26:$C$40,3,FALSE)=F31,1,0),"")</f>
        <v>1</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1716</v>
      </c>
      <c r="G35" s="340" t="s">
        <v>1592</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2</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500</v>
      </c>
      <c r="G45" s="340" t="s">
        <v>512</v>
      </c>
      <c r="H45" s="341"/>
      <c r="I45" s="341"/>
      <c r="J45" s="341"/>
      <c r="K45" s="341"/>
      <c r="L45" s="341"/>
      <c r="M45" s="342"/>
      <c r="O45" s="2"/>
      <c r="Q45" s="3" t="str">
        <f>+IFERROR(VLOOKUP(G45,base!$A$41:$C$45,3,FALSE),"")</f>
        <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503</v>
      </c>
      <c r="G47" s="340"/>
      <c r="H47" s="341"/>
      <c r="I47" s="341"/>
      <c r="J47" s="341"/>
      <c r="K47" s="341"/>
      <c r="L47" s="341"/>
      <c r="M47" s="342"/>
      <c r="O47" s="2"/>
      <c r="Q47" s="3" t="e">
        <f>+IF(VLOOKUP(G47,base!$A$46:$C$66,3,FALSE)=F45,1,0)</f>
        <v>#N/A</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920</v>
      </c>
      <c r="G49" s="340" t="s">
        <v>899</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29"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37" t="s">
        <v>34</v>
      </c>
      <c r="E59" s="337"/>
      <c r="F59" s="344" t="s">
        <v>1108</v>
      </c>
      <c r="G59" s="344"/>
      <c r="H59" s="344"/>
      <c r="I59" s="344"/>
      <c r="J59" s="344"/>
      <c r="K59" s="344"/>
      <c r="L59" s="344"/>
      <c r="M59" s="344"/>
      <c r="O59" s="2"/>
    </row>
    <row r="60" spans="2:15" ht="66" customHeight="1" x14ac:dyDescent="0.25">
      <c r="B60" s="2"/>
      <c r="D60" s="359" t="s">
        <v>35</v>
      </c>
      <c r="E60" s="359"/>
      <c r="F60" s="344" t="s">
        <v>1109</v>
      </c>
      <c r="G60" s="344"/>
      <c r="H60" s="344"/>
      <c r="I60" s="344"/>
      <c r="J60" s="344"/>
      <c r="K60" s="344"/>
      <c r="L60" s="344"/>
      <c r="M60" s="344"/>
      <c r="O60" s="2"/>
    </row>
    <row r="61" spans="2:15" ht="41.25" customHeight="1" x14ac:dyDescent="0.25">
      <c r="B61" s="2"/>
      <c r="D61" s="359" t="s">
        <v>36</v>
      </c>
      <c r="E61" s="359"/>
      <c r="F61" s="340" t="s">
        <v>1110</v>
      </c>
      <c r="G61" s="341"/>
      <c r="H61" s="341"/>
      <c r="I61" s="341"/>
      <c r="J61" s="341"/>
      <c r="K61" s="341"/>
      <c r="L61" s="341"/>
      <c r="M61" s="342"/>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43" t="s">
        <v>39</v>
      </c>
      <c r="E71" s="343"/>
      <c r="F71" s="4" t="s">
        <v>47</v>
      </c>
      <c r="G71" s="3">
        <v>3</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v>9.9000000000000005E-2</v>
      </c>
      <c r="H77" s="16">
        <v>0.1</v>
      </c>
      <c r="I77" s="16">
        <v>0.19900000000000001</v>
      </c>
      <c r="J77" s="16">
        <v>0.2</v>
      </c>
      <c r="K77" s="16">
        <v>0.249</v>
      </c>
      <c r="L77" s="16">
        <v>0.25</v>
      </c>
      <c r="M77" s="16" t="s">
        <v>500</v>
      </c>
      <c r="O77" s="2"/>
      <c r="AE77" s="3" t="s">
        <v>47</v>
      </c>
      <c r="AF77" s="3">
        <v>3</v>
      </c>
      <c r="AG77" s="3">
        <f t="shared" si="0"/>
        <v>1</v>
      </c>
      <c r="AH77" s="3">
        <f>+IF(AG77=0,0,IF(AG77=1,(SUM($AG$75:AG77)-1),1))</f>
        <v>0</v>
      </c>
      <c r="AI77" s="3">
        <f t="shared" si="1"/>
        <v>0</v>
      </c>
      <c r="AJ77" s="3">
        <f t="shared" si="2"/>
        <v>1</v>
      </c>
      <c r="AK77" s="3">
        <f t="shared" si="3"/>
        <v>1</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2</v>
      </c>
      <c r="AI79" s="3">
        <f t="shared" si="1"/>
        <v>0</v>
      </c>
      <c r="AJ79" s="3">
        <f t="shared" si="2"/>
        <v>0</v>
      </c>
      <c r="AK79" s="3">
        <f t="shared" si="3"/>
        <v>0</v>
      </c>
    </row>
    <row r="80" spans="2:37" x14ac:dyDescent="0.25">
      <c r="B80" s="2"/>
      <c r="D80" s="360" t="s">
        <v>50</v>
      </c>
      <c r="E80" s="360"/>
      <c r="F80" s="16" t="s">
        <v>500</v>
      </c>
      <c r="G80" s="16">
        <v>0.34899999999999998</v>
      </c>
      <c r="H80" s="16">
        <v>0.35</v>
      </c>
      <c r="I80" s="16">
        <v>0.44900000000000001</v>
      </c>
      <c r="J80" s="16">
        <v>0.45</v>
      </c>
      <c r="K80" s="16">
        <v>0.499</v>
      </c>
      <c r="L80" s="16">
        <v>0.5</v>
      </c>
      <c r="M80" s="16" t="s">
        <v>500</v>
      </c>
      <c r="O80" s="2"/>
      <c r="AE80" s="3" t="s">
        <v>50</v>
      </c>
      <c r="AF80" s="3">
        <v>6</v>
      </c>
      <c r="AG80" s="3">
        <f t="shared" si="0"/>
        <v>1</v>
      </c>
      <c r="AH80" s="3">
        <f>+IF(AG80=0,0,IF(AG80=1,(SUM($AG$75:AG80)-1),1))</f>
        <v>3</v>
      </c>
      <c r="AI80" s="3">
        <f t="shared" si="1"/>
        <v>1</v>
      </c>
      <c r="AJ80" s="3">
        <f t="shared" si="2"/>
        <v>0</v>
      </c>
      <c r="AK80" s="3">
        <f t="shared" si="3"/>
        <v>1</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4</v>
      </c>
      <c r="AI81" s="3">
        <f t="shared" si="1"/>
        <v>0</v>
      </c>
      <c r="AJ81" s="3">
        <f t="shared" si="2"/>
        <v>0</v>
      </c>
      <c r="AK81" s="3">
        <f t="shared" si="3"/>
        <v>0</v>
      </c>
    </row>
    <row r="82" spans="2:37" x14ac:dyDescent="0.25">
      <c r="B82" s="2"/>
      <c r="D82" s="360" t="s">
        <v>54</v>
      </c>
      <c r="E82" s="360"/>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60" t="s">
        <v>55</v>
      </c>
      <c r="E83" s="360"/>
      <c r="F83" s="16" t="s">
        <v>500</v>
      </c>
      <c r="G83" s="16">
        <v>0.59899999999999998</v>
      </c>
      <c r="H83" s="16">
        <v>0.6</v>
      </c>
      <c r="I83" s="16">
        <v>0.69899999999999995</v>
      </c>
      <c r="J83" s="16">
        <v>0.7</v>
      </c>
      <c r="K83" s="16">
        <v>0.749</v>
      </c>
      <c r="L83" s="16">
        <v>0.75</v>
      </c>
      <c r="M83" s="16" t="s">
        <v>500</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60" t="s">
        <v>58</v>
      </c>
      <c r="E86" s="360"/>
      <c r="F86" s="16" t="s">
        <v>500</v>
      </c>
      <c r="G86" s="16">
        <v>0.84899999999999998</v>
      </c>
      <c r="H86" s="16">
        <v>0.85</v>
      </c>
      <c r="I86" s="16">
        <v>0.94899999999999995</v>
      </c>
      <c r="J86" s="16">
        <v>0.95</v>
      </c>
      <c r="K86" s="16">
        <v>0.999</v>
      </c>
      <c r="L86" s="16" t="s">
        <v>500</v>
      </c>
      <c r="M86" s="16">
        <v>1</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66" customHeight="1" x14ac:dyDescent="0.25">
      <c r="B88" s="2"/>
      <c r="D88" s="338" t="s">
        <v>59</v>
      </c>
      <c r="E88" s="339"/>
      <c r="F88" s="340" t="s">
        <v>2123</v>
      </c>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2" customHeight="1" x14ac:dyDescent="0.25">
      <c r="B97" s="2"/>
      <c r="D97" s="359" t="s">
        <v>35</v>
      </c>
      <c r="E97" s="359"/>
      <c r="F97" s="344" t="s">
        <v>2121</v>
      </c>
      <c r="G97" s="344"/>
      <c r="H97" s="344"/>
      <c r="I97" s="344"/>
      <c r="J97" s="344"/>
      <c r="K97" s="344"/>
      <c r="L97" s="344"/>
      <c r="M97" s="344"/>
      <c r="O97" s="2"/>
    </row>
    <row r="98" spans="2:15" ht="42" customHeight="1" x14ac:dyDescent="0.25">
      <c r="B98" s="2"/>
      <c r="D98" s="359" t="s">
        <v>36</v>
      </c>
      <c r="E98" s="359"/>
      <c r="F98" s="344" t="s">
        <v>2122</v>
      </c>
      <c r="G98" s="344"/>
      <c r="H98" s="344"/>
      <c r="I98" s="344"/>
      <c r="J98" s="344"/>
      <c r="K98" s="344"/>
      <c r="L98" s="344"/>
      <c r="M98" s="344"/>
      <c r="O98" s="2"/>
    </row>
    <row r="99" spans="2:15" ht="3.95" customHeight="1" x14ac:dyDescent="0.25">
      <c r="B99" s="2"/>
      <c r="O99" s="2"/>
    </row>
    <row r="100" spans="2:15" ht="58.5" customHeight="1" x14ac:dyDescent="0.25">
      <c r="B100" s="2"/>
      <c r="D100" s="338" t="s">
        <v>62</v>
      </c>
      <c r="E100" s="339"/>
      <c r="F100" s="344" t="s">
        <v>1064</v>
      </c>
      <c r="G100" s="344"/>
      <c r="H100" s="344"/>
      <c r="I100" s="344"/>
      <c r="J100" s="344"/>
      <c r="K100" s="344"/>
      <c r="L100" s="344"/>
      <c r="M100" s="344"/>
      <c r="O100" s="2"/>
    </row>
    <row r="101" spans="2:15" ht="3.95" customHeight="1" x14ac:dyDescent="0.25">
      <c r="B101" s="2"/>
      <c r="O101" s="2"/>
    </row>
    <row r="102" spans="2:15" ht="19.5" customHeight="1" x14ac:dyDescent="0.25">
      <c r="B102" s="2"/>
      <c r="D102" s="329" t="s">
        <v>64</v>
      </c>
      <c r="E102" s="330"/>
      <c r="F102" s="19" t="s">
        <v>65</v>
      </c>
      <c r="G102" s="4" t="s">
        <v>2</v>
      </c>
      <c r="K102" s="20"/>
      <c r="O102" s="2"/>
    </row>
    <row r="103" spans="2:15" ht="19.5" customHeight="1" x14ac:dyDescent="0.25">
      <c r="B103" s="2"/>
      <c r="D103" s="331"/>
      <c r="E103" s="332"/>
      <c r="F103" s="19" t="s">
        <v>66</v>
      </c>
      <c r="G103" s="4"/>
      <c r="K103" s="21"/>
      <c r="O103" s="2"/>
    </row>
    <row r="104" spans="2:15" ht="27.75" customHeight="1" x14ac:dyDescent="0.25">
      <c r="B104" s="2"/>
      <c r="D104" s="331"/>
      <c r="E104" s="332"/>
      <c r="F104" s="19" t="s">
        <v>67</v>
      </c>
      <c r="G104" s="333"/>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Director(a) Administrativa</v>
      </c>
      <c r="H108" s="334"/>
      <c r="I108" s="334"/>
      <c r="J108" s="334"/>
      <c r="K108" s="334"/>
      <c r="L108" s="334"/>
      <c r="M108" s="335"/>
      <c r="O108" s="2"/>
    </row>
    <row r="109" spans="2:15" ht="17.25" customHeight="1" x14ac:dyDescent="0.25">
      <c r="B109" s="2"/>
      <c r="D109" s="331"/>
      <c r="E109" s="332"/>
      <c r="F109" s="19" t="s">
        <v>2042</v>
      </c>
      <c r="G109" s="333" t="str">
        <f>+IF(M23="Si","Coordinador(a) Planeación y Sistemas","")</f>
        <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380" priority="33">
      <formula>+IF($F$43="no",1,0)</formula>
    </cfRule>
  </conditionalFormatting>
  <conditionalFormatting sqref="F32:M32">
    <cfRule type="expression" dxfId="1379" priority="32">
      <formula>+IF($Q$30="NA",1,0)</formula>
    </cfRule>
  </conditionalFormatting>
  <conditionalFormatting sqref="F47:M47">
    <cfRule type="expression" dxfId="1378" priority="30">
      <formula>+IF($Q$47=0,1,0)</formula>
    </cfRule>
  </conditionalFormatting>
  <conditionalFormatting sqref="F73:G73">
    <cfRule type="cellIs" dxfId="1377" priority="16" operator="equal">
      <formula>"optimo"</formula>
    </cfRule>
    <cfRule type="cellIs" dxfId="1376" priority="17" operator="equal">
      <formula>"critico"</formula>
    </cfRule>
  </conditionalFormatting>
  <conditionalFormatting sqref="H73:I73">
    <cfRule type="cellIs" dxfId="1375" priority="14" operator="equal">
      <formula>"Adecuado"</formula>
    </cfRule>
    <cfRule type="cellIs" dxfId="1374" priority="15" operator="equal">
      <formula>"en riesgo"</formula>
    </cfRule>
  </conditionalFormatting>
  <conditionalFormatting sqref="J73:K73">
    <cfRule type="cellIs" dxfId="1373" priority="12" operator="equal">
      <formula>"Adecuado"</formula>
    </cfRule>
    <cfRule type="cellIs" dxfId="1372" priority="13" operator="equal">
      <formula>"en riesgo"</formula>
    </cfRule>
  </conditionalFormatting>
  <conditionalFormatting sqref="L73:M73">
    <cfRule type="cellIs" dxfId="1371" priority="10" operator="equal">
      <formula>"optimo"</formula>
    </cfRule>
    <cfRule type="cellIs" dxfId="1370" priority="11" operator="equal">
      <formula>"critico"</formula>
    </cfRule>
  </conditionalFormatting>
  <conditionalFormatting sqref="F75:M86">
    <cfRule type="expression" dxfId="1369" priority="9">
      <formula>+IF($AK75=0,1)</formula>
    </cfRule>
  </conditionalFormatting>
  <conditionalFormatting sqref="F103:G104">
    <cfRule type="expression" dxfId="1368" priority="8">
      <formula>+IF($G$102="No",1,0)</formula>
    </cfRule>
  </conditionalFormatting>
  <conditionalFormatting sqref="F51">
    <cfRule type="expression" dxfId="1367" priority="7">
      <formula>+IF($F$43="no",1,0)</formula>
    </cfRule>
  </conditionalFormatting>
  <conditionalFormatting sqref="I51">
    <cfRule type="expression" dxfId="1366" priority="6">
      <formula>+IF($F$51="no",1,0)</formula>
    </cfRule>
  </conditionalFormatting>
  <conditionalFormatting sqref="F33:M33">
    <cfRule type="expression" dxfId="1365" priority="5">
      <formula>+IF($Q$30="NA",1,0)</formula>
    </cfRule>
  </conditionalFormatting>
  <conditionalFormatting sqref="F33:M33">
    <cfRule type="expression" dxfId="1364" priority="4">
      <formula>+IF($Q$33=0,1,0)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0">
    <tabColor rgb="FF0070C0"/>
  </sheetPr>
  <dimension ref="B1:AV113"/>
  <sheetViews>
    <sheetView zoomScale="90" zoomScaleNormal="90" workbookViewId="0">
      <selection activeCell="F88" sqref="F88:M88"/>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278</v>
      </c>
      <c r="O10" s="2"/>
    </row>
    <row r="11" spans="2:24" ht="3.95" customHeight="1" x14ac:dyDescent="0.25">
      <c r="B11" s="2"/>
      <c r="D11" s="6"/>
      <c r="O11" s="2"/>
    </row>
    <row r="12" spans="2:24" ht="36" customHeight="1" x14ac:dyDescent="0.25">
      <c r="B12" s="2"/>
      <c r="D12" s="338" t="s">
        <v>5</v>
      </c>
      <c r="E12" s="339"/>
      <c r="F12" s="340" t="s">
        <v>1100</v>
      </c>
      <c r="G12" s="341"/>
      <c r="H12" s="341"/>
      <c r="I12" s="341"/>
      <c r="J12" s="341"/>
      <c r="K12" s="341"/>
      <c r="L12" s="341"/>
      <c r="M12" s="342"/>
      <c r="O12" s="2"/>
      <c r="W12" s="3" t="str">
        <f>+F23</f>
        <v>Trimestral</v>
      </c>
      <c r="X12" s="3" t="str">
        <f>+F71</f>
        <v>Marzo</v>
      </c>
    </row>
    <row r="13" spans="2:24" ht="3.95" customHeight="1" x14ac:dyDescent="0.25">
      <c r="B13" s="2"/>
      <c r="O13" s="2"/>
    </row>
    <row r="14" spans="2:24" ht="38.25" customHeight="1" x14ac:dyDescent="0.25">
      <c r="B14" s="2"/>
      <c r="D14" s="338" t="s">
        <v>6</v>
      </c>
      <c r="E14" s="339"/>
      <c r="F14" s="340" t="s">
        <v>1101</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29">
        <v>0</v>
      </c>
      <c r="G22" s="337" t="s">
        <v>9</v>
      </c>
      <c r="H22" s="337"/>
      <c r="I22" s="17">
        <v>1</v>
      </c>
      <c r="K22" s="337" t="s">
        <v>10</v>
      </c>
      <c r="L22" s="337"/>
      <c r="M22" s="9" t="s">
        <v>496</v>
      </c>
      <c r="O22" s="2"/>
    </row>
    <row r="23" spans="2:17" ht="19.5" customHeight="1" x14ac:dyDescent="0.25">
      <c r="B23" s="2"/>
      <c r="D23" s="337" t="s">
        <v>11</v>
      </c>
      <c r="E23" s="337"/>
      <c r="F23" s="4" t="s">
        <v>71</v>
      </c>
      <c r="G23" s="337" t="s">
        <v>12</v>
      </c>
      <c r="H23" s="337"/>
      <c r="I23" s="4" t="s">
        <v>497</v>
      </c>
      <c r="K23" s="337" t="s">
        <v>13</v>
      </c>
      <c r="L23" s="337"/>
      <c r="M23" s="9" t="s">
        <v>2</v>
      </c>
      <c r="O23" s="2"/>
    </row>
    <row r="24" spans="2:17" ht="20.100000000000001" customHeight="1" x14ac:dyDescent="0.25">
      <c r="B24" s="2"/>
      <c r="D24" s="337" t="s">
        <v>14</v>
      </c>
      <c r="E24" s="337"/>
      <c r="F24" s="4" t="s">
        <v>498</v>
      </c>
      <c r="G24" s="337" t="s">
        <v>15</v>
      </c>
      <c r="H24" s="337"/>
      <c r="I24" s="4" t="s">
        <v>533</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soporte</v>
      </c>
    </row>
    <row r="31" spans="2:17" ht="24" customHeight="1" x14ac:dyDescent="0.25">
      <c r="B31" s="2"/>
      <c r="D31" s="347"/>
      <c r="E31" s="348"/>
      <c r="F31" s="4" t="s">
        <v>257</v>
      </c>
      <c r="G31" s="340" t="s">
        <v>258</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1602</v>
      </c>
      <c r="G33" s="340" t="s">
        <v>1550</v>
      </c>
      <c r="H33" s="341"/>
      <c r="I33" s="341"/>
      <c r="J33" s="341"/>
      <c r="K33" s="341"/>
      <c r="L33" s="341"/>
      <c r="M33" s="342"/>
      <c r="O33" s="2"/>
      <c r="Q33" s="3">
        <f>+IFERROR(IF(VLOOKUP(G33,base!$A$26:$C$40,3,FALSE)=F31,1,0),"")</f>
        <v>1</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1716</v>
      </c>
      <c r="G35" s="340" t="s">
        <v>1592</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2</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500</v>
      </c>
      <c r="G45" s="340" t="s">
        <v>512</v>
      </c>
      <c r="H45" s="341"/>
      <c r="I45" s="341"/>
      <c r="J45" s="341"/>
      <c r="K45" s="341"/>
      <c r="L45" s="341"/>
      <c r="M45" s="342"/>
      <c r="O45" s="2"/>
      <c r="Q45" s="3" t="str">
        <f>+IFERROR(VLOOKUP(G45,base!$A$41:$C$45,3,FALSE),"")</f>
        <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503</v>
      </c>
      <c r="G47" s="340" t="s">
        <v>995</v>
      </c>
      <c r="H47" s="341"/>
      <c r="I47" s="341"/>
      <c r="J47" s="341"/>
      <c r="K47" s="341"/>
      <c r="L47" s="341"/>
      <c r="M47" s="342"/>
      <c r="O47" s="2"/>
      <c r="Q47" s="3">
        <f>+IF(VLOOKUP(G47,base!$A$46:$C$66,3,FALSE)=F45,1,0)</f>
        <v>0</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920</v>
      </c>
      <c r="G49" s="340" t="s">
        <v>899</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29"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37" t="s">
        <v>34</v>
      </c>
      <c r="E59" s="337"/>
      <c r="F59" s="344" t="s">
        <v>1102</v>
      </c>
      <c r="G59" s="344"/>
      <c r="H59" s="344"/>
      <c r="I59" s="344"/>
      <c r="J59" s="344"/>
      <c r="K59" s="344"/>
      <c r="L59" s="344"/>
      <c r="M59" s="344"/>
      <c r="O59" s="2"/>
    </row>
    <row r="60" spans="2:15" ht="66" customHeight="1" x14ac:dyDescent="0.25">
      <c r="B60" s="2"/>
      <c r="D60" s="359" t="s">
        <v>35</v>
      </c>
      <c r="E60" s="359"/>
      <c r="F60" s="344" t="s">
        <v>1103</v>
      </c>
      <c r="G60" s="344"/>
      <c r="H60" s="344"/>
      <c r="I60" s="344"/>
      <c r="J60" s="344"/>
      <c r="K60" s="344"/>
      <c r="L60" s="344"/>
      <c r="M60" s="344"/>
      <c r="O60" s="2"/>
    </row>
    <row r="61" spans="2:15" ht="41.25" customHeight="1" x14ac:dyDescent="0.25">
      <c r="B61" s="2"/>
      <c r="D61" s="359" t="s">
        <v>36</v>
      </c>
      <c r="E61" s="359"/>
      <c r="F61" s="340" t="s">
        <v>1104</v>
      </c>
      <c r="G61" s="341"/>
      <c r="H61" s="341"/>
      <c r="I61" s="341"/>
      <c r="J61" s="341"/>
      <c r="K61" s="341"/>
      <c r="L61" s="341"/>
      <c r="M61" s="342"/>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43" t="s">
        <v>39</v>
      </c>
      <c r="E71" s="343"/>
      <c r="F71" s="4" t="s">
        <v>47</v>
      </c>
      <c r="G71" s="3">
        <v>3</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v>7.9000000000000001E-2</v>
      </c>
      <c r="H77" s="16">
        <v>0.08</v>
      </c>
      <c r="I77" s="16">
        <v>0.16900000000000001</v>
      </c>
      <c r="J77" s="16">
        <v>0.17</v>
      </c>
      <c r="K77" s="16">
        <v>0.249</v>
      </c>
      <c r="L77" s="16">
        <v>0.25</v>
      </c>
      <c r="M77" s="16" t="s">
        <v>500</v>
      </c>
      <c r="O77" s="2"/>
      <c r="AE77" s="3" t="s">
        <v>47</v>
      </c>
      <c r="AF77" s="3">
        <v>3</v>
      </c>
      <c r="AG77" s="3">
        <f t="shared" si="0"/>
        <v>1</v>
      </c>
      <c r="AH77" s="3">
        <f>+IF(AG77=0,0,IF(AG77=1,(SUM($AG$75:AG77)-1),1))</f>
        <v>0</v>
      </c>
      <c r="AI77" s="3">
        <f t="shared" si="1"/>
        <v>0</v>
      </c>
      <c r="AJ77" s="3">
        <f t="shared" si="2"/>
        <v>1</v>
      </c>
      <c r="AK77" s="3">
        <f t="shared" si="3"/>
        <v>1</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2</v>
      </c>
      <c r="AI79" s="3">
        <f t="shared" si="1"/>
        <v>0</v>
      </c>
      <c r="AJ79" s="3">
        <f t="shared" si="2"/>
        <v>0</v>
      </c>
      <c r="AK79" s="3">
        <f t="shared" si="3"/>
        <v>0</v>
      </c>
    </row>
    <row r="80" spans="2:37" x14ac:dyDescent="0.25">
      <c r="B80" s="2"/>
      <c r="D80" s="360" t="s">
        <v>50</v>
      </c>
      <c r="E80" s="360"/>
      <c r="F80" s="16" t="s">
        <v>500</v>
      </c>
      <c r="G80" s="16">
        <v>0.32900000000000001</v>
      </c>
      <c r="H80" s="16">
        <v>0.33</v>
      </c>
      <c r="I80" s="16">
        <v>0.41899999999999998</v>
      </c>
      <c r="J80" s="16">
        <v>0.42</v>
      </c>
      <c r="K80" s="16">
        <v>0.499</v>
      </c>
      <c r="L80" s="16">
        <v>0.5</v>
      </c>
      <c r="M80" s="16" t="s">
        <v>500</v>
      </c>
      <c r="O80" s="2"/>
      <c r="AE80" s="3" t="s">
        <v>50</v>
      </c>
      <c r="AF80" s="3">
        <v>6</v>
      </c>
      <c r="AG80" s="3">
        <f t="shared" si="0"/>
        <v>1</v>
      </c>
      <c r="AH80" s="3">
        <f>+IF(AG80=0,0,IF(AG80=1,(SUM($AG$75:AG80)-1),1))</f>
        <v>3</v>
      </c>
      <c r="AI80" s="3">
        <f t="shared" si="1"/>
        <v>1</v>
      </c>
      <c r="AJ80" s="3">
        <f t="shared" si="2"/>
        <v>0</v>
      </c>
      <c r="AK80" s="3">
        <f t="shared" si="3"/>
        <v>1</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4</v>
      </c>
      <c r="AI81" s="3">
        <f t="shared" si="1"/>
        <v>0</v>
      </c>
      <c r="AJ81" s="3">
        <f t="shared" si="2"/>
        <v>0</v>
      </c>
      <c r="AK81" s="3">
        <f t="shared" si="3"/>
        <v>0</v>
      </c>
    </row>
    <row r="82" spans="2:37" x14ac:dyDescent="0.25">
      <c r="B82" s="2"/>
      <c r="D82" s="360" t="s">
        <v>54</v>
      </c>
      <c r="E82" s="360"/>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60" t="s">
        <v>55</v>
      </c>
      <c r="E83" s="360"/>
      <c r="F83" s="16" t="s">
        <v>500</v>
      </c>
      <c r="G83" s="16">
        <v>0.57899999999999996</v>
      </c>
      <c r="H83" s="16">
        <v>0.57999999999999996</v>
      </c>
      <c r="I83" s="16">
        <v>0.66900000000000004</v>
      </c>
      <c r="J83" s="16">
        <v>0.67</v>
      </c>
      <c r="K83" s="16">
        <v>0.749</v>
      </c>
      <c r="L83" s="16">
        <v>0.75</v>
      </c>
      <c r="M83" s="16" t="s">
        <v>500</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60" t="s">
        <v>58</v>
      </c>
      <c r="E86" s="360"/>
      <c r="F86" s="16" t="s">
        <v>500</v>
      </c>
      <c r="G86" s="16">
        <v>0.82899999999999996</v>
      </c>
      <c r="H86" s="16">
        <v>0.83</v>
      </c>
      <c r="I86" s="16">
        <v>0.91900000000000004</v>
      </c>
      <c r="J86" s="16">
        <v>0.92</v>
      </c>
      <c r="K86" s="16">
        <v>0.999</v>
      </c>
      <c r="L86" s="16" t="s">
        <v>500</v>
      </c>
      <c r="M86" s="16">
        <v>1</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66" customHeight="1" x14ac:dyDescent="0.25">
      <c r="B88" s="2"/>
      <c r="D88" s="338" t="s">
        <v>59</v>
      </c>
      <c r="E88" s="339"/>
      <c r="F88" s="340" t="s">
        <v>2124</v>
      </c>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2" customHeight="1" x14ac:dyDescent="0.25">
      <c r="B97" s="2"/>
      <c r="D97" s="359" t="s">
        <v>35</v>
      </c>
      <c r="E97" s="359"/>
      <c r="F97" s="344" t="s">
        <v>1105</v>
      </c>
      <c r="G97" s="344"/>
      <c r="H97" s="344"/>
      <c r="I97" s="344"/>
      <c r="J97" s="344"/>
      <c r="K97" s="344"/>
      <c r="L97" s="344"/>
      <c r="M97" s="344"/>
      <c r="O97" s="2"/>
    </row>
    <row r="98" spans="2:15" ht="42" customHeight="1" x14ac:dyDescent="0.25">
      <c r="B98" s="2"/>
      <c r="D98" s="359" t="s">
        <v>36</v>
      </c>
      <c r="E98" s="359"/>
      <c r="F98" s="344" t="s">
        <v>1106</v>
      </c>
      <c r="G98" s="344"/>
      <c r="H98" s="344"/>
      <c r="I98" s="344"/>
      <c r="J98" s="344"/>
      <c r="K98" s="344"/>
      <c r="L98" s="344"/>
      <c r="M98" s="344"/>
      <c r="O98" s="2"/>
    </row>
    <row r="99" spans="2:15" ht="3.95" customHeight="1" x14ac:dyDescent="0.25">
      <c r="B99" s="2"/>
      <c r="O99" s="2"/>
    </row>
    <row r="100" spans="2:15" ht="58.5" customHeight="1" x14ac:dyDescent="0.25">
      <c r="B100" s="2"/>
      <c r="D100" s="338" t="s">
        <v>62</v>
      </c>
      <c r="E100" s="339"/>
      <c r="F100" s="333"/>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2</v>
      </c>
      <c r="K102" s="20"/>
      <c r="O102" s="2"/>
    </row>
    <row r="103" spans="2:15" ht="19.5" customHeight="1" x14ac:dyDescent="0.25">
      <c r="B103" s="2"/>
      <c r="D103" s="331"/>
      <c r="E103" s="332"/>
      <c r="F103" s="19" t="s">
        <v>66</v>
      </c>
      <c r="G103" s="4"/>
      <c r="K103" s="21"/>
      <c r="O103" s="2"/>
    </row>
    <row r="104" spans="2:15" ht="27.75" customHeight="1" x14ac:dyDescent="0.25">
      <c r="B104" s="2"/>
      <c r="D104" s="331"/>
      <c r="E104" s="332"/>
      <c r="F104" s="19" t="s">
        <v>67</v>
      </c>
      <c r="G104" s="333"/>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Director(a) Administrativa</v>
      </c>
      <c r="H108" s="334"/>
      <c r="I108" s="334"/>
      <c r="J108" s="334"/>
      <c r="K108" s="334"/>
      <c r="L108" s="334"/>
      <c r="M108" s="335"/>
      <c r="O108" s="2"/>
    </row>
    <row r="109" spans="2:15" ht="17.25" customHeight="1" x14ac:dyDescent="0.25">
      <c r="B109" s="2"/>
      <c r="D109" s="331"/>
      <c r="E109" s="332"/>
      <c r="F109" s="19" t="s">
        <v>2042</v>
      </c>
      <c r="G109" s="333" t="str">
        <f>+IF(M23="Si","Coordinador(a) Planeación y Sistemas","")</f>
        <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363" priority="33">
      <formula>+IF($F$43="no",1,0)</formula>
    </cfRule>
  </conditionalFormatting>
  <conditionalFormatting sqref="F32:M32">
    <cfRule type="expression" dxfId="1362" priority="32">
      <formula>+IF($Q$30="NA",1,0)</formula>
    </cfRule>
  </conditionalFormatting>
  <conditionalFormatting sqref="F47:M47">
    <cfRule type="expression" dxfId="1361" priority="30">
      <formula>+IF($Q$47=0,1,0)</formula>
    </cfRule>
  </conditionalFormatting>
  <conditionalFormatting sqref="F73:G73">
    <cfRule type="cellIs" dxfId="1360" priority="16" operator="equal">
      <formula>"optimo"</formula>
    </cfRule>
    <cfRule type="cellIs" dxfId="1359" priority="17" operator="equal">
      <formula>"critico"</formula>
    </cfRule>
  </conditionalFormatting>
  <conditionalFormatting sqref="H73:I73">
    <cfRule type="cellIs" dxfId="1358" priority="14" operator="equal">
      <formula>"Adecuado"</formula>
    </cfRule>
    <cfRule type="cellIs" dxfId="1357" priority="15" operator="equal">
      <formula>"en riesgo"</formula>
    </cfRule>
  </conditionalFormatting>
  <conditionalFormatting sqref="J73:K73">
    <cfRule type="cellIs" dxfId="1356" priority="12" operator="equal">
      <formula>"Adecuado"</formula>
    </cfRule>
    <cfRule type="cellIs" dxfId="1355" priority="13" operator="equal">
      <formula>"en riesgo"</formula>
    </cfRule>
  </conditionalFormatting>
  <conditionalFormatting sqref="L73:M73">
    <cfRule type="cellIs" dxfId="1354" priority="10" operator="equal">
      <formula>"optimo"</formula>
    </cfRule>
    <cfRule type="cellIs" dxfId="1353" priority="11" operator="equal">
      <formula>"critico"</formula>
    </cfRule>
  </conditionalFormatting>
  <conditionalFormatting sqref="F75:M86">
    <cfRule type="expression" dxfId="1352" priority="9">
      <formula>+IF($AK75=0,1)</formula>
    </cfRule>
  </conditionalFormatting>
  <conditionalFormatting sqref="F103:G104">
    <cfRule type="expression" dxfId="1351" priority="8">
      <formula>+IF($G$102="No",1,0)</formula>
    </cfRule>
  </conditionalFormatting>
  <conditionalFormatting sqref="F51">
    <cfRule type="expression" dxfId="1350" priority="7">
      <formula>+IF($F$43="no",1,0)</formula>
    </cfRule>
  </conditionalFormatting>
  <conditionalFormatting sqref="I51">
    <cfRule type="expression" dxfId="1349" priority="6">
      <formula>+IF($F$51="no",1,0)</formula>
    </cfRule>
  </conditionalFormatting>
  <conditionalFormatting sqref="F33:M33">
    <cfRule type="expression" dxfId="1348" priority="5">
      <formula>+IF($Q$30="NA",1,0)</formula>
    </cfRule>
  </conditionalFormatting>
  <conditionalFormatting sqref="F33:M33">
    <cfRule type="expression" dxfId="1347" priority="4">
      <formula>+IF($Q$33=0,1,0)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1">
    <tabColor rgb="FF0070C0"/>
  </sheetPr>
  <dimension ref="B1:AV113"/>
  <sheetViews>
    <sheetView topLeftCell="A69" zoomScale="90" zoomScaleNormal="90" workbookViewId="0">
      <selection activeCell="F88" sqref="F88:M88"/>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280</v>
      </c>
      <c r="O10" s="2"/>
    </row>
    <row r="11" spans="2:24" ht="3.95" customHeight="1" x14ac:dyDescent="0.25">
      <c r="B11" s="2"/>
      <c r="D11" s="6"/>
      <c r="O11" s="2"/>
    </row>
    <row r="12" spans="2:24" ht="36" customHeight="1" x14ac:dyDescent="0.25">
      <c r="B12" s="2"/>
      <c r="D12" s="338" t="s">
        <v>5</v>
      </c>
      <c r="E12" s="339"/>
      <c r="F12" s="340" t="s">
        <v>2125</v>
      </c>
      <c r="G12" s="341"/>
      <c r="H12" s="341"/>
      <c r="I12" s="341"/>
      <c r="J12" s="341"/>
      <c r="K12" s="341"/>
      <c r="L12" s="341"/>
      <c r="M12" s="342"/>
      <c r="O12" s="2"/>
      <c r="W12" s="3" t="str">
        <f>+F23</f>
        <v>Cuatrimestral</v>
      </c>
      <c r="X12" s="3" t="str">
        <f>+F71</f>
        <v>Abril</v>
      </c>
    </row>
    <row r="13" spans="2:24" ht="3.95" customHeight="1" x14ac:dyDescent="0.25">
      <c r="B13" s="2"/>
      <c r="O13" s="2"/>
    </row>
    <row r="14" spans="2:24" ht="38.25" customHeight="1" x14ac:dyDescent="0.25">
      <c r="B14" s="2"/>
      <c r="D14" s="338" t="s">
        <v>6</v>
      </c>
      <c r="E14" s="339"/>
      <c r="F14" s="340" t="s">
        <v>2126</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29">
        <v>0</v>
      </c>
      <c r="G22" s="337" t="s">
        <v>9</v>
      </c>
      <c r="H22" s="337"/>
      <c r="I22" s="17">
        <v>1</v>
      </c>
      <c r="K22" s="337" t="s">
        <v>10</v>
      </c>
      <c r="L22" s="337"/>
      <c r="M22" s="9" t="s">
        <v>496</v>
      </c>
      <c r="O22" s="2"/>
    </row>
    <row r="23" spans="2:17" ht="19.5" customHeight="1" x14ac:dyDescent="0.25">
      <c r="B23" s="2"/>
      <c r="D23" s="337" t="s">
        <v>11</v>
      </c>
      <c r="E23" s="337"/>
      <c r="F23" s="4" t="s">
        <v>1069</v>
      </c>
      <c r="G23" s="337" t="s">
        <v>12</v>
      </c>
      <c r="H23" s="337"/>
      <c r="I23" s="4" t="s">
        <v>497</v>
      </c>
      <c r="K23" s="337" t="s">
        <v>13</v>
      </c>
      <c r="L23" s="337"/>
      <c r="M23" s="9" t="s">
        <v>496</v>
      </c>
      <c r="O23" s="2"/>
    </row>
    <row r="24" spans="2:17" ht="20.100000000000001" customHeight="1" x14ac:dyDescent="0.25">
      <c r="B24" s="2"/>
      <c r="D24" s="337" t="s">
        <v>14</v>
      </c>
      <c r="E24" s="337"/>
      <c r="F24" s="4" t="s">
        <v>498</v>
      </c>
      <c r="G24" s="337" t="s">
        <v>15</v>
      </c>
      <c r="H24" s="337"/>
      <c r="I24" s="4" t="s">
        <v>533</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soporte</v>
      </c>
    </row>
    <row r="31" spans="2:17" ht="24" customHeight="1" x14ac:dyDescent="0.25">
      <c r="B31" s="2"/>
      <c r="D31" s="347"/>
      <c r="E31" s="348"/>
      <c r="F31" s="4" t="s">
        <v>257</v>
      </c>
      <c r="G31" s="340" t="s">
        <v>258</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1602</v>
      </c>
      <c r="G33" s="340" t="s">
        <v>1550</v>
      </c>
      <c r="H33" s="341"/>
      <c r="I33" s="341"/>
      <c r="J33" s="341"/>
      <c r="K33" s="341"/>
      <c r="L33" s="341"/>
      <c r="M33" s="342"/>
      <c r="O33" s="2"/>
      <c r="Q33" s="3">
        <f>+IFERROR(IF(VLOOKUP(G33,base!$A$26:$C$40,3,FALSE)=F31,1,0),"")</f>
        <v>1</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1716</v>
      </c>
      <c r="G35" s="340" t="s">
        <v>1592</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2</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500</v>
      </c>
      <c r="G45" s="340" t="s">
        <v>512</v>
      </c>
      <c r="H45" s="341"/>
      <c r="I45" s="341"/>
      <c r="J45" s="341"/>
      <c r="K45" s="341"/>
      <c r="L45" s="341"/>
      <c r="M45" s="342"/>
      <c r="O45" s="2"/>
      <c r="Q45" s="3" t="str">
        <f>+IFERROR(VLOOKUP(G45,base!$A$41:$C$45,3,FALSE),"")</f>
        <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503</v>
      </c>
      <c r="G47" s="340"/>
      <c r="H47" s="341"/>
      <c r="I47" s="341"/>
      <c r="J47" s="341"/>
      <c r="K47" s="341"/>
      <c r="L47" s="341"/>
      <c r="M47" s="342"/>
      <c r="O47" s="2"/>
      <c r="Q47" s="3" t="e">
        <f>+IF(VLOOKUP(G47,base!$A$46:$C$66,3,FALSE)=F45,1,0)</f>
        <v>#N/A</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920</v>
      </c>
      <c r="G49" s="340" t="s">
        <v>899</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29"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37" t="s">
        <v>34</v>
      </c>
      <c r="E59" s="337"/>
      <c r="F59" s="344" t="s">
        <v>2128</v>
      </c>
      <c r="G59" s="344"/>
      <c r="H59" s="344"/>
      <c r="I59" s="344"/>
      <c r="J59" s="344"/>
      <c r="K59" s="344"/>
      <c r="L59" s="344"/>
      <c r="M59" s="344"/>
      <c r="O59" s="2"/>
    </row>
    <row r="60" spans="2:15" ht="66" customHeight="1" x14ac:dyDescent="0.25">
      <c r="B60" s="2"/>
      <c r="D60" s="359" t="s">
        <v>35</v>
      </c>
      <c r="E60" s="359"/>
      <c r="F60" s="344" t="s">
        <v>2127</v>
      </c>
      <c r="G60" s="344"/>
      <c r="H60" s="344"/>
      <c r="I60" s="344"/>
      <c r="J60" s="344"/>
      <c r="K60" s="344"/>
      <c r="L60" s="344"/>
      <c r="M60" s="344"/>
      <c r="O60" s="2"/>
    </row>
    <row r="61" spans="2:15" ht="41.25" customHeight="1" x14ac:dyDescent="0.25">
      <c r="B61" s="2"/>
      <c r="D61" s="359" t="s">
        <v>36</v>
      </c>
      <c r="E61" s="359"/>
      <c r="F61" s="340" t="s">
        <v>2129</v>
      </c>
      <c r="G61" s="341"/>
      <c r="H61" s="341"/>
      <c r="I61" s="341"/>
      <c r="J61" s="341"/>
      <c r="K61" s="341"/>
      <c r="L61" s="341"/>
      <c r="M61" s="342"/>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4</v>
      </c>
    </row>
    <row r="70" spans="2:37" ht="3.95" customHeight="1" x14ac:dyDescent="0.25">
      <c r="B70" s="2"/>
      <c r="D70" s="7"/>
      <c r="E70" s="7"/>
      <c r="O70" s="2"/>
    </row>
    <row r="71" spans="2:37" ht="18.75" customHeight="1" x14ac:dyDescent="0.25">
      <c r="B71" s="2"/>
      <c r="D71" s="343" t="s">
        <v>39</v>
      </c>
      <c r="E71" s="343"/>
      <c r="F71" s="4" t="s">
        <v>48</v>
      </c>
      <c r="G71" s="3">
        <v>4</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60" t="s">
        <v>48</v>
      </c>
      <c r="E78" s="360"/>
      <c r="F78" s="16" t="s">
        <v>500</v>
      </c>
      <c r="G78" s="16">
        <v>9.9000000000000005E-2</v>
      </c>
      <c r="H78" s="16">
        <v>0.1</v>
      </c>
      <c r="I78" s="16">
        <v>0.19900000000000001</v>
      </c>
      <c r="J78" s="16">
        <v>0.2</v>
      </c>
      <c r="K78" s="16">
        <v>0.29899999999999999</v>
      </c>
      <c r="L78" s="16">
        <v>0.3</v>
      </c>
      <c r="M78" s="16" t="s">
        <v>500</v>
      </c>
      <c r="O78" s="2"/>
      <c r="AE78" s="3" t="s">
        <v>48</v>
      </c>
      <c r="AF78" s="3">
        <v>4</v>
      </c>
      <c r="AG78" s="3">
        <f t="shared" si="0"/>
        <v>1</v>
      </c>
      <c r="AH78" s="3">
        <f>+IF(AG78=0,0,IF(AG78=1,(SUM($AG$75:AG78)-1),1))</f>
        <v>0</v>
      </c>
      <c r="AI78" s="3">
        <f t="shared" si="1"/>
        <v>0</v>
      </c>
      <c r="AJ78" s="3">
        <f t="shared" si="2"/>
        <v>1</v>
      </c>
      <c r="AK78" s="3">
        <f t="shared" si="3"/>
        <v>1</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1</v>
      </c>
      <c r="AI79" s="3">
        <f t="shared" si="1"/>
        <v>0</v>
      </c>
      <c r="AJ79" s="3">
        <f t="shared" si="2"/>
        <v>0</v>
      </c>
      <c r="AK79" s="3">
        <f t="shared" si="3"/>
        <v>0</v>
      </c>
    </row>
    <row r="80" spans="2:37" x14ac:dyDescent="0.25">
      <c r="B80" s="2"/>
      <c r="D80" s="360" t="s">
        <v>50</v>
      </c>
      <c r="E80" s="360"/>
      <c r="F80" s="16" t="s">
        <v>500</v>
      </c>
      <c r="G80" s="16" t="s">
        <v>500</v>
      </c>
      <c r="H80" s="16" t="s">
        <v>500</v>
      </c>
      <c r="I80" s="16" t="s">
        <v>500</v>
      </c>
      <c r="J80" s="16" t="s">
        <v>500</v>
      </c>
      <c r="K80" s="16" t="s">
        <v>500</v>
      </c>
      <c r="L80" s="16" t="s">
        <v>500</v>
      </c>
      <c r="M80" s="16" t="s">
        <v>500</v>
      </c>
      <c r="O80" s="2"/>
      <c r="AE80" s="3" t="s">
        <v>50</v>
      </c>
      <c r="AF80" s="3">
        <v>6</v>
      </c>
      <c r="AG80" s="3">
        <f t="shared" si="0"/>
        <v>1</v>
      </c>
      <c r="AH80" s="3">
        <f>+IF(AG80=0,0,IF(AG80=1,(SUM($AG$75:AG80)-1),1))</f>
        <v>2</v>
      </c>
      <c r="AI80" s="3">
        <f t="shared" si="1"/>
        <v>0</v>
      </c>
      <c r="AJ80" s="3">
        <f t="shared" si="2"/>
        <v>0</v>
      </c>
      <c r="AK80" s="3">
        <f t="shared" si="3"/>
        <v>0</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3</v>
      </c>
      <c r="AI81" s="3">
        <f t="shared" si="1"/>
        <v>0</v>
      </c>
      <c r="AJ81" s="3">
        <f t="shared" si="2"/>
        <v>0</v>
      </c>
      <c r="AK81" s="3">
        <f t="shared" si="3"/>
        <v>0</v>
      </c>
    </row>
    <row r="82" spans="2:37" x14ac:dyDescent="0.25">
      <c r="B82" s="2"/>
      <c r="D82" s="360" t="s">
        <v>54</v>
      </c>
      <c r="E82" s="360"/>
      <c r="F82" s="16" t="s">
        <v>500</v>
      </c>
      <c r="G82" s="16">
        <v>0.39900000000000002</v>
      </c>
      <c r="H82" s="16">
        <v>0.4</v>
      </c>
      <c r="I82" s="16">
        <v>0.499</v>
      </c>
      <c r="J82" s="16">
        <v>0.5</v>
      </c>
      <c r="K82" s="16">
        <v>0.59899999999999998</v>
      </c>
      <c r="L82" s="16">
        <v>0.6</v>
      </c>
      <c r="M82" s="16" t="s">
        <v>500</v>
      </c>
      <c r="O82" s="2"/>
      <c r="AE82" s="3" t="s">
        <v>54</v>
      </c>
      <c r="AF82" s="3">
        <v>8</v>
      </c>
      <c r="AG82" s="3">
        <f t="shared" si="0"/>
        <v>1</v>
      </c>
      <c r="AH82" s="3">
        <f>+IF(AG82=0,0,IF(AG82=1,(SUM($AG$75:AG82)-1),1))</f>
        <v>4</v>
      </c>
      <c r="AI82" s="3">
        <f t="shared" si="1"/>
        <v>1</v>
      </c>
      <c r="AJ82" s="3">
        <f t="shared" si="2"/>
        <v>0</v>
      </c>
      <c r="AK82" s="3">
        <f t="shared" si="3"/>
        <v>1</v>
      </c>
    </row>
    <row r="83" spans="2:37" x14ac:dyDescent="0.25">
      <c r="B83" s="2"/>
      <c r="D83" s="360" t="s">
        <v>55</v>
      </c>
      <c r="E83" s="360"/>
      <c r="F83" s="16" t="s">
        <v>500</v>
      </c>
      <c r="G83" s="16" t="s">
        <v>500</v>
      </c>
      <c r="H83" s="16" t="s">
        <v>500</v>
      </c>
      <c r="I83" s="16" t="s">
        <v>500</v>
      </c>
      <c r="J83" s="16" t="s">
        <v>500</v>
      </c>
      <c r="K83" s="16" t="s">
        <v>500</v>
      </c>
      <c r="L83" s="16" t="s">
        <v>500</v>
      </c>
      <c r="M83" s="16" t="s">
        <v>500</v>
      </c>
      <c r="O83" s="2"/>
      <c r="AE83" s="3" t="s">
        <v>55</v>
      </c>
      <c r="AF83" s="3">
        <v>9</v>
      </c>
      <c r="AG83" s="3">
        <f t="shared" si="0"/>
        <v>1</v>
      </c>
      <c r="AH83" s="3">
        <f>+IF(AG83=0,0,IF(AG83=1,(SUM($AG$75:AG83)-1),1))</f>
        <v>5</v>
      </c>
      <c r="AI83" s="3">
        <f t="shared" si="1"/>
        <v>0</v>
      </c>
      <c r="AJ83" s="3">
        <f t="shared" si="2"/>
        <v>0</v>
      </c>
      <c r="AK83" s="3">
        <f t="shared" si="3"/>
        <v>0</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6</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7</v>
      </c>
      <c r="AI85" s="3">
        <f t="shared" si="1"/>
        <v>0</v>
      </c>
      <c r="AJ85" s="3">
        <f t="shared" si="2"/>
        <v>0</v>
      </c>
      <c r="AK85" s="3">
        <f t="shared" si="3"/>
        <v>0</v>
      </c>
    </row>
    <row r="86" spans="2:37" x14ac:dyDescent="0.25">
      <c r="B86" s="2"/>
      <c r="D86" s="360" t="s">
        <v>58</v>
      </c>
      <c r="E86" s="360"/>
      <c r="F86" s="16" t="s">
        <v>500</v>
      </c>
      <c r="G86" s="16">
        <v>0.89900000000000002</v>
      </c>
      <c r="H86" s="16">
        <v>0.9</v>
      </c>
      <c r="I86" s="16">
        <v>0.97899999999999998</v>
      </c>
      <c r="J86" s="16">
        <v>0.98</v>
      </c>
      <c r="K86" s="16">
        <v>0.999</v>
      </c>
      <c r="L86" s="16" t="s">
        <v>500</v>
      </c>
      <c r="M86" s="16">
        <v>1</v>
      </c>
      <c r="O86" s="2"/>
      <c r="AE86" s="3" t="s">
        <v>58</v>
      </c>
      <c r="AF86" s="65">
        <v>12</v>
      </c>
      <c r="AG86" s="3">
        <f t="shared" si="0"/>
        <v>1</v>
      </c>
      <c r="AH86" s="3">
        <f>+IF(AG86=0,0,IF(AG86=1,(SUM($AG$75:AG86)-1),1))</f>
        <v>8</v>
      </c>
      <c r="AI86" s="3">
        <f t="shared" si="1"/>
        <v>1</v>
      </c>
      <c r="AJ86" s="3">
        <f t="shared" si="2"/>
        <v>0</v>
      </c>
      <c r="AK86" s="3">
        <f t="shared" si="3"/>
        <v>1</v>
      </c>
    </row>
    <row r="87" spans="2:37" ht="3.75" customHeight="1" x14ac:dyDescent="0.25">
      <c r="B87" s="2"/>
      <c r="O87" s="2"/>
    </row>
    <row r="88" spans="2:37" ht="227.25" customHeight="1" x14ac:dyDescent="0.25">
      <c r="B88" s="2"/>
      <c r="D88" s="338" t="s">
        <v>59</v>
      </c>
      <c r="E88" s="339"/>
      <c r="F88" s="340" t="s">
        <v>2130</v>
      </c>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2" customHeight="1" x14ac:dyDescent="0.25">
      <c r="B97" s="2"/>
      <c r="D97" s="359" t="s">
        <v>35</v>
      </c>
      <c r="E97" s="359"/>
      <c r="F97" s="344" t="s">
        <v>2131</v>
      </c>
      <c r="G97" s="344"/>
      <c r="H97" s="344"/>
      <c r="I97" s="344"/>
      <c r="J97" s="344"/>
      <c r="K97" s="344"/>
      <c r="L97" s="344"/>
      <c r="M97" s="344"/>
      <c r="O97" s="2"/>
    </row>
    <row r="98" spans="2:15" ht="42" customHeight="1" x14ac:dyDescent="0.25">
      <c r="B98" s="2"/>
      <c r="D98" s="359" t="s">
        <v>36</v>
      </c>
      <c r="E98" s="359"/>
      <c r="F98" s="344" t="s">
        <v>2132</v>
      </c>
      <c r="G98" s="344"/>
      <c r="H98" s="344"/>
      <c r="I98" s="344"/>
      <c r="J98" s="344"/>
      <c r="K98" s="344"/>
      <c r="L98" s="344"/>
      <c r="M98" s="344"/>
      <c r="O98" s="2"/>
    </row>
    <row r="99" spans="2:15" ht="3.95" customHeight="1" x14ac:dyDescent="0.25">
      <c r="B99" s="2"/>
      <c r="O99" s="2"/>
    </row>
    <row r="100" spans="2:15" ht="58.5" customHeight="1" x14ac:dyDescent="0.25">
      <c r="B100" s="2"/>
      <c r="D100" s="338" t="s">
        <v>62</v>
      </c>
      <c r="E100" s="339"/>
      <c r="F100" s="344" t="s">
        <v>1065</v>
      </c>
      <c r="G100" s="344"/>
      <c r="H100" s="344"/>
      <c r="I100" s="344"/>
      <c r="J100" s="344"/>
      <c r="K100" s="344"/>
      <c r="L100" s="344"/>
      <c r="M100" s="344"/>
      <c r="O100" s="2"/>
    </row>
    <row r="101" spans="2:15" ht="3.95" customHeight="1" x14ac:dyDescent="0.25">
      <c r="B101" s="2"/>
      <c r="O101" s="2"/>
    </row>
    <row r="102" spans="2:15" ht="19.5" customHeight="1" x14ac:dyDescent="0.25">
      <c r="B102" s="2"/>
      <c r="D102" s="329" t="s">
        <v>64</v>
      </c>
      <c r="E102" s="330"/>
      <c r="F102" s="19" t="s">
        <v>65</v>
      </c>
      <c r="G102" s="4" t="s">
        <v>2</v>
      </c>
      <c r="K102" s="20"/>
      <c r="O102" s="2"/>
    </row>
    <row r="103" spans="2:15" ht="19.5" customHeight="1" x14ac:dyDescent="0.25">
      <c r="B103" s="2"/>
      <c r="D103" s="331"/>
      <c r="E103" s="332"/>
      <c r="F103" s="19" t="s">
        <v>66</v>
      </c>
      <c r="G103" s="4"/>
      <c r="K103" s="21"/>
      <c r="O103" s="2"/>
    </row>
    <row r="104" spans="2:15" ht="27.75" customHeight="1" x14ac:dyDescent="0.25">
      <c r="B104" s="2"/>
      <c r="D104" s="331"/>
      <c r="E104" s="332"/>
      <c r="F104" s="19" t="s">
        <v>67</v>
      </c>
      <c r="G104" s="333"/>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Director(a) Administrativa</v>
      </c>
      <c r="H108" s="334"/>
      <c r="I108" s="334"/>
      <c r="J108" s="334"/>
      <c r="K108" s="334"/>
      <c r="L108" s="334"/>
      <c r="M108" s="335"/>
      <c r="O108" s="2"/>
    </row>
    <row r="109" spans="2:15" ht="17.25" customHeight="1" x14ac:dyDescent="0.25">
      <c r="B109" s="2"/>
      <c r="D109" s="331"/>
      <c r="E109" s="332"/>
      <c r="F109" s="19" t="s">
        <v>2042</v>
      </c>
      <c r="G109" s="333" t="str">
        <f>+IF(M23="Si","Coordinador(a) Planeación y Sistemas","")</f>
        <v>Coordinador(a) Planeación y Sistemas</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346" priority="33">
      <formula>+IF($F$43="no",1,0)</formula>
    </cfRule>
  </conditionalFormatting>
  <conditionalFormatting sqref="F32:M32">
    <cfRule type="expression" dxfId="1345" priority="32">
      <formula>+IF($Q$30="NA",1,0)</formula>
    </cfRule>
  </conditionalFormatting>
  <conditionalFormatting sqref="F47:M47">
    <cfRule type="expression" dxfId="1344" priority="30">
      <formula>+IF($Q$47=0,1,0)</formula>
    </cfRule>
  </conditionalFormatting>
  <conditionalFormatting sqref="F73:G73">
    <cfRule type="cellIs" dxfId="1343" priority="16" operator="equal">
      <formula>"optimo"</formula>
    </cfRule>
    <cfRule type="cellIs" dxfId="1342" priority="17" operator="equal">
      <formula>"critico"</formula>
    </cfRule>
  </conditionalFormatting>
  <conditionalFormatting sqref="H73:I73">
    <cfRule type="cellIs" dxfId="1341" priority="14" operator="equal">
      <formula>"Adecuado"</formula>
    </cfRule>
    <cfRule type="cellIs" dxfId="1340" priority="15" operator="equal">
      <formula>"en riesgo"</formula>
    </cfRule>
  </conditionalFormatting>
  <conditionalFormatting sqref="J73:K73">
    <cfRule type="cellIs" dxfId="1339" priority="12" operator="equal">
      <formula>"Adecuado"</formula>
    </cfRule>
    <cfRule type="cellIs" dxfId="1338" priority="13" operator="equal">
      <formula>"en riesgo"</formula>
    </cfRule>
  </conditionalFormatting>
  <conditionalFormatting sqref="L73:M73">
    <cfRule type="cellIs" dxfId="1337" priority="10" operator="equal">
      <formula>"optimo"</formula>
    </cfRule>
    <cfRule type="cellIs" dxfId="1336" priority="11" operator="equal">
      <formula>"critico"</formula>
    </cfRule>
  </conditionalFormatting>
  <conditionalFormatting sqref="F75:M86">
    <cfRule type="expression" dxfId="1335" priority="9">
      <formula>+IF($AK75=0,1)</formula>
    </cfRule>
  </conditionalFormatting>
  <conditionalFormatting sqref="F103:G104">
    <cfRule type="expression" dxfId="1334" priority="8">
      <formula>+IF($G$102="No",1,0)</formula>
    </cfRule>
  </conditionalFormatting>
  <conditionalFormatting sqref="F51">
    <cfRule type="expression" dxfId="1333" priority="7">
      <formula>+IF($F$43="no",1,0)</formula>
    </cfRule>
  </conditionalFormatting>
  <conditionalFormatting sqref="I51">
    <cfRule type="expression" dxfId="1332" priority="6">
      <formula>+IF($F$51="no",1,0)</formula>
    </cfRule>
  </conditionalFormatting>
  <conditionalFormatting sqref="F33:M33">
    <cfRule type="expression" dxfId="1331" priority="5">
      <formula>+IF($Q$30="NA",1,0)</formula>
    </cfRule>
  </conditionalFormatting>
  <conditionalFormatting sqref="F33:M33">
    <cfRule type="expression" dxfId="1330" priority="4">
      <formula>+IF($Q$33=0,1,0)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2">
    <tabColor rgb="FF0070C0"/>
  </sheetPr>
  <dimension ref="B1:AV113"/>
  <sheetViews>
    <sheetView zoomScale="90" zoomScaleNormal="90" workbookViewId="0">
      <selection activeCell="P1" sqref="P1"/>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281</v>
      </c>
      <c r="O10" s="2"/>
    </row>
    <row r="11" spans="2:24" ht="3.95" customHeight="1" x14ac:dyDescent="0.25">
      <c r="B11" s="2"/>
      <c r="D11" s="6"/>
      <c r="O11" s="2"/>
    </row>
    <row r="12" spans="2:24" ht="36" customHeight="1" x14ac:dyDescent="0.25">
      <c r="B12" s="2"/>
      <c r="D12" s="338" t="s">
        <v>5</v>
      </c>
      <c r="E12" s="339"/>
      <c r="F12" s="340" t="s">
        <v>282</v>
      </c>
      <c r="G12" s="341"/>
      <c r="H12" s="341"/>
      <c r="I12" s="341"/>
      <c r="J12" s="341"/>
      <c r="K12" s="341"/>
      <c r="L12" s="341"/>
      <c r="M12" s="342"/>
      <c r="O12" s="2"/>
      <c r="W12" s="3" t="str">
        <f>+F23</f>
        <v>Trimestral</v>
      </c>
      <c r="X12" s="3" t="str">
        <f>+F71</f>
        <v>Marzo</v>
      </c>
    </row>
    <row r="13" spans="2:24" ht="3.95" customHeight="1" x14ac:dyDescent="0.25">
      <c r="B13" s="2"/>
      <c r="O13" s="2"/>
    </row>
    <row r="14" spans="2:24" ht="38.25" customHeight="1" x14ac:dyDescent="0.25">
      <c r="B14" s="2"/>
      <c r="D14" s="338" t="s">
        <v>6</v>
      </c>
      <c r="E14" s="339"/>
      <c r="F14" s="340" t="s">
        <v>1096</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29">
        <v>0</v>
      </c>
      <c r="G22" s="337" t="s">
        <v>9</v>
      </c>
      <c r="H22" s="337"/>
      <c r="I22" s="17">
        <v>1</v>
      </c>
      <c r="K22" s="337" t="s">
        <v>10</v>
      </c>
      <c r="L22" s="337"/>
      <c r="M22" s="9" t="s">
        <v>496</v>
      </c>
      <c r="O22" s="2"/>
    </row>
    <row r="23" spans="2:17" ht="19.5" customHeight="1" x14ac:dyDescent="0.25">
      <c r="B23" s="2"/>
      <c r="D23" s="337" t="s">
        <v>11</v>
      </c>
      <c r="E23" s="337"/>
      <c r="F23" s="4" t="s">
        <v>71</v>
      </c>
      <c r="G23" s="337" t="s">
        <v>12</v>
      </c>
      <c r="H23" s="337"/>
      <c r="I23" s="4" t="s">
        <v>497</v>
      </c>
      <c r="K23" s="337" t="s">
        <v>13</v>
      </c>
      <c r="L23" s="337"/>
      <c r="M23" s="9" t="s">
        <v>496</v>
      </c>
      <c r="O23" s="2"/>
    </row>
    <row r="24" spans="2:17" ht="20.100000000000001" customHeight="1" x14ac:dyDescent="0.25">
      <c r="B24" s="2"/>
      <c r="D24" s="337" t="s">
        <v>14</v>
      </c>
      <c r="E24" s="337"/>
      <c r="F24" s="4" t="s">
        <v>498</v>
      </c>
      <c r="G24" s="337" t="s">
        <v>15</v>
      </c>
      <c r="H24" s="337"/>
      <c r="I24" s="4" t="s">
        <v>533</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soporte</v>
      </c>
    </row>
    <row r="31" spans="2:17" ht="24" customHeight="1" x14ac:dyDescent="0.25">
      <c r="B31" s="2"/>
      <c r="D31" s="347"/>
      <c r="E31" s="348"/>
      <c r="F31" s="4" t="s">
        <v>257</v>
      </c>
      <c r="G31" s="340" t="s">
        <v>258</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1602</v>
      </c>
      <c r="G33" s="340" t="s">
        <v>1550</v>
      </c>
      <c r="H33" s="341"/>
      <c r="I33" s="341"/>
      <c r="J33" s="341"/>
      <c r="K33" s="341"/>
      <c r="L33" s="341"/>
      <c r="M33" s="342"/>
      <c r="O33" s="2"/>
      <c r="Q33" s="3">
        <f>+IFERROR(IF(VLOOKUP(G33,base!$A$26:$C$40,3,FALSE)=F31,1,0),"")</f>
        <v>1</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1716</v>
      </c>
      <c r="G35" s="340" t="s">
        <v>1592</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2</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500</v>
      </c>
      <c r="G45" s="340" t="s">
        <v>512</v>
      </c>
      <c r="H45" s="341"/>
      <c r="I45" s="341"/>
      <c r="J45" s="341"/>
      <c r="K45" s="341"/>
      <c r="L45" s="341"/>
      <c r="M45" s="342"/>
      <c r="O45" s="2"/>
      <c r="Q45" s="3" t="str">
        <f>+IFERROR(VLOOKUP(G45,base!$A$41:$C$45,3,FALSE),"")</f>
        <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c r="G47" s="340"/>
      <c r="H47" s="341"/>
      <c r="I47" s="341"/>
      <c r="J47" s="341"/>
      <c r="K47" s="341"/>
      <c r="L47" s="341"/>
      <c r="M47" s="342"/>
      <c r="O47" s="2"/>
      <c r="Q47" s="3" t="e">
        <f>+IF(VLOOKUP(G47,base!$A$46:$C$66,3,FALSE)=F45,1,0)</f>
        <v>#N/A</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920</v>
      </c>
      <c r="G49" s="340" t="s">
        <v>899</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29"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37" t="s">
        <v>34</v>
      </c>
      <c r="E59" s="337"/>
      <c r="F59" s="344" t="s">
        <v>1097</v>
      </c>
      <c r="G59" s="344"/>
      <c r="H59" s="344"/>
      <c r="I59" s="344"/>
      <c r="J59" s="344"/>
      <c r="K59" s="344"/>
      <c r="L59" s="344"/>
      <c r="M59" s="344"/>
      <c r="O59" s="2"/>
    </row>
    <row r="60" spans="2:15" ht="66" customHeight="1" x14ac:dyDescent="0.25">
      <c r="B60" s="2"/>
      <c r="D60" s="359" t="s">
        <v>35</v>
      </c>
      <c r="E60" s="359"/>
      <c r="F60" s="344" t="s">
        <v>1098</v>
      </c>
      <c r="G60" s="344"/>
      <c r="H60" s="344"/>
      <c r="I60" s="344"/>
      <c r="J60" s="344"/>
      <c r="K60" s="344"/>
      <c r="L60" s="344"/>
      <c r="M60" s="344"/>
      <c r="O60" s="2"/>
    </row>
    <row r="61" spans="2:15" ht="41.25" customHeight="1" x14ac:dyDescent="0.25">
      <c r="B61" s="2"/>
      <c r="D61" s="359" t="s">
        <v>36</v>
      </c>
      <c r="E61" s="359"/>
      <c r="F61" s="340" t="s">
        <v>1099</v>
      </c>
      <c r="G61" s="341"/>
      <c r="H61" s="341"/>
      <c r="I61" s="341"/>
      <c r="J61" s="341"/>
      <c r="K61" s="341"/>
      <c r="L61" s="341"/>
      <c r="M61" s="342"/>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43" t="s">
        <v>39</v>
      </c>
      <c r="E71" s="343"/>
      <c r="F71" s="4" t="s">
        <v>47</v>
      </c>
      <c r="G71" s="3">
        <v>3</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v>9.9000000000000005E-2</v>
      </c>
      <c r="H77" s="16">
        <v>0.1</v>
      </c>
      <c r="I77" s="16">
        <v>0.19900000000000001</v>
      </c>
      <c r="J77" s="16">
        <v>0.2</v>
      </c>
      <c r="K77" s="16">
        <v>0.29899999999999999</v>
      </c>
      <c r="L77" s="16">
        <v>0.3</v>
      </c>
      <c r="M77" s="16" t="s">
        <v>500</v>
      </c>
      <c r="O77" s="2"/>
      <c r="AE77" s="3" t="s">
        <v>47</v>
      </c>
      <c r="AF77" s="3">
        <v>3</v>
      </c>
      <c r="AG77" s="3">
        <f t="shared" si="0"/>
        <v>1</v>
      </c>
      <c r="AH77" s="3">
        <f>+IF(AG77=0,0,IF(AG77=1,(SUM($AG$75:AG77)-1),1))</f>
        <v>0</v>
      </c>
      <c r="AI77" s="3">
        <f t="shared" si="1"/>
        <v>0</v>
      </c>
      <c r="AJ77" s="3">
        <f t="shared" si="2"/>
        <v>1</v>
      </c>
      <c r="AK77" s="3">
        <f t="shared" si="3"/>
        <v>1</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2</v>
      </c>
      <c r="AI79" s="3">
        <f t="shared" si="1"/>
        <v>0</v>
      </c>
      <c r="AJ79" s="3">
        <f t="shared" si="2"/>
        <v>0</v>
      </c>
      <c r="AK79" s="3">
        <f t="shared" si="3"/>
        <v>0</v>
      </c>
    </row>
    <row r="80" spans="2:37" x14ac:dyDescent="0.25">
      <c r="B80" s="2"/>
      <c r="D80" s="360" t="s">
        <v>50</v>
      </c>
      <c r="E80" s="360"/>
      <c r="F80" s="16" t="s">
        <v>500</v>
      </c>
      <c r="G80" s="16">
        <v>0.39900000000000002</v>
      </c>
      <c r="H80" s="16">
        <v>0.4</v>
      </c>
      <c r="I80" s="16">
        <v>0.499</v>
      </c>
      <c r="J80" s="16">
        <v>0.5</v>
      </c>
      <c r="K80" s="16">
        <v>0.59899999999999998</v>
      </c>
      <c r="L80" s="16">
        <v>0.6</v>
      </c>
      <c r="M80" s="16" t="s">
        <v>500</v>
      </c>
      <c r="O80" s="2"/>
      <c r="AE80" s="3" t="s">
        <v>50</v>
      </c>
      <c r="AF80" s="3">
        <v>6</v>
      </c>
      <c r="AG80" s="3">
        <f t="shared" si="0"/>
        <v>1</v>
      </c>
      <c r="AH80" s="3">
        <f>+IF(AG80=0,0,IF(AG80=1,(SUM($AG$75:AG80)-1),1))</f>
        <v>3</v>
      </c>
      <c r="AI80" s="3">
        <f t="shared" si="1"/>
        <v>1</v>
      </c>
      <c r="AJ80" s="3">
        <f t="shared" si="2"/>
        <v>0</v>
      </c>
      <c r="AK80" s="3">
        <f t="shared" si="3"/>
        <v>1</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4</v>
      </c>
      <c r="AI81" s="3">
        <f t="shared" si="1"/>
        <v>0</v>
      </c>
      <c r="AJ81" s="3">
        <f t="shared" si="2"/>
        <v>0</v>
      </c>
      <c r="AK81" s="3">
        <f t="shared" si="3"/>
        <v>0</v>
      </c>
    </row>
    <row r="82" spans="2:37" x14ac:dyDescent="0.25">
      <c r="B82" s="2"/>
      <c r="D82" s="360" t="s">
        <v>54</v>
      </c>
      <c r="E82" s="360"/>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60" t="s">
        <v>55</v>
      </c>
      <c r="E83" s="360"/>
      <c r="F83" s="16" t="s">
        <v>500</v>
      </c>
      <c r="G83" s="16">
        <v>0.59899999999999998</v>
      </c>
      <c r="H83" s="16">
        <v>0.6</v>
      </c>
      <c r="I83" s="16">
        <v>0.69899999999999995</v>
      </c>
      <c r="J83" s="16">
        <v>0.7</v>
      </c>
      <c r="K83" s="16">
        <v>0.79900000000000004</v>
      </c>
      <c r="L83" s="16">
        <v>0.8</v>
      </c>
      <c r="M83" s="16" t="s">
        <v>500</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60" t="s">
        <v>58</v>
      </c>
      <c r="E86" s="360"/>
      <c r="F86" s="16" t="s">
        <v>500</v>
      </c>
      <c r="G86" s="16">
        <v>0.89900000000000002</v>
      </c>
      <c r="H86" s="16">
        <v>0.9</v>
      </c>
      <c r="I86" s="16">
        <v>0.97899999999999998</v>
      </c>
      <c r="J86" s="16">
        <v>0.98</v>
      </c>
      <c r="K86" s="16">
        <v>0.999</v>
      </c>
      <c r="L86" s="16" t="s">
        <v>500</v>
      </c>
      <c r="M86" s="16">
        <v>1</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114" customHeight="1" x14ac:dyDescent="0.25">
      <c r="B88" s="2"/>
      <c r="D88" s="338" t="s">
        <v>59</v>
      </c>
      <c r="E88" s="339"/>
      <c r="F88" s="340" t="s">
        <v>2133</v>
      </c>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2" customHeight="1" x14ac:dyDescent="0.25">
      <c r="B97" s="2"/>
      <c r="D97" s="359" t="s">
        <v>35</v>
      </c>
      <c r="E97" s="359"/>
      <c r="F97" s="344" t="s">
        <v>2134</v>
      </c>
      <c r="G97" s="344"/>
      <c r="H97" s="344"/>
      <c r="I97" s="344"/>
      <c r="J97" s="344"/>
      <c r="K97" s="344"/>
      <c r="L97" s="344"/>
      <c r="M97" s="344"/>
      <c r="O97" s="2"/>
    </row>
    <row r="98" spans="2:15" ht="42" customHeight="1" x14ac:dyDescent="0.25">
      <c r="B98" s="2"/>
      <c r="D98" s="359" t="s">
        <v>36</v>
      </c>
      <c r="E98" s="359"/>
      <c r="F98" s="344" t="s">
        <v>2135</v>
      </c>
      <c r="G98" s="344"/>
      <c r="H98" s="344"/>
      <c r="I98" s="344"/>
      <c r="J98" s="344"/>
      <c r="K98" s="344"/>
      <c r="L98" s="344"/>
      <c r="M98" s="344"/>
      <c r="O98" s="2"/>
    </row>
    <row r="99" spans="2:15" ht="3.95" customHeight="1" x14ac:dyDescent="0.25">
      <c r="B99" s="2"/>
      <c r="O99" s="2"/>
    </row>
    <row r="100" spans="2:15" ht="58.5" customHeight="1" x14ac:dyDescent="0.25">
      <c r="B100" s="2"/>
      <c r="D100" s="338" t="s">
        <v>62</v>
      </c>
      <c r="E100" s="339"/>
      <c r="F100" s="340" t="s">
        <v>2136</v>
      </c>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2</v>
      </c>
      <c r="K102" s="20"/>
      <c r="O102" s="2"/>
    </row>
    <row r="103" spans="2:15" ht="19.5" customHeight="1" x14ac:dyDescent="0.25">
      <c r="B103" s="2"/>
      <c r="D103" s="331"/>
      <c r="E103" s="332"/>
      <c r="F103" s="19" t="s">
        <v>66</v>
      </c>
      <c r="G103" s="4"/>
      <c r="K103" s="21"/>
      <c r="O103" s="2"/>
    </row>
    <row r="104" spans="2:15" ht="27.75" customHeight="1" x14ac:dyDescent="0.25">
      <c r="B104" s="2"/>
      <c r="D104" s="331"/>
      <c r="E104" s="332"/>
      <c r="F104" s="19" t="s">
        <v>67</v>
      </c>
      <c r="G104" s="333"/>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Director(a) Administrativa</v>
      </c>
      <c r="H108" s="334"/>
      <c r="I108" s="334"/>
      <c r="J108" s="334"/>
      <c r="K108" s="334"/>
      <c r="L108" s="334"/>
      <c r="M108" s="335"/>
      <c r="O108" s="2"/>
    </row>
    <row r="109" spans="2:15" ht="17.25" customHeight="1" x14ac:dyDescent="0.25">
      <c r="B109" s="2"/>
      <c r="D109" s="331"/>
      <c r="E109" s="332"/>
      <c r="F109" s="19" t="s">
        <v>2042</v>
      </c>
      <c r="G109" s="333" t="str">
        <f>+IF(M23="Si","Coordinador(a) Planeación y Sistemas","")</f>
        <v>Coordinador(a) Planeación y Sistemas</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329" priority="33">
      <formula>+IF($F$43="no",1,0)</formula>
    </cfRule>
  </conditionalFormatting>
  <conditionalFormatting sqref="F32:M32">
    <cfRule type="expression" dxfId="1328" priority="32">
      <formula>+IF($Q$30="NA",1,0)</formula>
    </cfRule>
  </conditionalFormatting>
  <conditionalFormatting sqref="F47:M47">
    <cfRule type="expression" dxfId="1327" priority="30">
      <formula>+IF($Q$47=0,1,0)</formula>
    </cfRule>
  </conditionalFormatting>
  <conditionalFormatting sqref="F73:G73">
    <cfRule type="cellIs" dxfId="1326" priority="16" operator="equal">
      <formula>"optimo"</formula>
    </cfRule>
    <cfRule type="cellIs" dxfId="1325" priority="17" operator="equal">
      <formula>"critico"</formula>
    </cfRule>
  </conditionalFormatting>
  <conditionalFormatting sqref="H73:I73">
    <cfRule type="cellIs" dxfId="1324" priority="14" operator="equal">
      <formula>"Adecuado"</formula>
    </cfRule>
    <cfRule type="cellIs" dxfId="1323" priority="15" operator="equal">
      <formula>"en riesgo"</formula>
    </cfRule>
  </conditionalFormatting>
  <conditionalFormatting sqref="J73:K73">
    <cfRule type="cellIs" dxfId="1322" priority="12" operator="equal">
      <formula>"Adecuado"</formula>
    </cfRule>
    <cfRule type="cellIs" dxfId="1321" priority="13" operator="equal">
      <formula>"en riesgo"</formula>
    </cfRule>
  </conditionalFormatting>
  <conditionalFormatting sqref="L73:M73">
    <cfRule type="cellIs" dxfId="1320" priority="10" operator="equal">
      <formula>"optimo"</formula>
    </cfRule>
    <cfRule type="cellIs" dxfId="1319" priority="11" operator="equal">
      <formula>"critico"</formula>
    </cfRule>
  </conditionalFormatting>
  <conditionalFormatting sqref="F75:M86">
    <cfRule type="expression" dxfId="1318" priority="9">
      <formula>+IF($AK75=0,1)</formula>
    </cfRule>
  </conditionalFormatting>
  <conditionalFormatting sqref="F103:G104">
    <cfRule type="expression" dxfId="1317" priority="8">
      <formula>+IF($G$102="No",1,0)</formula>
    </cfRule>
  </conditionalFormatting>
  <conditionalFormatting sqref="F51">
    <cfRule type="expression" dxfId="1316" priority="7">
      <formula>+IF($F$43="no",1,0)</formula>
    </cfRule>
  </conditionalFormatting>
  <conditionalFormatting sqref="I51">
    <cfRule type="expression" dxfId="1315" priority="6">
      <formula>+IF($F$51="no",1,0)</formula>
    </cfRule>
  </conditionalFormatting>
  <conditionalFormatting sqref="F33:M33">
    <cfRule type="expression" dxfId="1314" priority="5">
      <formula>+IF($Q$30="NA",1,0)</formula>
    </cfRule>
  </conditionalFormatting>
  <conditionalFormatting sqref="F33:M33">
    <cfRule type="expression" dxfId="1313" priority="4">
      <formula>+IF($Q$33=0,1,0)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3">
    <tabColor rgb="FF0070C0"/>
  </sheetPr>
  <dimension ref="B1:AV113"/>
  <sheetViews>
    <sheetView topLeftCell="A34" zoomScale="90" zoomScaleNormal="90" workbookViewId="0">
      <selection activeCell="F59" sqref="F59:M59"/>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283</v>
      </c>
      <c r="O10" s="2"/>
    </row>
    <row r="11" spans="2:24" ht="3.95" customHeight="1" x14ac:dyDescent="0.25">
      <c r="B11" s="2"/>
      <c r="D11" s="6"/>
      <c r="O11" s="2"/>
    </row>
    <row r="12" spans="2:24" ht="36" customHeight="1" x14ac:dyDescent="0.25">
      <c r="B12" s="2"/>
      <c r="D12" s="338" t="s">
        <v>5</v>
      </c>
      <c r="E12" s="339"/>
      <c r="F12" s="340" t="s">
        <v>1158</v>
      </c>
      <c r="G12" s="341"/>
      <c r="H12" s="341"/>
      <c r="I12" s="341"/>
      <c r="J12" s="341"/>
      <c r="K12" s="341"/>
      <c r="L12" s="341"/>
      <c r="M12" s="342"/>
      <c r="O12" s="2"/>
      <c r="W12" s="3" t="str">
        <f>+F23</f>
        <v>Mensual</v>
      </c>
      <c r="X12" s="3" t="str">
        <f>+F71</f>
        <v>Abril</v>
      </c>
    </row>
    <row r="13" spans="2:24" ht="3.95" customHeight="1" x14ac:dyDescent="0.25">
      <c r="B13" s="2"/>
      <c r="O13" s="2"/>
    </row>
    <row r="14" spans="2:24" ht="38.25" customHeight="1" x14ac:dyDescent="0.25">
      <c r="B14" s="2"/>
      <c r="D14" s="338" t="s">
        <v>6</v>
      </c>
      <c r="E14" s="339"/>
      <c r="F14" s="340" t="s">
        <v>1092</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17">
        <v>0.95</v>
      </c>
      <c r="G22" s="337" t="s">
        <v>9</v>
      </c>
      <c r="H22" s="337"/>
      <c r="I22" s="17">
        <v>0.98</v>
      </c>
      <c r="K22" s="337" t="s">
        <v>10</v>
      </c>
      <c r="L22" s="337"/>
      <c r="M22" s="9" t="s">
        <v>496</v>
      </c>
      <c r="O22" s="2"/>
    </row>
    <row r="23" spans="2:17" ht="19.5" customHeight="1" x14ac:dyDescent="0.25">
      <c r="B23" s="2"/>
      <c r="D23" s="337" t="s">
        <v>11</v>
      </c>
      <c r="E23" s="337"/>
      <c r="F23" s="4" t="s">
        <v>84</v>
      </c>
      <c r="G23" s="337" t="s">
        <v>12</v>
      </c>
      <c r="H23" s="337"/>
      <c r="I23" s="4" t="s">
        <v>497</v>
      </c>
      <c r="K23" s="337" t="s">
        <v>13</v>
      </c>
      <c r="L23" s="337"/>
      <c r="M23" s="9" t="s">
        <v>496</v>
      </c>
      <c r="O23" s="2"/>
    </row>
    <row r="24" spans="2:17" ht="20.100000000000001" customHeight="1" x14ac:dyDescent="0.25">
      <c r="B24" s="2"/>
      <c r="D24" s="337" t="s">
        <v>14</v>
      </c>
      <c r="E24" s="337"/>
      <c r="F24" s="4" t="s">
        <v>498</v>
      </c>
      <c r="G24" s="337" t="s">
        <v>15</v>
      </c>
      <c r="H24" s="337"/>
      <c r="I24" s="4" t="s">
        <v>103</v>
      </c>
      <c r="K24" s="337" t="s">
        <v>16</v>
      </c>
      <c r="L24" s="337"/>
      <c r="M24" s="9" t="s">
        <v>2</v>
      </c>
      <c r="O24" s="2"/>
    </row>
    <row r="25" spans="2:17" ht="20.100000000000001" customHeight="1" x14ac:dyDescent="0.25">
      <c r="B25" s="2"/>
      <c r="D25" s="337" t="s">
        <v>17</v>
      </c>
      <c r="E25" s="337"/>
      <c r="F25" s="4" t="s">
        <v>683</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soporte</v>
      </c>
    </row>
    <row r="31" spans="2:17" ht="24" customHeight="1" x14ac:dyDescent="0.25">
      <c r="B31" s="2"/>
      <c r="D31" s="347"/>
      <c r="E31" s="348"/>
      <c r="F31" s="4" t="s">
        <v>257</v>
      </c>
      <c r="G31" s="340" t="s">
        <v>258</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1602</v>
      </c>
      <c r="G33" s="340" t="s">
        <v>1550</v>
      </c>
      <c r="H33" s="341"/>
      <c r="I33" s="341"/>
      <c r="J33" s="341"/>
      <c r="K33" s="341"/>
      <c r="L33" s="341"/>
      <c r="M33" s="342"/>
      <c r="O33" s="2"/>
      <c r="Q33" s="3">
        <f>+IFERROR(IF(VLOOKUP(G33,base!$A$26:$C$40,3,FALSE)=F31,1,0),"")</f>
        <v>1</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1718</v>
      </c>
      <c r="G35" s="340" t="s">
        <v>1595</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2</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500</v>
      </c>
      <c r="G45" s="340" t="s">
        <v>512</v>
      </c>
      <c r="H45" s="341"/>
      <c r="I45" s="341"/>
      <c r="J45" s="341"/>
      <c r="K45" s="341"/>
      <c r="L45" s="341"/>
      <c r="M45" s="342"/>
      <c r="O45" s="2"/>
      <c r="Q45" s="3" t="str">
        <f>+IFERROR(VLOOKUP(G45,base!$A$41:$C$45,3,FALSE),"")</f>
        <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503</v>
      </c>
      <c r="G47" s="340"/>
      <c r="H47" s="341"/>
      <c r="I47" s="341"/>
      <c r="J47" s="341"/>
      <c r="K47" s="341"/>
      <c r="L47" s="341"/>
      <c r="M47" s="342"/>
      <c r="O47" s="2"/>
      <c r="Q47" s="3" t="e">
        <f>+IF(VLOOKUP(G47,base!$A$46:$C$66,3,FALSE)=F45,1,0)</f>
        <v>#N/A</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920</v>
      </c>
      <c r="G49" s="340" t="s">
        <v>899</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29"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37" t="s">
        <v>34</v>
      </c>
      <c r="E59" s="337"/>
      <c r="F59" s="344" t="s">
        <v>2138</v>
      </c>
      <c r="G59" s="344"/>
      <c r="H59" s="344"/>
      <c r="I59" s="344"/>
      <c r="J59" s="344"/>
      <c r="K59" s="344"/>
      <c r="L59" s="344"/>
      <c r="M59" s="344"/>
      <c r="O59" s="2"/>
    </row>
    <row r="60" spans="2:15" ht="66" customHeight="1" x14ac:dyDescent="0.25">
      <c r="B60" s="2"/>
      <c r="D60" s="359" t="s">
        <v>35</v>
      </c>
      <c r="E60" s="359"/>
      <c r="F60" s="344" t="s">
        <v>2137</v>
      </c>
      <c r="G60" s="344"/>
      <c r="H60" s="344"/>
      <c r="I60" s="344"/>
      <c r="J60" s="344"/>
      <c r="K60" s="344"/>
      <c r="L60" s="344"/>
      <c r="M60" s="344"/>
      <c r="O60" s="2"/>
    </row>
    <row r="61" spans="2:15" ht="41.25" customHeight="1" x14ac:dyDescent="0.25">
      <c r="B61" s="2"/>
      <c r="D61" s="359" t="s">
        <v>36</v>
      </c>
      <c r="E61" s="359"/>
      <c r="F61" s="340" t="s">
        <v>1093</v>
      </c>
      <c r="G61" s="341"/>
      <c r="H61" s="341"/>
      <c r="I61" s="341"/>
      <c r="J61" s="341"/>
      <c r="K61" s="341"/>
      <c r="L61" s="341"/>
      <c r="M61" s="342"/>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43" t="s">
        <v>39</v>
      </c>
      <c r="E71" s="343"/>
      <c r="F71" s="4" t="s">
        <v>48</v>
      </c>
      <c r="G71" s="3">
        <v>4</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60" t="s">
        <v>48</v>
      </c>
      <c r="E78" s="360"/>
      <c r="F78" s="16" t="s">
        <v>500</v>
      </c>
      <c r="G78" s="16">
        <v>9.9000000000000005E-2</v>
      </c>
      <c r="H78" s="16">
        <v>0.1</v>
      </c>
      <c r="I78" s="16">
        <v>0.11899999999999999</v>
      </c>
      <c r="J78" s="16">
        <v>0.12</v>
      </c>
      <c r="K78" s="16">
        <v>0.14899999999999999</v>
      </c>
      <c r="L78" s="16">
        <v>0.15</v>
      </c>
      <c r="M78" s="16" t="s">
        <v>500</v>
      </c>
      <c r="O78" s="2"/>
      <c r="AE78" s="3" t="s">
        <v>48</v>
      </c>
      <c r="AF78" s="3">
        <v>4</v>
      </c>
      <c r="AG78" s="3">
        <f t="shared" si="0"/>
        <v>1</v>
      </c>
      <c r="AH78" s="3">
        <f>+IF(AG78=0,0,IF(AG78=1,(SUM($AG$75:AG78)-1),1))</f>
        <v>0</v>
      </c>
      <c r="AI78" s="3">
        <f t="shared" si="1"/>
        <v>0</v>
      </c>
      <c r="AJ78" s="3">
        <f t="shared" si="2"/>
        <v>1</v>
      </c>
      <c r="AK78" s="3">
        <f t="shared" si="3"/>
        <v>1</v>
      </c>
    </row>
    <row r="79" spans="2:37" x14ac:dyDescent="0.25">
      <c r="B79" s="2"/>
      <c r="D79" s="360" t="s">
        <v>49</v>
      </c>
      <c r="E79" s="360"/>
      <c r="F79" s="16" t="s">
        <v>500</v>
      </c>
      <c r="G79" s="16">
        <v>0.14899999999999999</v>
      </c>
      <c r="H79" s="16">
        <v>0.15</v>
      </c>
      <c r="I79" s="16">
        <v>0.16900000000000001</v>
      </c>
      <c r="J79" s="16">
        <v>0.17</v>
      </c>
      <c r="K79" s="16">
        <v>0.19900000000000001</v>
      </c>
      <c r="L79" s="16">
        <v>0.2</v>
      </c>
      <c r="M79" s="16" t="s">
        <v>500</v>
      </c>
      <c r="O79" s="2"/>
      <c r="AE79" s="3" t="s">
        <v>49</v>
      </c>
      <c r="AF79" s="3">
        <v>5</v>
      </c>
      <c r="AG79" s="3">
        <f t="shared" si="0"/>
        <v>1</v>
      </c>
      <c r="AH79" s="3">
        <f>+IF(AG79=0,0,IF(AG79=1,(SUM($AG$75:AG79)-1),1))</f>
        <v>1</v>
      </c>
      <c r="AI79" s="3">
        <f t="shared" si="1"/>
        <v>1</v>
      </c>
      <c r="AJ79" s="3">
        <f t="shared" si="2"/>
        <v>0</v>
      </c>
      <c r="AK79" s="3">
        <f t="shared" si="3"/>
        <v>1</v>
      </c>
    </row>
    <row r="80" spans="2:37" x14ac:dyDescent="0.25">
      <c r="B80" s="2"/>
      <c r="D80" s="360" t="s">
        <v>50</v>
      </c>
      <c r="E80" s="360"/>
      <c r="F80" s="16" t="s">
        <v>500</v>
      </c>
      <c r="G80" s="16">
        <v>0.19900000000000001</v>
      </c>
      <c r="H80" s="16">
        <v>0.2</v>
      </c>
      <c r="I80" s="16">
        <v>0.219</v>
      </c>
      <c r="J80" s="16">
        <v>0.22</v>
      </c>
      <c r="K80" s="16">
        <v>0.23899999999999999</v>
      </c>
      <c r="L80" s="16">
        <v>0.24</v>
      </c>
      <c r="M80" s="16" t="s">
        <v>500</v>
      </c>
      <c r="O80" s="2"/>
      <c r="AE80" s="3" t="s">
        <v>50</v>
      </c>
      <c r="AF80" s="3">
        <v>6</v>
      </c>
      <c r="AG80" s="3">
        <f t="shared" si="0"/>
        <v>1</v>
      </c>
      <c r="AH80" s="3">
        <f>+IF(AG80=0,0,IF(AG80=1,(SUM($AG$75:AG80)-1),1))</f>
        <v>2</v>
      </c>
      <c r="AI80" s="3">
        <f t="shared" si="1"/>
        <v>1</v>
      </c>
      <c r="AJ80" s="3">
        <f t="shared" si="2"/>
        <v>0</v>
      </c>
      <c r="AK80" s="3">
        <f t="shared" si="3"/>
        <v>1</v>
      </c>
    </row>
    <row r="81" spans="2:37" x14ac:dyDescent="0.25">
      <c r="B81" s="2"/>
      <c r="D81" s="360" t="s">
        <v>53</v>
      </c>
      <c r="E81" s="360"/>
      <c r="F81" s="16" t="s">
        <v>500</v>
      </c>
      <c r="G81" s="16">
        <v>0.23899999999999999</v>
      </c>
      <c r="H81" s="16">
        <v>0.24</v>
      </c>
      <c r="I81" s="16">
        <v>0.27900000000000003</v>
      </c>
      <c r="J81" s="16">
        <v>0.28000000000000003</v>
      </c>
      <c r="K81" s="16">
        <v>0.31900000000000001</v>
      </c>
      <c r="L81" s="16">
        <v>0.32</v>
      </c>
      <c r="M81" s="16" t="s">
        <v>500</v>
      </c>
      <c r="O81" s="2"/>
      <c r="AE81" s="3" t="s">
        <v>53</v>
      </c>
      <c r="AF81" s="3">
        <v>7</v>
      </c>
      <c r="AG81" s="3">
        <f t="shared" si="0"/>
        <v>1</v>
      </c>
      <c r="AH81" s="3">
        <f>+IF(AG81=0,0,IF(AG81=1,(SUM($AG$75:AG81)-1),1))</f>
        <v>3</v>
      </c>
      <c r="AI81" s="3">
        <f t="shared" si="1"/>
        <v>1</v>
      </c>
      <c r="AJ81" s="3">
        <f t="shared" si="2"/>
        <v>0</v>
      </c>
      <c r="AK81" s="3">
        <f t="shared" si="3"/>
        <v>1</v>
      </c>
    </row>
    <row r="82" spans="2:37" x14ac:dyDescent="0.25">
      <c r="B82" s="2"/>
      <c r="D82" s="360" t="s">
        <v>54</v>
      </c>
      <c r="E82" s="360"/>
      <c r="F82" s="16" t="s">
        <v>500</v>
      </c>
      <c r="G82" s="16">
        <v>0.31900000000000001</v>
      </c>
      <c r="H82" s="16">
        <v>0.32</v>
      </c>
      <c r="I82" s="16">
        <v>0.35899999999999999</v>
      </c>
      <c r="J82" s="16">
        <v>0.36</v>
      </c>
      <c r="K82" s="16">
        <v>0.39900000000000002</v>
      </c>
      <c r="L82" s="16">
        <v>0.4</v>
      </c>
      <c r="M82" s="16" t="s">
        <v>500</v>
      </c>
      <c r="O82" s="2"/>
      <c r="AE82" s="3" t="s">
        <v>54</v>
      </c>
      <c r="AF82" s="3">
        <v>8</v>
      </c>
      <c r="AG82" s="3">
        <f t="shared" si="0"/>
        <v>1</v>
      </c>
      <c r="AH82" s="3">
        <f>+IF(AG82=0,0,IF(AG82=1,(SUM($AG$75:AG82)-1),1))</f>
        <v>4</v>
      </c>
      <c r="AI82" s="3">
        <f t="shared" si="1"/>
        <v>1</v>
      </c>
      <c r="AJ82" s="3">
        <f t="shared" si="2"/>
        <v>0</v>
      </c>
      <c r="AK82" s="3">
        <f t="shared" si="3"/>
        <v>1</v>
      </c>
    </row>
    <row r="83" spans="2:37" x14ac:dyDescent="0.25">
      <c r="B83" s="2"/>
      <c r="D83" s="360" t="s">
        <v>55</v>
      </c>
      <c r="E83" s="360"/>
      <c r="F83" s="16" t="s">
        <v>500</v>
      </c>
      <c r="G83" s="16">
        <v>0.19900000000000001</v>
      </c>
      <c r="H83" s="16">
        <v>0.2</v>
      </c>
      <c r="I83" s="16">
        <v>0.499</v>
      </c>
      <c r="J83" s="16">
        <v>0.5</v>
      </c>
      <c r="K83" s="16">
        <v>0.69899999999999995</v>
      </c>
      <c r="L83" s="16">
        <v>0.7</v>
      </c>
      <c r="M83" s="16" t="s">
        <v>500</v>
      </c>
      <c r="O83" s="2"/>
      <c r="AE83" s="3" t="s">
        <v>55</v>
      </c>
      <c r="AF83" s="3">
        <v>9</v>
      </c>
      <c r="AG83" s="3">
        <f t="shared" si="0"/>
        <v>1</v>
      </c>
      <c r="AH83" s="3">
        <f>+IF(AG83=0,0,IF(AG83=1,(SUM($AG$75:AG83)-1),1))</f>
        <v>5</v>
      </c>
      <c r="AI83" s="3">
        <f t="shared" si="1"/>
        <v>1</v>
      </c>
      <c r="AJ83" s="3">
        <f t="shared" si="2"/>
        <v>0</v>
      </c>
      <c r="AK83" s="3">
        <f t="shared" si="3"/>
        <v>1</v>
      </c>
    </row>
    <row r="84" spans="2:37" x14ac:dyDescent="0.25">
      <c r="B84" s="2"/>
      <c r="D84" s="360" t="s">
        <v>56</v>
      </c>
      <c r="E84" s="360"/>
      <c r="F84" s="16" t="s">
        <v>500</v>
      </c>
      <c r="G84" s="16">
        <v>0.69899999999999995</v>
      </c>
      <c r="H84" s="16">
        <v>0.7</v>
      </c>
      <c r="I84" s="16">
        <v>0.73899999999999999</v>
      </c>
      <c r="J84" s="16">
        <v>0.74</v>
      </c>
      <c r="K84" s="16">
        <v>0.77900000000000003</v>
      </c>
      <c r="L84" s="16">
        <v>0.78</v>
      </c>
      <c r="M84" s="16" t="s">
        <v>500</v>
      </c>
      <c r="O84" s="2"/>
      <c r="AE84" s="3" t="s">
        <v>56</v>
      </c>
      <c r="AF84" s="3">
        <v>10</v>
      </c>
      <c r="AG84" s="3">
        <f t="shared" si="0"/>
        <v>1</v>
      </c>
      <c r="AH84" s="3">
        <f>+IF(AG84=0,0,IF(AG84=1,(SUM($AG$75:AG84)-1),1))</f>
        <v>6</v>
      </c>
      <c r="AI84" s="3">
        <f t="shared" si="1"/>
        <v>1</v>
      </c>
      <c r="AJ84" s="3">
        <f t="shared" si="2"/>
        <v>0</v>
      </c>
      <c r="AK84" s="3">
        <f t="shared" si="3"/>
        <v>1</v>
      </c>
    </row>
    <row r="85" spans="2:37" x14ac:dyDescent="0.25">
      <c r="B85" s="2"/>
      <c r="D85" s="360" t="s">
        <v>57</v>
      </c>
      <c r="E85" s="360"/>
      <c r="F85" s="16" t="s">
        <v>500</v>
      </c>
      <c r="G85" s="16">
        <v>0.77900000000000003</v>
      </c>
      <c r="H85" s="16">
        <v>0.78</v>
      </c>
      <c r="I85" s="16">
        <v>0.81899999999999995</v>
      </c>
      <c r="J85" s="16">
        <v>0.82</v>
      </c>
      <c r="K85" s="16">
        <v>0.85899999999999999</v>
      </c>
      <c r="L85" s="16">
        <v>0.86</v>
      </c>
      <c r="M85" s="16" t="s">
        <v>500</v>
      </c>
      <c r="O85" s="2"/>
      <c r="AE85" s="3" t="s">
        <v>57</v>
      </c>
      <c r="AF85" s="3">
        <v>11</v>
      </c>
      <c r="AG85" s="3">
        <f t="shared" si="0"/>
        <v>1</v>
      </c>
      <c r="AH85" s="3">
        <f>+IF(AG85=0,0,IF(AG85=1,(SUM($AG$75:AG85)-1),1))</f>
        <v>7</v>
      </c>
      <c r="AI85" s="3">
        <f t="shared" si="1"/>
        <v>1</v>
      </c>
      <c r="AJ85" s="3">
        <f t="shared" si="2"/>
        <v>0</v>
      </c>
      <c r="AK85" s="3">
        <f t="shared" si="3"/>
        <v>1</v>
      </c>
    </row>
    <row r="86" spans="2:37" x14ac:dyDescent="0.25">
      <c r="B86" s="2"/>
      <c r="D86" s="360" t="s">
        <v>58</v>
      </c>
      <c r="E86" s="360"/>
      <c r="F86" s="16" t="s">
        <v>500</v>
      </c>
      <c r="G86" s="16">
        <v>0.85899999999999999</v>
      </c>
      <c r="H86" s="16">
        <v>0.86</v>
      </c>
      <c r="I86" s="16">
        <v>0.92900000000000005</v>
      </c>
      <c r="J86" s="16">
        <v>0.93</v>
      </c>
      <c r="K86" s="16">
        <v>0.97899999999999998</v>
      </c>
      <c r="L86" s="16">
        <v>0.98</v>
      </c>
      <c r="M86" s="16" t="s">
        <v>500</v>
      </c>
      <c r="O86" s="2"/>
      <c r="AE86" s="3" t="s">
        <v>58</v>
      </c>
      <c r="AF86" s="65">
        <v>12</v>
      </c>
      <c r="AG86" s="3">
        <f t="shared" si="0"/>
        <v>1</v>
      </c>
      <c r="AH86" s="3">
        <f>+IF(AG86=0,0,IF(AG86=1,(SUM($AG$75:AG86)-1),1))</f>
        <v>8</v>
      </c>
      <c r="AI86" s="3">
        <f t="shared" si="1"/>
        <v>1</v>
      </c>
      <c r="AJ86" s="3">
        <f t="shared" si="2"/>
        <v>0</v>
      </c>
      <c r="AK86" s="3">
        <f t="shared" si="3"/>
        <v>1</v>
      </c>
    </row>
    <row r="87" spans="2:37" ht="3.75" customHeight="1" x14ac:dyDescent="0.25">
      <c r="B87" s="2"/>
      <c r="O87" s="2"/>
    </row>
    <row r="88" spans="2:37" ht="66" customHeight="1" x14ac:dyDescent="0.25">
      <c r="B88" s="2"/>
      <c r="D88" s="338" t="s">
        <v>59</v>
      </c>
      <c r="E88" s="339"/>
      <c r="F88" s="340" t="s">
        <v>2000</v>
      </c>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2" customHeight="1" x14ac:dyDescent="0.25">
      <c r="B97" s="2"/>
      <c r="D97" s="359" t="s">
        <v>35</v>
      </c>
      <c r="E97" s="359"/>
      <c r="F97" s="344" t="s">
        <v>1094</v>
      </c>
      <c r="G97" s="344"/>
      <c r="H97" s="344"/>
      <c r="I97" s="344"/>
      <c r="J97" s="344"/>
      <c r="K97" s="344"/>
      <c r="L97" s="344"/>
      <c r="M97" s="344"/>
      <c r="O97" s="2"/>
    </row>
    <row r="98" spans="2:15" ht="42" customHeight="1" x14ac:dyDescent="0.25">
      <c r="B98" s="2"/>
      <c r="D98" s="359" t="s">
        <v>36</v>
      </c>
      <c r="E98" s="359"/>
      <c r="F98" s="344" t="s">
        <v>1095</v>
      </c>
      <c r="G98" s="344"/>
      <c r="H98" s="344"/>
      <c r="I98" s="344"/>
      <c r="J98" s="344"/>
      <c r="K98" s="344"/>
      <c r="L98" s="344"/>
      <c r="M98" s="344"/>
      <c r="O98" s="2"/>
    </row>
    <row r="99" spans="2:15" ht="3.95" customHeight="1" x14ac:dyDescent="0.25">
      <c r="B99" s="2"/>
      <c r="O99" s="2"/>
    </row>
    <row r="100" spans="2:15" ht="58.5" customHeight="1" x14ac:dyDescent="0.25">
      <c r="B100" s="2"/>
      <c r="D100" s="338" t="s">
        <v>62</v>
      </c>
      <c r="E100" s="339"/>
      <c r="F100" s="344" t="s">
        <v>1067</v>
      </c>
      <c r="G100" s="344"/>
      <c r="H100" s="344"/>
      <c r="I100" s="344"/>
      <c r="J100" s="344"/>
      <c r="K100" s="344"/>
      <c r="L100" s="344"/>
      <c r="M100" s="344"/>
      <c r="O100" s="2"/>
    </row>
    <row r="101" spans="2:15" ht="3.95" customHeight="1" x14ac:dyDescent="0.25">
      <c r="B101" s="2"/>
      <c r="O101" s="2"/>
    </row>
    <row r="102" spans="2:15" ht="19.5" customHeight="1" x14ac:dyDescent="0.25">
      <c r="B102" s="2"/>
      <c r="D102" s="329" t="s">
        <v>64</v>
      </c>
      <c r="E102" s="330"/>
      <c r="F102" s="19" t="s">
        <v>65</v>
      </c>
      <c r="G102" s="4" t="s">
        <v>496</v>
      </c>
      <c r="K102" s="20"/>
      <c r="O102" s="2"/>
    </row>
    <row r="103" spans="2:15" ht="19.5" customHeight="1" x14ac:dyDescent="0.25">
      <c r="B103" s="2"/>
      <c r="D103" s="331"/>
      <c r="E103" s="332"/>
      <c r="F103" s="19" t="s">
        <v>66</v>
      </c>
      <c r="G103" s="4" t="s">
        <v>284</v>
      </c>
      <c r="K103" s="21"/>
      <c r="O103" s="2"/>
    </row>
    <row r="104" spans="2:15" ht="27.75" customHeight="1" x14ac:dyDescent="0.25">
      <c r="B104" s="2"/>
      <c r="D104" s="331"/>
      <c r="E104" s="332"/>
      <c r="F104" s="19" t="s">
        <v>67</v>
      </c>
      <c r="G104" s="333" t="s">
        <v>1831</v>
      </c>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Director(a) Administrativa</v>
      </c>
      <c r="H108" s="334"/>
      <c r="I108" s="334"/>
      <c r="J108" s="334"/>
      <c r="K108" s="334"/>
      <c r="L108" s="334"/>
      <c r="M108" s="335"/>
      <c r="O108" s="2"/>
    </row>
    <row r="109" spans="2:15" ht="17.25" customHeight="1" x14ac:dyDescent="0.25">
      <c r="B109" s="2"/>
      <c r="D109" s="331"/>
      <c r="E109" s="332"/>
      <c r="F109" s="19" t="s">
        <v>2042</v>
      </c>
      <c r="G109" s="333" t="str">
        <f>+IF(M23="Si","Coordinador(a) Planeación y Sistemas","")</f>
        <v>Coordinador(a) Planeación y Sistemas</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312" priority="34">
      <formula>+IF($F$43="no",1,0)</formula>
    </cfRule>
  </conditionalFormatting>
  <conditionalFormatting sqref="F32:M32">
    <cfRule type="expression" dxfId="1311" priority="33">
      <formula>+IF($Q$30="NA",1,0)</formula>
    </cfRule>
  </conditionalFormatting>
  <conditionalFormatting sqref="F47:M47">
    <cfRule type="expression" dxfId="1310" priority="31">
      <formula>+IF($Q$47=0,1,0)</formula>
    </cfRule>
  </conditionalFormatting>
  <conditionalFormatting sqref="F73:G73">
    <cfRule type="cellIs" dxfId="1309" priority="17" operator="equal">
      <formula>"optimo"</formula>
    </cfRule>
    <cfRule type="cellIs" dxfId="1308" priority="18" operator="equal">
      <formula>"critico"</formula>
    </cfRule>
  </conditionalFormatting>
  <conditionalFormatting sqref="H73:I73">
    <cfRule type="cellIs" dxfId="1307" priority="15" operator="equal">
      <formula>"Adecuado"</formula>
    </cfRule>
    <cfRule type="cellIs" dxfId="1306" priority="16" operator="equal">
      <formula>"en riesgo"</formula>
    </cfRule>
  </conditionalFormatting>
  <conditionalFormatting sqref="J73:K73">
    <cfRule type="cellIs" dxfId="1305" priority="13" operator="equal">
      <formula>"Adecuado"</formula>
    </cfRule>
    <cfRule type="cellIs" dxfId="1304" priority="14" operator="equal">
      <formula>"en riesgo"</formula>
    </cfRule>
  </conditionalFormatting>
  <conditionalFormatting sqref="L73:M73">
    <cfRule type="cellIs" dxfId="1303" priority="11" operator="equal">
      <formula>"optimo"</formula>
    </cfRule>
    <cfRule type="cellIs" dxfId="1302" priority="12" operator="equal">
      <formula>"critico"</formula>
    </cfRule>
  </conditionalFormatting>
  <conditionalFormatting sqref="F75:M77 F78:J86 M78:M86">
    <cfRule type="expression" dxfId="1301" priority="10">
      <formula>+IF($AK75=0,1)</formula>
    </cfRule>
  </conditionalFormatting>
  <conditionalFormatting sqref="F103:G104">
    <cfRule type="expression" dxfId="1300" priority="9">
      <formula>+IF($G$102="No",1,0)</formula>
    </cfRule>
  </conditionalFormatting>
  <conditionalFormatting sqref="F51">
    <cfRule type="expression" dxfId="1299" priority="8">
      <formula>+IF($F$43="no",1,0)</formula>
    </cfRule>
  </conditionalFormatting>
  <conditionalFormatting sqref="I51">
    <cfRule type="expression" dxfId="1298" priority="7">
      <formula>+IF($F$51="no",1,0)</formula>
    </cfRule>
  </conditionalFormatting>
  <conditionalFormatting sqref="F33:M33">
    <cfRule type="expression" dxfId="1297" priority="6">
      <formula>+IF($Q$30="NA",1,0)</formula>
    </cfRule>
  </conditionalFormatting>
  <conditionalFormatting sqref="F33:M33">
    <cfRule type="expression" dxfId="1296" priority="5">
      <formula>+IF($Q$33=0,1,0)</formula>
    </cfRule>
  </conditionalFormatting>
  <conditionalFormatting sqref="K78:L86">
    <cfRule type="expression" dxfId="1295" priority="4">
      <formula>+IF($AK78=0,1)</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4">
    <tabColor rgb="FF0070C0"/>
  </sheetPr>
  <dimension ref="B1:AV113"/>
  <sheetViews>
    <sheetView topLeftCell="A58" zoomScale="90" zoomScaleNormal="90" workbookViewId="0">
      <selection activeCell="F108" sqref="F108:M11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284</v>
      </c>
      <c r="O10" s="2"/>
    </row>
    <row r="11" spans="2:24" ht="3.95" customHeight="1" x14ac:dyDescent="0.25">
      <c r="B11" s="2"/>
      <c r="D11" s="6"/>
      <c r="O11" s="2"/>
    </row>
    <row r="12" spans="2:24" ht="36" customHeight="1" x14ac:dyDescent="0.25">
      <c r="B12" s="2"/>
      <c r="D12" s="338" t="s">
        <v>5</v>
      </c>
      <c r="E12" s="339"/>
      <c r="F12" s="340" t="s">
        <v>1159</v>
      </c>
      <c r="G12" s="341"/>
      <c r="H12" s="341"/>
      <c r="I12" s="341"/>
      <c r="J12" s="341"/>
      <c r="K12" s="341"/>
      <c r="L12" s="341"/>
      <c r="M12" s="342"/>
      <c r="O12" s="2"/>
      <c r="W12" s="3" t="str">
        <f>+F23</f>
        <v>Mensual</v>
      </c>
      <c r="X12" s="3" t="str">
        <f>+F71</f>
        <v>Abril</v>
      </c>
    </row>
    <row r="13" spans="2:24" ht="3.95" customHeight="1" x14ac:dyDescent="0.25">
      <c r="B13" s="2"/>
      <c r="O13" s="2"/>
    </row>
    <row r="14" spans="2:24" ht="38.25" customHeight="1" x14ac:dyDescent="0.25">
      <c r="B14" s="2"/>
      <c r="D14" s="338" t="s">
        <v>6</v>
      </c>
      <c r="E14" s="339"/>
      <c r="F14" s="340" t="s">
        <v>1086</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17">
        <v>0.95</v>
      </c>
      <c r="G22" s="337" t="s">
        <v>9</v>
      </c>
      <c r="H22" s="337"/>
      <c r="I22" s="17">
        <v>0.98</v>
      </c>
      <c r="K22" s="337" t="s">
        <v>10</v>
      </c>
      <c r="L22" s="337"/>
      <c r="M22" s="9" t="s">
        <v>496</v>
      </c>
      <c r="O22" s="2"/>
    </row>
    <row r="23" spans="2:17" ht="19.5" customHeight="1" x14ac:dyDescent="0.25">
      <c r="B23" s="2"/>
      <c r="D23" s="337" t="s">
        <v>11</v>
      </c>
      <c r="E23" s="337"/>
      <c r="F23" s="4" t="s">
        <v>84</v>
      </c>
      <c r="G23" s="337" t="s">
        <v>12</v>
      </c>
      <c r="H23" s="337"/>
      <c r="I23" s="4" t="s">
        <v>497</v>
      </c>
      <c r="K23" s="337" t="s">
        <v>13</v>
      </c>
      <c r="L23" s="337"/>
      <c r="M23" s="9" t="s">
        <v>496</v>
      </c>
      <c r="O23" s="2"/>
    </row>
    <row r="24" spans="2:17" ht="20.100000000000001" customHeight="1" x14ac:dyDescent="0.25">
      <c r="B24" s="2"/>
      <c r="D24" s="337" t="s">
        <v>14</v>
      </c>
      <c r="E24" s="337"/>
      <c r="F24" s="4" t="s">
        <v>498</v>
      </c>
      <c r="G24" s="337" t="s">
        <v>15</v>
      </c>
      <c r="H24" s="337"/>
      <c r="I24" s="4" t="s">
        <v>103</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soporte</v>
      </c>
    </row>
    <row r="31" spans="2:17" ht="24" customHeight="1" x14ac:dyDescent="0.25">
      <c r="B31" s="2"/>
      <c r="D31" s="347"/>
      <c r="E31" s="348"/>
      <c r="F31" s="4" t="s">
        <v>257</v>
      </c>
      <c r="G31" s="340" t="s">
        <v>258</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1602</v>
      </c>
      <c r="G33" s="340" t="s">
        <v>1550</v>
      </c>
      <c r="H33" s="341"/>
      <c r="I33" s="341"/>
      <c r="J33" s="341"/>
      <c r="K33" s="341"/>
      <c r="L33" s="341"/>
      <c r="M33" s="342"/>
      <c r="O33" s="2"/>
      <c r="Q33" s="3">
        <f>+IFERROR(IF(VLOOKUP(G33,base!$A$26:$C$40,3,FALSE)=F31,1,0),"")</f>
        <v>1</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1716</v>
      </c>
      <c r="G35" s="340" t="s">
        <v>1592</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2</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500</v>
      </c>
      <c r="G45" s="340" t="s">
        <v>512</v>
      </c>
      <c r="H45" s="341"/>
      <c r="I45" s="341"/>
      <c r="J45" s="341"/>
      <c r="K45" s="341"/>
      <c r="L45" s="341"/>
      <c r="M45" s="342"/>
      <c r="O45" s="2"/>
      <c r="Q45" s="3" t="str">
        <f>+IFERROR(VLOOKUP(G45,base!$A$41:$C$45,3,FALSE),"")</f>
        <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503</v>
      </c>
      <c r="G47" s="340"/>
      <c r="H47" s="341"/>
      <c r="I47" s="341"/>
      <c r="J47" s="341"/>
      <c r="K47" s="341"/>
      <c r="L47" s="341"/>
      <c r="M47" s="342"/>
      <c r="O47" s="2"/>
      <c r="Q47" s="3" t="e">
        <f>+IF(VLOOKUP(G47,base!$A$46:$C$66,3,FALSE)=F45,1,0)</f>
        <v>#N/A</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920</v>
      </c>
      <c r="G49" s="340" t="s">
        <v>899</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29"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37" t="s">
        <v>34</v>
      </c>
      <c r="E59" s="337"/>
      <c r="F59" s="344" t="s">
        <v>1087</v>
      </c>
      <c r="G59" s="344"/>
      <c r="H59" s="344"/>
      <c r="I59" s="344"/>
      <c r="J59" s="344"/>
      <c r="K59" s="344"/>
      <c r="L59" s="344"/>
      <c r="M59" s="344"/>
      <c r="O59" s="2"/>
    </row>
    <row r="60" spans="2:15" ht="66" customHeight="1" x14ac:dyDescent="0.25">
      <c r="B60" s="2"/>
      <c r="D60" s="359" t="s">
        <v>35</v>
      </c>
      <c r="E60" s="359"/>
      <c r="F60" s="344" t="s">
        <v>1088</v>
      </c>
      <c r="G60" s="344"/>
      <c r="H60" s="344"/>
      <c r="I60" s="344"/>
      <c r="J60" s="344"/>
      <c r="K60" s="344"/>
      <c r="L60" s="344"/>
      <c r="M60" s="344"/>
      <c r="O60" s="2"/>
    </row>
    <row r="61" spans="2:15" ht="41.25" customHeight="1" x14ac:dyDescent="0.25">
      <c r="B61" s="2"/>
      <c r="D61" s="359" t="s">
        <v>36</v>
      </c>
      <c r="E61" s="359"/>
      <c r="F61" s="340" t="s">
        <v>1089</v>
      </c>
      <c r="G61" s="341"/>
      <c r="H61" s="341"/>
      <c r="I61" s="341"/>
      <c r="J61" s="341"/>
      <c r="K61" s="341"/>
      <c r="L61" s="341"/>
      <c r="M61" s="342"/>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43" t="s">
        <v>39</v>
      </c>
      <c r="E71" s="343"/>
      <c r="F71" s="4" t="s">
        <v>48</v>
      </c>
      <c r="G71" s="3">
        <v>4</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60" t="s">
        <v>48</v>
      </c>
      <c r="E78" s="360"/>
      <c r="F78" s="16" t="s">
        <v>500</v>
      </c>
      <c r="G78" s="16">
        <v>9.9000000000000005E-2</v>
      </c>
      <c r="H78" s="16">
        <v>0.1</v>
      </c>
      <c r="I78" s="16">
        <v>0.11899999999999999</v>
      </c>
      <c r="J78" s="16">
        <v>0.12</v>
      </c>
      <c r="K78" s="16">
        <v>0.14899999999999999</v>
      </c>
      <c r="L78" s="16">
        <v>0.15</v>
      </c>
      <c r="M78" s="16" t="s">
        <v>500</v>
      </c>
      <c r="O78" s="2"/>
      <c r="AE78" s="3" t="s">
        <v>48</v>
      </c>
      <c r="AF78" s="3">
        <v>4</v>
      </c>
      <c r="AG78" s="3">
        <f t="shared" si="0"/>
        <v>1</v>
      </c>
      <c r="AH78" s="3">
        <f>+IF(AG78=0,0,IF(AG78=1,(SUM($AG$75:AG78)-1),1))</f>
        <v>0</v>
      </c>
      <c r="AI78" s="3">
        <f t="shared" si="1"/>
        <v>0</v>
      </c>
      <c r="AJ78" s="3">
        <f t="shared" si="2"/>
        <v>1</v>
      </c>
      <c r="AK78" s="3">
        <f t="shared" si="3"/>
        <v>1</v>
      </c>
    </row>
    <row r="79" spans="2:37" x14ac:dyDescent="0.25">
      <c r="B79" s="2"/>
      <c r="D79" s="360" t="s">
        <v>49</v>
      </c>
      <c r="E79" s="360"/>
      <c r="F79" s="16" t="s">
        <v>500</v>
      </c>
      <c r="G79" s="16">
        <v>0.14899999999999999</v>
      </c>
      <c r="H79" s="16">
        <v>0.15</v>
      </c>
      <c r="I79" s="16">
        <v>0.16900000000000001</v>
      </c>
      <c r="J79" s="16">
        <v>0.17</v>
      </c>
      <c r="K79" s="16">
        <v>0.19900000000000001</v>
      </c>
      <c r="L79" s="16">
        <v>0.2</v>
      </c>
      <c r="M79" s="16" t="s">
        <v>500</v>
      </c>
      <c r="O79" s="2"/>
      <c r="AE79" s="3" t="s">
        <v>49</v>
      </c>
      <c r="AF79" s="3">
        <v>5</v>
      </c>
      <c r="AG79" s="3">
        <f t="shared" si="0"/>
        <v>1</v>
      </c>
      <c r="AH79" s="3">
        <f>+IF(AG79=0,0,IF(AG79=1,(SUM($AG$75:AG79)-1),1))</f>
        <v>1</v>
      </c>
      <c r="AI79" s="3">
        <f t="shared" si="1"/>
        <v>1</v>
      </c>
      <c r="AJ79" s="3">
        <f t="shared" si="2"/>
        <v>0</v>
      </c>
      <c r="AK79" s="3">
        <f t="shared" si="3"/>
        <v>1</v>
      </c>
    </row>
    <row r="80" spans="2:37" x14ac:dyDescent="0.25">
      <c r="B80" s="2"/>
      <c r="D80" s="360" t="s">
        <v>50</v>
      </c>
      <c r="E80" s="360"/>
      <c r="F80" s="16" t="s">
        <v>500</v>
      </c>
      <c r="G80" s="16">
        <v>0.19900000000000001</v>
      </c>
      <c r="H80" s="16">
        <v>0.2</v>
      </c>
      <c r="I80" s="16">
        <v>0.219</v>
      </c>
      <c r="J80" s="16">
        <v>0.22</v>
      </c>
      <c r="K80" s="16">
        <v>0.23899999999999999</v>
      </c>
      <c r="L80" s="16">
        <v>0.24</v>
      </c>
      <c r="M80" s="16" t="s">
        <v>500</v>
      </c>
      <c r="O80" s="2"/>
      <c r="AE80" s="3" t="s">
        <v>50</v>
      </c>
      <c r="AF80" s="3">
        <v>6</v>
      </c>
      <c r="AG80" s="3">
        <f t="shared" si="0"/>
        <v>1</v>
      </c>
      <c r="AH80" s="3">
        <f>+IF(AG80=0,0,IF(AG80=1,(SUM($AG$75:AG80)-1),1))</f>
        <v>2</v>
      </c>
      <c r="AI80" s="3">
        <f t="shared" si="1"/>
        <v>1</v>
      </c>
      <c r="AJ80" s="3">
        <f t="shared" si="2"/>
        <v>0</v>
      </c>
      <c r="AK80" s="3">
        <f t="shared" si="3"/>
        <v>1</v>
      </c>
    </row>
    <row r="81" spans="2:37" x14ac:dyDescent="0.25">
      <c r="B81" s="2"/>
      <c r="D81" s="360" t="s">
        <v>53</v>
      </c>
      <c r="E81" s="360"/>
      <c r="F81" s="16" t="s">
        <v>500</v>
      </c>
      <c r="G81" s="16">
        <v>0.23899999999999999</v>
      </c>
      <c r="H81" s="16">
        <v>0.24</v>
      </c>
      <c r="I81" s="16">
        <v>0.27900000000000003</v>
      </c>
      <c r="J81" s="16">
        <v>0.28000000000000003</v>
      </c>
      <c r="K81" s="16">
        <v>0.31900000000000001</v>
      </c>
      <c r="L81" s="16">
        <v>0.32</v>
      </c>
      <c r="M81" s="16" t="s">
        <v>500</v>
      </c>
      <c r="O81" s="2"/>
      <c r="AE81" s="3" t="s">
        <v>53</v>
      </c>
      <c r="AF81" s="3">
        <v>7</v>
      </c>
      <c r="AG81" s="3">
        <f t="shared" si="0"/>
        <v>1</v>
      </c>
      <c r="AH81" s="3">
        <f>+IF(AG81=0,0,IF(AG81=1,(SUM($AG$75:AG81)-1),1))</f>
        <v>3</v>
      </c>
      <c r="AI81" s="3">
        <f t="shared" si="1"/>
        <v>1</v>
      </c>
      <c r="AJ81" s="3">
        <f t="shared" si="2"/>
        <v>0</v>
      </c>
      <c r="AK81" s="3">
        <f t="shared" si="3"/>
        <v>1</v>
      </c>
    </row>
    <row r="82" spans="2:37" x14ac:dyDescent="0.25">
      <c r="B82" s="2"/>
      <c r="D82" s="360" t="s">
        <v>54</v>
      </c>
      <c r="E82" s="360"/>
      <c r="F82" s="16" t="s">
        <v>500</v>
      </c>
      <c r="G82" s="16">
        <v>0.31900000000000001</v>
      </c>
      <c r="H82" s="16">
        <v>0.32</v>
      </c>
      <c r="I82" s="16">
        <v>0.35899999999999999</v>
      </c>
      <c r="J82" s="16">
        <v>0.36</v>
      </c>
      <c r="K82" s="16">
        <v>0.39900000000000002</v>
      </c>
      <c r="L82" s="16">
        <v>0.4</v>
      </c>
      <c r="M82" s="16" t="s">
        <v>500</v>
      </c>
      <c r="O82" s="2"/>
      <c r="AE82" s="3" t="s">
        <v>54</v>
      </c>
      <c r="AF82" s="3">
        <v>8</v>
      </c>
      <c r="AG82" s="3">
        <f t="shared" si="0"/>
        <v>1</v>
      </c>
      <c r="AH82" s="3">
        <f>+IF(AG82=0,0,IF(AG82=1,(SUM($AG$75:AG82)-1),1))</f>
        <v>4</v>
      </c>
      <c r="AI82" s="3">
        <f t="shared" si="1"/>
        <v>1</v>
      </c>
      <c r="AJ82" s="3">
        <f t="shared" si="2"/>
        <v>0</v>
      </c>
      <c r="AK82" s="3">
        <f t="shared" si="3"/>
        <v>1</v>
      </c>
    </row>
    <row r="83" spans="2:37" x14ac:dyDescent="0.25">
      <c r="B83" s="2"/>
      <c r="D83" s="360" t="s">
        <v>55</v>
      </c>
      <c r="E83" s="360"/>
      <c r="F83" s="16" t="s">
        <v>500</v>
      </c>
      <c r="G83" s="16">
        <v>0.19900000000000001</v>
      </c>
      <c r="H83" s="16">
        <v>0.2</v>
      </c>
      <c r="I83" s="16">
        <v>0.499</v>
      </c>
      <c r="J83" s="16">
        <v>0.5</v>
      </c>
      <c r="K83" s="16">
        <v>0.69899999999999995</v>
      </c>
      <c r="L83" s="16">
        <v>0.7</v>
      </c>
      <c r="M83" s="16" t="s">
        <v>500</v>
      </c>
      <c r="O83" s="2"/>
      <c r="AE83" s="3" t="s">
        <v>55</v>
      </c>
      <c r="AF83" s="3">
        <v>9</v>
      </c>
      <c r="AG83" s="3">
        <f t="shared" si="0"/>
        <v>1</v>
      </c>
      <c r="AH83" s="3">
        <f>+IF(AG83=0,0,IF(AG83=1,(SUM($AG$75:AG83)-1),1))</f>
        <v>5</v>
      </c>
      <c r="AI83" s="3">
        <f t="shared" si="1"/>
        <v>1</v>
      </c>
      <c r="AJ83" s="3">
        <f t="shared" si="2"/>
        <v>0</v>
      </c>
      <c r="AK83" s="3">
        <f t="shared" si="3"/>
        <v>1</v>
      </c>
    </row>
    <row r="84" spans="2:37" x14ac:dyDescent="0.25">
      <c r="B84" s="2"/>
      <c r="D84" s="360" t="s">
        <v>56</v>
      </c>
      <c r="E84" s="360"/>
      <c r="F84" s="16" t="s">
        <v>500</v>
      </c>
      <c r="G84" s="16">
        <v>0.69899999999999995</v>
      </c>
      <c r="H84" s="16">
        <v>0.7</v>
      </c>
      <c r="I84" s="16">
        <v>0.73899999999999999</v>
      </c>
      <c r="J84" s="16">
        <v>0.74</v>
      </c>
      <c r="K84" s="16">
        <v>0.77900000000000003</v>
      </c>
      <c r="L84" s="16">
        <v>0.78</v>
      </c>
      <c r="M84" s="16" t="s">
        <v>500</v>
      </c>
      <c r="O84" s="2"/>
      <c r="AE84" s="3" t="s">
        <v>56</v>
      </c>
      <c r="AF84" s="3">
        <v>10</v>
      </c>
      <c r="AG84" s="3">
        <f t="shared" si="0"/>
        <v>1</v>
      </c>
      <c r="AH84" s="3">
        <f>+IF(AG84=0,0,IF(AG84=1,(SUM($AG$75:AG84)-1),1))</f>
        <v>6</v>
      </c>
      <c r="AI84" s="3">
        <f t="shared" si="1"/>
        <v>1</v>
      </c>
      <c r="AJ84" s="3">
        <f t="shared" si="2"/>
        <v>0</v>
      </c>
      <c r="AK84" s="3">
        <f t="shared" si="3"/>
        <v>1</v>
      </c>
    </row>
    <row r="85" spans="2:37" x14ac:dyDescent="0.25">
      <c r="B85" s="2"/>
      <c r="D85" s="360" t="s">
        <v>57</v>
      </c>
      <c r="E85" s="360"/>
      <c r="F85" s="16" t="s">
        <v>500</v>
      </c>
      <c r="G85" s="16">
        <v>0.77900000000000003</v>
      </c>
      <c r="H85" s="16">
        <v>0.78</v>
      </c>
      <c r="I85" s="16">
        <v>0.81899999999999995</v>
      </c>
      <c r="J85" s="16">
        <v>0.82</v>
      </c>
      <c r="K85" s="16">
        <v>0.85899999999999999</v>
      </c>
      <c r="L85" s="16">
        <v>0.86</v>
      </c>
      <c r="M85" s="16" t="s">
        <v>500</v>
      </c>
      <c r="O85" s="2"/>
      <c r="AE85" s="3" t="s">
        <v>57</v>
      </c>
      <c r="AF85" s="3">
        <v>11</v>
      </c>
      <c r="AG85" s="3">
        <f t="shared" si="0"/>
        <v>1</v>
      </c>
      <c r="AH85" s="3">
        <f>+IF(AG85=0,0,IF(AG85=1,(SUM($AG$75:AG85)-1),1))</f>
        <v>7</v>
      </c>
      <c r="AI85" s="3">
        <f t="shared" si="1"/>
        <v>1</v>
      </c>
      <c r="AJ85" s="3">
        <f t="shared" si="2"/>
        <v>0</v>
      </c>
      <c r="AK85" s="3">
        <f t="shared" si="3"/>
        <v>1</v>
      </c>
    </row>
    <row r="86" spans="2:37" x14ac:dyDescent="0.25">
      <c r="B86" s="2"/>
      <c r="D86" s="360" t="s">
        <v>58</v>
      </c>
      <c r="E86" s="360"/>
      <c r="F86" s="16" t="s">
        <v>500</v>
      </c>
      <c r="G86" s="16">
        <v>0.85899999999999999</v>
      </c>
      <c r="H86" s="16">
        <v>0.86</v>
      </c>
      <c r="I86" s="16">
        <v>0.92900000000000005</v>
      </c>
      <c r="J86" s="16">
        <v>0.93</v>
      </c>
      <c r="K86" s="16">
        <v>0.97899999999999998</v>
      </c>
      <c r="L86" s="16">
        <v>0.98</v>
      </c>
      <c r="M86" s="16" t="s">
        <v>500</v>
      </c>
      <c r="O86" s="2"/>
      <c r="AE86" s="3" t="s">
        <v>58</v>
      </c>
      <c r="AF86" s="65">
        <v>12</v>
      </c>
      <c r="AG86" s="3">
        <f t="shared" si="0"/>
        <v>1</v>
      </c>
      <c r="AH86" s="3">
        <f>+IF(AG86=0,0,IF(AG86=1,(SUM($AG$75:AG86)-1),1))</f>
        <v>8</v>
      </c>
      <c r="AI86" s="3">
        <f t="shared" si="1"/>
        <v>1</v>
      </c>
      <c r="AJ86" s="3">
        <f t="shared" si="2"/>
        <v>0</v>
      </c>
      <c r="AK86" s="3">
        <f t="shared" si="3"/>
        <v>1</v>
      </c>
    </row>
    <row r="87" spans="2:37" ht="3.75" customHeight="1" x14ac:dyDescent="0.25">
      <c r="B87" s="2"/>
      <c r="O87" s="2"/>
    </row>
    <row r="88" spans="2:37" ht="66" customHeight="1" x14ac:dyDescent="0.25">
      <c r="B88" s="2"/>
      <c r="D88" s="338" t="s">
        <v>59</v>
      </c>
      <c r="E88" s="339"/>
      <c r="F88" s="340" t="s">
        <v>2000</v>
      </c>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2" customHeight="1" x14ac:dyDescent="0.25">
      <c r="B97" s="2"/>
      <c r="D97" s="359" t="s">
        <v>35</v>
      </c>
      <c r="E97" s="359"/>
      <c r="F97" s="344" t="s">
        <v>1090</v>
      </c>
      <c r="G97" s="344"/>
      <c r="H97" s="344"/>
      <c r="I97" s="344"/>
      <c r="J97" s="344"/>
      <c r="K97" s="344"/>
      <c r="L97" s="344"/>
      <c r="M97" s="344"/>
      <c r="O97" s="2"/>
    </row>
    <row r="98" spans="2:15" ht="42" customHeight="1" x14ac:dyDescent="0.25">
      <c r="B98" s="2"/>
      <c r="D98" s="359" t="s">
        <v>36</v>
      </c>
      <c r="E98" s="359"/>
      <c r="F98" s="344" t="s">
        <v>1091</v>
      </c>
      <c r="G98" s="344"/>
      <c r="H98" s="344"/>
      <c r="I98" s="344"/>
      <c r="J98" s="344"/>
      <c r="K98" s="344"/>
      <c r="L98" s="344"/>
      <c r="M98" s="344"/>
      <c r="O98" s="2"/>
    </row>
    <row r="99" spans="2:15" ht="3.95" customHeight="1" x14ac:dyDescent="0.25">
      <c r="B99" s="2"/>
      <c r="O99" s="2"/>
    </row>
    <row r="100" spans="2:15" ht="125.25" customHeight="1" x14ac:dyDescent="0.25">
      <c r="B100" s="2"/>
      <c r="D100" s="338" t="s">
        <v>62</v>
      </c>
      <c r="E100" s="339"/>
      <c r="F100" s="340" t="s">
        <v>1068</v>
      </c>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496</v>
      </c>
      <c r="K102" s="20"/>
      <c r="O102" s="2"/>
    </row>
    <row r="103" spans="2:15" ht="19.5" customHeight="1" x14ac:dyDescent="0.25">
      <c r="B103" s="2"/>
      <c r="D103" s="331"/>
      <c r="E103" s="332"/>
      <c r="F103" s="19" t="s">
        <v>66</v>
      </c>
      <c r="G103" s="4" t="s">
        <v>285</v>
      </c>
      <c r="K103" s="21"/>
      <c r="O103" s="2"/>
    </row>
    <row r="104" spans="2:15" ht="27.75" customHeight="1" x14ac:dyDescent="0.25">
      <c r="B104" s="2"/>
      <c r="D104" s="331"/>
      <c r="E104" s="332"/>
      <c r="F104" s="19" t="s">
        <v>67</v>
      </c>
      <c r="G104" s="333" t="s">
        <v>1832</v>
      </c>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Director(a) Administrativa</v>
      </c>
      <c r="H108" s="334"/>
      <c r="I108" s="334"/>
      <c r="J108" s="334"/>
      <c r="K108" s="334"/>
      <c r="L108" s="334"/>
      <c r="M108" s="335"/>
      <c r="O108" s="2"/>
    </row>
    <row r="109" spans="2:15" ht="17.25" customHeight="1" x14ac:dyDescent="0.25">
      <c r="B109" s="2"/>
      <c r="D109" s="331"/>
      <c r="E109" s="332"/>
      <c r="F109" s="19" t="s">
        <v>2042</v>
      </c>
      <c r="G109" s="333" t="str">
        <f>+IF(M23="Si","Coordinador(a) Planeación y Sistemas","")</f>
        <v>Coordinador(a) Planeación y Sistemas</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294" priority="33">
      <formula>+IF($F$43="no",1,0)</formula>
    </cfRule>
  </conditionalFormatting>
  <conditionalFormatting sqref="F32:M32">
    <cfRule type="expression" dxfId="1293" priority="32">
      <formula>+IF($Q$30="NA",1,0)</formula>
    </cfRule>
  </conditionalFormatting>
  <conditionalFormatting sqref="F47:M47">
    <cfRule type="expression" dxfId="1292" priority="30">
      <formula>+IF($Q$47=0,1,0)</formula>
    </cfRule>
  </conditionalFormatting>
  <conditionalFormatting sqref="F73:G73">
    <cfRule type="cellIs" dxfId="1291" priority="25" operator="equal">
      <formula>"optimo"</formula>
    </cfRule>
    <cfRule type="cellIs" dxfId="1290" priority="26" operator="equal">
      <formula>"critico"</formula>
    </cfRule>
  </conditionalFormatting>
  <conditionalFormatting sqref="H73:I73">
    <cfRule type="cellIs" dxfId="1289" priority="23" operator="equal">
      <formula>"Adecuado"</formula>
    </cfRule>
    <cfRule type="cellIs" dxfId="1288" priority="24" operator="equal">
      <formula>"en riesgo"</formula>
    </cfRule>
  </conditionalFormatting>
  <conditionalFormatting sqref="J73:K73">
    <cfRule type="cellIs" dxfId="1287" priority="21" operator="equal">
      <formula>"Adecuado"</formula>
    </cfRule>
    <cfRule type="cellIs" dxfId="1286" priority="22" operator="equal">
      <formula>"en riesgo"</formula>
    </cfRule>
  </conditionalFormatting>
  <conditionalFormatting sqref="L73:M73">
    <cfRule type="cellIs" dxfId="1285" priority="19" operator="equal">
      <formula>"optimo"</formula>
    </cfRule>
    <cfRule type="cellIs" dxfId="1284" priority="20" operator="equal">
      <formula>"critico"</formula>
    </cfRule>
  </conditionalFormatting>
  <conditionalFormatting sqref="F75:M86">
    <cfRule type="expression" dxfId="1283" priority="18">
      <formula>+IF($AK75=0,1)</formula>
    </cfRule>
  </conditionalFormatting>
  <conditionalFormatting sqref="F103:G104">
    <cfRule type="expression" dxfId="1282" priority="17">
      <formula>+IF($G$102="No",1,0)</formula>
    </cfRule>
  </conditionalFormatting>
  <conditionalFormatting sqref="F51">
    <cfRule type="expression" dxfId="1281" priority="16">
      <formula>+IF($F$43="no",1,0)</formula>
    </cfRule>
  </conditionalFormatting>
  <conditionalFormatting sqref="I51">
    <cfRule type="expression" dxfId="1280" priority="15">
      <formula>+IF($F$51="no",1,0)</formula>
    </cfRule>
  </conditionalFormatting>
  <conditionalFormatting sqref="F33:M33">
    <cfRule type="expression" dxfId="1279" priority="5">
      <formula>+IF($Q$30="NA",1,0)</formula>
    </cfRule>
  </conditionalFormatting>
  <conditionalFormatting sqref="F33:M33">
    <cfRule type="expression" dxfId="1278" priority="4">
      <formula>+IF($Q$33=0,1,0)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5">
    <tabColor rgb="FF0070C0"/>
  </sheetPr>
  <dimension ref="B1:AV113"/>
  <sheetViews>
    <sheetView zoomScale="90" zoomScaleNormal="90" workbookViewId="0">
      <selection activeCell="F61" sqref="F61:M61"/>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285</v>
      </c>
      <c r="O10" s="2"/>
    </row>
    <row r="11" spans="2:24" ht="3.95" customHeight="1" x14ac:dyDescent="0.25">
      <c r="B11" s="2"/>
      <c r="D11" s="6"/>
      <c r="O11" s="2"/>
    </row>
    <row r="12" spans="2:24" ht="36" customHeight="1" x14ac:dyDescent="0.25">
      <c r="B12" s="2"/>
      <c r="D12" s="338" t="s">
        <v>5</v>
      </c>
      <c r="E12" s="339"/>
      <c r="F12" s="340" t="s">
        <v>286</v>
      </c>
      <c r="G12" s="341"/>
      <c r="H12" s="341"/>
      <c r="I12" s="341"/>
      <c r="J12" s="341"/>
      <c r="K12" s="341"/>
      <c r="L12" s="341"/>
      <c r="M12" s="342"/>
      <c r="O12" s="2"/>
      <c r="W12" s="3" t="str">
        <f>+F23</f>
        <v>Trimestral</v>
      </c>
      <c r="X12" s="3" t="str">
        <f>+F71</f>
        <v>Marzo</v>
      </c>
    </row>
    <row r="13" spans="2:24" ht="3.95" customHeight="1" x14ac:dyDescent="0.25">
      <c r="B13" s="2"/>
      <c r="O13" s="2"/>
    </row>
    <row r="14" spans="2:24" ht="38.25" customHeight="1" x14ac:dyDescent="0.25">
      <c r="B14" s="2"/>
      <c r="D14" s="338" t="s">
        <v>6</v>
      </c>
      <c r="E14" s="339"/>
      <c r="F14" s="340" t="s">
        <v>1080</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17">
        <v>0</v>
      </c>
      <c r="G22" s="337" t="s">
        <v>9</v>
      </c>
      <c r="H22" s="337"/>
      <c r="I22" s="17">
        <v>1</v>
      </c>
      <c r="K22" s="337" t="s">
        <v>10</v>
      </c>
      <c r="L22" s="337"/>
      <c r="M22" s="9" t="s">
        <v>496</v>
      </c>
      <c r="O22" s="2"/>
    </row>
    <row r="23" spans="2:17" ht="19.5" customHeight="1" x14ac:dyDescent="0.25">
      <c r="B23" s="2"/>
      <c r="D23" s="337" t="s">
        <v>11</v>
      </c>
      <c r="E23" s="337"/>
      <c r="F23" s="4" t="s">
        <v>71</v>
      </c>
      <c r="G23" s="337" t="s">
        <v>12</v>
      </c>
      <c r="H23" s="337"/>
      <c r="I23" s="4" t="s">
        <v>497</v>
      </c>
      <c r="K23" s="337" t="s">
        <v>13</v>
      </c>
      <c r="L23" s="337"/>
      <c r="M23" s="9" t="s">
        <v>496</v>
      </c>
      <c r="O23" s="2"/>
    </row>
    <row r="24" spans="2:17" ht="20.100000000000001" customHeight="1" x14ac:dyDescent="0.25">
      <c r="B24" s="2"/>
      <c r="D24" s="337" t="s">
        <v>14</v>
      </c>
      <c r="E24" s="337"/>
      <c r="F24" s="4" t="s">
        <v>498</v>
      </c>
      <c r="G24" s="337" t="s">
        <v>15</v>
      </c>
      <c r="H24" s="337"/>
      <c r="I24" s="4" t="s">
        <v>533</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soporte</v>
      </c>
    </row>
    <row r="31" spans="2:17" ht="24" customHeight="1" x14ac:dyDescent="0.25">
      <c r="B31" s="2"/>
      <c r="D31" s="347"/>
      <c r="E31" s="348"/>
      <c r="F31" s="4" t="s">
        <v>257</v>
      </c>
      <c r="G31" s="340" t="s">
        <v>258</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1602</v>
      </c>
      <c r="G33" s="340" t="s">
        <v>1550</v>
      </c>
      <c r="H33" s="341"/>
      <c r="I33" s="341"/>
      <c r="J33" s="341"/>
      <c r="K33" s="341"/>
      <c r="L33" s="341"/>
      <c r="M33" s="342"/>
      <c r="O33" s="2"/>
      <c r="Q33" s="3">
        <f>+IFERROR(IF(VLOOKUP(G33,base!$A$26:$C$40,3,FALSE)=F31,1,0),"")</f>
        <v>1</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1716</v>
      </c>
      <c r="G35" s="340" t="s">
        <v>1592</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2</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500</v>
      </c>
      <c r="G45" s="340" t="s">
        <v>512</v>
      </c>
      <c r="H45" s="341"/>
      <c r="I45" s="341"/>
      <c r="J45" s="341"/>
      <c r="K45" s="341"/>
      <c r="L45" s="341"/>
      <c r="M45" s="342"/>
      <c r="O45" s="2"/>
      <c r="Q45" s="3" t="str">
        <f>+IFERROR(VLOOKUP(G45,base!$A$41:$C$45,3,FALSE),"")</f>
        <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c r="G47" s="340"/>
      <c r="H47" s="341"/>
      <c r="I47" s="341"/>
      <c r="J47" s="341"/>
      <c r="K47" s="341"/>
      <c r="L47" s="341"/>
      <c r="M47" s="342"/>
      <c r="O47" s="2"/>
      <c r="Q47" s="3" t="e">
        <f>+IF(VLOOKUP(G47,base!$A$46:$C$66,3,FALSE)=F45,1,0)</f>
        <v>#N/A</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920</v>
      </c>
      <c r="G49" s="340" t="s">
        <v>899</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29"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37" t="s">
        <v>34</v>
      </c>
      <c r="E59" s="337"/>
      <c r="F59" s="344" t="s">
        <v>1081</v>
      </c>
      <c r="G59" s="344"/>
      <c r="H59" s="344"/>
      <c r="I59" s="344"/>
      <c r="J59" s="344"/>
      <c r="K59" s="344"/>
      <c r="L59" s="344"/>
      <c r="M59" s="344"/>
      <c r="O59" s="2"/>
    </row>
    <row r="60" spans="2:15" ht="66" customHeight="1" x14ac:dyDescent="0.25">
      <c r="B60" s="2"/>
      <c r="D60" s="359" t="s">
        <v>35</v>
      </c>
      <c r="E60" s="359"/>
      <c r="F60" s="344" t="s">
        <v>1082</v>
      </c>
      <c r="G60" s="344"/>
      <c r="H60" s="344"/>
      <c r="I60" s="344"/>
      <c r="J60" s="344"/>
      <c r="K60" s="344"/>
      <c r="L60" s="344"/>
      <c r="M60" s="344"/>
      <c r="O60" s="2"/>
    </row>
    <row r="61" spans="2:15" ht="41.25" customHeight="1" x14ac:dyDescent="0.25">
      <c r="B61" s="2"/>
      <c r="D61" s="359" t="s">
        <v>36</v>
      </c>
      <c r="E61" s="359"/>
      <c r="F61" s="340" t="s">
        <v>1083</v>
      </c>
      <c r="G61" s="341"/>
      <c r="H61" s="341"/>
      <c r="I61" s="341"/>
      <c r="J61" s="341"/>
      <c r="K61" s="341"/>
      <c r="L61" s="341"/>
      <c r="M61" s="342"/>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43" t="s">
        <v>39</v>
      </c>
      <c r="E71" s="343"/>
      <c r="F71" s="4" t="s">
        <v>47</v>
      </c>
      <c r="G71" s="3">
        <v>3</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v>0.1</v>
      </c>
      <c r="H77" s="16">
        <v>0.10100000000000001</v>
      </c>
      <c r="I77" s="16">
        <v>0.15</v>
      </c>
      <c r="J77" s="16">
        <v>0.151</v>
      </c>
      <c r="K77" s="16">
        <v>0.19900000000000001</v>
      </c>
      <c r="L77" s="16">
        <v>0.2</v>
      </c>
      <c r="M77" s="16" t="s">
        <v>500</v>
      </c>
      <c r="O77" s="2"/>
      <c r="AE77" s="3" t="s">
        <v>47</v>
      </c>
      <c r="AF77" s="3">
        <v>3</v>
      </c>
      <c r="AG77" s="3">
        <f t="shared" si="0"/>
        <v>1</v>
      </c>
      <c r="AH77" s="3">
        <f>+IF(AG77=0,0,IF(AG77=1,(SUM($AG$75:AG77)-1),1))</f>
        <v>0</v>
      </c>
      <c r="AI77" s="3">
        <f t="shared" si="1"/>
        <v>0</v>
      </c>
      <c r="AJ77" s="3">
        <f t="shared" si="2"/>
        <v>1</v>
      </c>
      <c r="AK77" s="3">
        <f t="shared" si="3"/>
        <v>1</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2</v>
      </c>
      <c r="AI79" s="3">
        <f t="shared" si="1"/>
        <v>0</v>
      </c>
      <c r="AJ79" s="3">
        <f t="shared" si="2"/>
        <v>0</v>
      </c>
      <c r="AK79" s="3">
        <f t="shared" si="3"/>
        <v>0</v>
      </c>
    </row>
    <row r="80" spans="2:37" x14ac:dyDescent="0.25">
      <c r="B80" s="2"/>
      <c r="D80" s="360" t="s">
        <v>50</v>
      </c>
      <c r="E80" s="360"/>
      <c r="F80" s="16" t="s">
        <v>500</v>
      </c>
      <c r="G80" s="16">
        <v>0.3</v>
      </c>
      <c r="H80" s="16">
        <v>0.30099999999999999</v>
      </c>
      <c r="I80" s="16">
        <v>0.35</v>
      </c>
      <c r="J80" s="16">
        <v>0.35099999999999998</v>
      </c>
      <c r="K80" s="16">
        <v>0.39900000000000002</v>
      </c>
      <c r="L80" s="16">
        <v>0.4</v>
      </c>
      <c r="M80" s="16" t="s">
        <v>500</v>
      </c>
      <c r="O80" s="2"/>
      <c r="AE80" s="3" t="s">
        <v>50</v>
      </c>
      <c r="AF80" s="3">
        <v>6</v>
      </c>
      <c r="AG80" s="3">
        <f t="shared" si="0"/>
        <v>1</v>
      </c>
      <c r="AH80" s="3">
        <f>+IF(AG80=0,0,IF(AG80=1,(SUM($AG$75:AG80)-1),1))</f>
        <v>3</v>
      </c>
      <c r="AI80" s="3">
        <f t="shared" si="1"/>
        <v>1</v>
      </c>
      <c r="AJ80" s="3">
        <f t="shared" si="2"/>
        <v>0</v>
      </c>
      <c r="AK80" s="3">
        <f t="shared" si="3"/>
        <v>1</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4</v>
      </c>
      <c r="AI81" s="3">
        <f t="shared" si="1"/>
        <v>0</v>
      </c>
      <c r="AJ81" s="3">
        <f t="shared" si="2"/>
        <v>0</v>
      </c>
      <c r="AK81" s="3">
        <f t="shared" si="3"/>
        <v>0</v>
      </c>
    </row>
    <row r="82" spans="2:37" x14ac:dyDescent="0.25">
      <c r="B82" s="2"/>
      <c r="D82" s="360" t="s">
        <v>54</v>
      </c>
      <c r="E82" s="360"/>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60" t="s">
        <v>55</v>
      </c>
      <c r="E83" s="360"/>
      <c r="F83" s="16" t="s">
        <v>500</v>
      </c>
      <c r="G83" s="16">
        <v>0.55000000000000004</v>
      </c>
      <c r="H83" s="16">
        <v>0.55100000000000005</v>
      </c>
      <c r="I83" s="16">
        <v>0.6</v>
      </c>
      <c r="J83" s="16">
        <v>0.60099999999999998</v>
      </c>
      <c r="K83" s="16">
        <v>0.64900000000000002</v>
      </c>
      <c r="L83" s="16">
        <v>0.65</v>
      </c>
      <c r="M83" s="16" t="s">
        <v>500</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60" t="s">
        <v>58</v>
      </c>
      <c r="E86" s="360"/>
      <c r="F86" s="16" t="s">
        <v>500</v>
      </c>
      <c r="G86" s="16">
        <v>0.8</v>
      </c>
      <c r="H86" s="16">
        <v>0.80100000000000005</v>
      </c>
      <c r="I86" s="16">
        <v>0.85</v>
      </c>
      <c r="J86" s="16">
        <v>0.85099999999999998</v>
      </c>
      <c r="K86" s="16">
        <v>0.89900000000000002</v>
      </c>
      <c r="L86" s="16" t="s">
        <v>500</v>
      </c>
      <c r="M86" s="16">
        <v>1</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66" customHeight="1" x14ac:dyDescent="0.25">
      <c r="B88" s="2"/>
      <c r="D88" s="338" t="s">
        <v>59</v>
      </c>
      <c r="E88" s="339"/>
      <c r="F88" s="340"/>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2" customHeight="1" x14ac:dyDescent="0.25">
      <c r="B97" s="2"/>
      <c r="D97" s="359" t="s">
        <v>35</v>
      </c>
      <c r="E97" s="359"/>
      <c r="F97" s="344" t="s">
        <v>1084</v>
      </c>
      <c r="G97" s="344"/>
      <c r="H97" s="344"/>
      <c r="I97" s="344"/>
      <c r="J97" s="344"/>
      <c r="K97" s="344"/>
      <c r="L97" s="344"/>
      <c r="M97" s="344"/>
      <c r="O97" s="2"/>
    </row>
    <row r="98" spans="2:15" ht="42" customHeight="1" x14ac:dyDescent="0.25">
      <c r="B98" s="2"/>
      <c r="D98" s="359" t="s">
        <v>36</v>
      </c>
      <c r="E98" s="359"/>
      <c r="F98" s="344" t="s">
        <v>1085</v>
      </c>
      <c r="G98" s="344"/>
      <c r="H98" s="344"/>
      <c r="I98" s="344"/>
      <c r="J98" s="344"/>
      <c r="K98" s="344"/>
      <c r="L98" s="344"/>
      <c r="M98" s="344"/>
      <c r="O98" s="2"/>
    </row>
    <row r="99" spans="2:15" ht="3.95" customHeight="1" x14ac:dyDescent="0.25">
      <c r="B99" s="2"/>
      <c r="O99" s="2"/>
    </row>
    <row r="100" spans="2:15" ht="58.5" customHeight="1" x14ac:dyDescent="0.25">
      <c r="B100" s="2"/>
      <c r="D100" s="338" t="s">
        <v>62</v>
      </c>
      <c r="E100" s="339"/>
      <c r="F100" s="333"/>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496</v>
      </c>
      <c r="K102" s="20"/>
      <c r="O102" s="2"/>
    </row>
    <row r="103" spans="2:15" ht="19.5" customHeight="1" x14ac:dyDescent="0.25">
      <c r="B103" s="2"/>
      <c r="D103" s="331"/>
      <c r="E103" s="332"/>
      <c r="F103" s="19" t="s">
        <v>66</v>
      </c>
      <c r="G103" s="4" t="s">
        <v>1833</v>
      </c>
      <c r="K103" s="21"/>
      <c r="O103" s="2"/>
    </row>
    <row r="104" spans="2:15" ht="27.75" customHeight="1" x14ac:dyDescent="0.25">
      <c r="B104" s="2"/>
      <c r="D104" s="331"/>
      <c r="E104" s="332"/>
      <c r="F104" s="19" t="s">
        <v>67</v>
      </c>
      <c r="G104" s="333" t="s">
        <v>1834</v>
      </c>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Director(a) Administrativa</v>
      </c>
      <c r="H108" s="334"/>
      <c r="I108" s="334"/>
      <c r="J108" s="334"/>
      <c r="K108" s="334"/>
      <c r="L108" s="334"/>
      <c r="M108" s="335"/>
      <c r="O108" s="2"/>
    </row>
    <row r="109" spans="2:15" ht="17.25" customHeight="1" x14ac:dyDescent="0.25">
      <c r="B109" s="2"/>
      <c r="D109" s="331"/>
      <c r="E109" s="332"/>
      <c r="F109" s="19" t="s">
        <v>2042</v>
      </c>
      <c r="G109" s="333" t="str">
        <f>+IF(M23="Si","Coordinador(a) Planeación y Sistemas","")</f>
        <v>Coordinador(a) Planeación y Sistemas</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277" priority="33">
      <formula>+IF($F$43="no",1,0)</formula>
    </cfRule>
  </conditionalFormatting>
  <conditionalFormatting sqref="F32:M32">
    <cfRule type="expression" dxfId="1276" priority="32">
      <formula>+IF($Q$30="NA",1,0)</formula>
    </cfRule>
  </conditionalFormatting>
  <conditionalFormatting sqref="F47:M47">
    <cfRule type="expression" dxfId="1275" priority="30">
      <formula>+IF($Q$47=0,1,0)</formula>
    </cfRule>
  </conditionalFormatting>
  <conditionalFormatting sqref="F73:G73">
    <cfRule type="cellIs" dxfId="1274" priority="16" operator="equal">
      <formula>"optimo"</formula>
    </cfRule>
    <cfRule type="cellIs" dxfId="1273" priority="17" operator="equal">
      <formula>"critico"</formula>
    </cfRule>
  </conditionalFormatting>
  <conditionalFormatting sqref="H73:I73">
    <cfRule type="cellIs" dxfId="1272" priority="14" operator="equal">
      <formula>"Adecuado"</formula>
    </cfRule>
    <cfRule type="cellIs" dxfId="1271" priority="15" operator="equal">
      <formula>"en riesgo"</formula>
    </cfRule>
  </conditionalFormatting>
  <conditionalFormatting sqref="J73:K73">
    <cfRule type="cellIs" dxfId="1270" priority="12" operator="equal">
      <formula>"Adecuado"</formula>
    </cfRule>
    <cfRule type="cellIs" dxfId="1269" priority="13" operator="equal">
      <formula>"en riesgo"</formula>
    </cfRule>
  </conditionalFormatting>
  <conditionalFormatting sqref="L73:M73">
    <cfRule type="cellIs" dxfId="1268" priority="10" operator="equal">
      <formula>"optimo"</formula>
    </cfRule>
    <cfRule type="cellIs" dxfId="1267" priority="11" operator="equal">
      <formula>"critico"</formula>
    </cfRule>
  </conditionalFormatting>
  <conditionalFormatting sqref="F75:M86">
    <cfRule type="expression" dxfId="1266" priority="9">
      <formula>+IF($AK75=0,1)</formula>
    </cfRule>
  </conditionalFormatting>
  <conditionalFormatting sqref="F103:G104">
    <cfRule type="expression" dxfId="1265" priority="8">
      <formula>+IF($G$102="No",1,0)</formula>
    </cfRule>
  </conditionalFormatting>
  <conditionalFormatting sqref="F51">
    <cfRule type="expression" dxfId="1264" priority="7">
      <formula>+IF($F$43="no",1,0)</formula>
    </cfRule>
  </conditionalFormatting>
  <conditionalFormatting sqref="I51">
    <cfRule type="expression" dxfId="1263" priority="6">
      <formula>+IF($F$51="no",1,0)</formula>
    </cfRule>
  </conditionalFormatting>
  <conditionalFormatting sqref="F33:M33">
    <cfRule type="expression" dxfId="1262" priority="5">
      <formula>+IF($Q$30="NA",1,0)</formula>
    </cfRule>
  </conditionalFormatting>
  <conditionalFormatting sqref="F33:M33">
    <cfRule type="expression" dxfId="1261" priority="4">
      <formula>+IF($Q$33=0,1,0)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6">
    <tabColor rgb="FF0070C0"/>
  </sheetPr>
  <dimension ref="B1:AV113"/>
  <sheetViews>
    <sheetView zoomScale="90" zoomScaleNormal="90" workbookViewId="0">
      <selection activeCell="P1" sqref="P1"/>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287</v>
      </c>
      <c r="O10" s="2"/>
    </row>
    <row r="11" spans="2:24" ht="3.95" customHeight="1" x14ac:dyDescent="0.25">
      <c r="B11" s="2"/>
      <c r="D11" s="6"/>
      <c r="O11" s="2"/>
    </row>
    <row r="12" spans="2:24" ht="36" customHeight="1" x14ac:dyDescent="0.25">
      <c r="B12" s="2"/>
      <c r="D12" s="338" t="s">
        <v>5</v>
      </c>
      <c r="E12" s="339"/>
      <c r="F12" s="340" t="s">
        <v>288</v>
      </c>
      <c r="G12" s="341"/>
      <c r="H12" s="341"/>
      <c r="I12" s="341"/>
      <c r="J12" s="341"/>
      <c r="K12" s="341"/>
      <c r="L12" s="341"/>
      <c r="M12" s="342"/>
      <c r="O12" s="2"/>
      <c r="W12" s="3" t="str">
        <f>+F23</f>
        <v>Cuatrimestral</v>
      </c>
      <c r="X12" s="3" t="str">
        <f>+F71</f>
        <v>Abril</v>
      </c>
    </row>
    <row r="13" spans="2:24" ht="3.95" customHeight="1" x14ac:dyDescent="0.25">
      <c r="B13" s="2"/>
      <c r="O13" s="2"/>
    </row>
    <row r="14" spans="2:24" ht="38.25" customHeight="1" x14ac:dyDescent="0.25">
      <c r="B14" s="2"/>
      <c r="D14" s="338" t="s">
        <v>6</v>
      </c>
      <c r="E14" s="339"/>
      <c r="F14" s="340" t="s">
        <v>1075</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17">
        <v>0.98</v>
      </c>
      <c r="G22" s="337" t="s">
        <v>9</v>
      </c>
      <c r="H22" s="337"/>
      <c r="I22" s="17">
        <v>0.98</v>
      </c>
      <c r="K22" s="337" t="s">
        <v>10</v>
      </c>
      <c r="L22" s="337"/>
      <c r="M22" s="9" t="s">
        <v>496</v>
      </c>
      <c r="O22" s="2"/>
    </row>
    <row r="23" spans="2:17" ht="19.5" customHeight="1" x14ac:dyDescent="0.25">
      <c r="B23" s="2"/>
      <c r="D23" s="337" t="s">
        <v>11</v>
      </c>
      <c r="E23" s="337"/>
      <c r="F23" s="4" t="s">
        <v>1069</v>
      </c>
      <c r="G23" s="337" t="s">
        <v>12</v>
      </c>
      <c r="H23" s="337"/>
      <c r="I23" s="4" t="s">
        <v>497</v>
      </c>
      <c r="K23" s="337" t="s">
        <v>13</v>
      </c>
      <c r="L23" s="337"/>
      <c r="M23" s="9" t="s">
        <v>496</v>
      </c>
      <c r="O23" s="2"/>
    </row>
    <row r="24" spans="2:17" ht="20.100000000000001" customHeight="1" x14ac:dyDescent="0.25">
      <c r="B24" s="2"/>
      <c r="D24" s="337" t="s">
        <v>14</v>
      </c>
      <c r="E24" s="337"/>
      <c r="F24" s="4" t="s">
        <v>81</v>
      </c>
      <c r="G24" s="337" t="s">
        <v>15</v>
      </c>
      <c r="H24" s="337"/>
      <c r="I24" s="4" t="s">
        <v>103</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soporte</v>
      </c>
    </row>
    <row r="31" spans="2:17" ht="24" customHeight="1" x14ac:dyDescent="0.25">
      <c r="B31" s="2"/>
      <c r="D31" s="347"/>
      <c r="E31" s="348"/>
      <c r="F31" s="4" t="s">
        <v>257</v>
      </c>
      <c r="G31" s="340" t="s">
        <v>258</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1602</v>
      </c>
      <c r="G33" s="340" t="s">
        <v>1550</v>
      </c>
      <c r="H33" s="341"/>
      <c r="I33" s="341"/>
      <c r="J33" s="341"/>
      <c r="K33" s="341"/>
      <c r="L33" s="341"/>
      <c r="M33" s="342"/>
      <c r="O33" s="2"/>
      <c r="Q33" s="3">
        <f>+IFERROR(IF(VLOOKUP(G33,base!$A$26:$C$40,3,FALSE)=F31,1,0),"")</f>
        <v>1</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1718</v>
      </c>
      <c r="G35" s="340" t="s">
        <v>1595</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2</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500</v>
      </c>
      <c r="G45" s="340" t="s">
        <v>512</v>
      </c>
      <c r="H45" s="341"/>
      <c r="I45" s="341"/>
      <c r="J45" s="341"/>
      <c r="K45" s="341"/>
      <c r="L45" s="341"/>
      <c r="M45" s="342"/>
      <c r="O45" s="2"/>
      <c r="Q45" s="3" t="str">
        <f>+IFERROR(VLOOKUP(G45,base!$A$41:$C$45,3,FALSE),"")</f>
        <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c r="G47" s="340"/>
      <c r="H47" s="341"/>
      <c r="I47" s="341"/>
      <c r="J47" s="341"/>
      <c r="K47" s="341"/>
      <c r="L47" s="341"/>
      <c r="M47" s="342"/>
      <c r="O47" s="2"/>
      <c r="Q47" s="3" t="e">
        <f>+IF(VLOOKUP(G47,base!$A$46:$C$66,3,FALSE)=F45,1,0)</f>
        <v>#N/A</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920</v>
      </c>
      <c r="G49" s="340" t="s">
        <v>899</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29"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37" t="s">
        <v>34</v>
      </c>
      <c r="E59" s="337"/>
      <c r="F59" s="344" t="s">
        <v>1076</v>
      </c>
      <c r="G59" s="344"/>
      <c r="H59" s="344"/>
      <c r="I59" s="344"/>
      <c r="J59" s="344"/>
      <c r="K59" s="344"/>
      <c r="L59" s="344"/>
      <c r="M59" s="344"/>
      <c r="O59" s="2"/>
    </row>
    <row r="60" spans="2:15" ht="66" customHeight="1" x14ac:dyDescent="0.25">
      <c r="B60" s="2"/>
      <c r="D60" s="359" t="s">
        <v>35</v>
      </c>
      <c r="E60" s="359"/>
      <c r="F60" s="344" t="s">
        <v>1077</v>
      </c>
      <c r="G60" s="344"/>
      <c r="H60" s="344"/>
      <c r="I60" s="344"/>
      <c r="J60" s="344"/>
      <c r="K60" s="344"/>
      <c r="L60" s="344"/>
      <c r="M60" s="344"/>
      <c r="O60" s="2"/>
    </row>
    <row r="61" spans="2:15" ht="41.25" customHeight="1" x14ac:dyDescent="0.25">
      <c r="B61" s="2"/>
      <c r="D61" s="359" t="s">
        <v>36</v>
      </c>
      <c r="E61" s="359"/>
      <c r="F61" s="340" t="s">
        <v>1078</v>
      </c>
      <c r="G61" s="341"/>
      <c r="H61" s="341"/>
      <c r="I61" s="341"/>
      <c r="J61" s="341"/>
      <c r="K61" s="341"/>
      <c r="L61" s="341"/>
      <c r="M61" s="342"/>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4</v>
      </c>
    </row>
    <row r="70" spans="2:37" ht="3.95" customHeight="1" x14ac:dyDescent="0.25">
      <c r="B70" s="2"/>
      <c r="D70" s="7"/>
      <c r="E70" s="7"/>
      <c r="O70" s="2"/>
    </row>
    <row r="71" spans="2:37" ht="18.75" customHeight="1" x14ac:dyDescent="0.25">
      <c r="B71" s="2"/>
      <c r="D71" s="343" t="s">
        <v>39</v>
      </c>
      <c r="E71" s="343"/>
      <c r="F71" s="4" t="s">
        <v>48</v>
      </c>
      <c r="G71" s="3">
        <v>4</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60" t="s">
        <v>48</v>
      </c>
      <c r="E78" s="360"/>
      <c r="F78" s="16" t="s">
        <v>500</v>
      </c>
      <c r="G78" s="16">
        <v>1</v>
      </c>
      <c r="H78" s="16">
        <v>0.999</v>
      </c>
      <c r="I78" s="16">
        <v>0.99</v>
      </c>
      <c r="J78" s="16">
        <v>0.98899999999999999</v>
      </c>
      <c r="K78" s="16">
        <v>0.98099999999999998</v>
      </c>
      <c r="L78" s="16">
        <v>0.98</v>
      </c>
      <c r="M78" s="16" t="s">
        <v>500</v>
      </c>
      <c r="O78" s="2"/>
      <c r="AE78" s="3" t="s">
        <v>48</v>
      </c>
      <c r="AF78" s="3">
        <v>4</v>
      </c>
      <c r="AG78" s="3">
        <f t="shared" si="0"/>
        <v>1</v>
      </c>
      <c r="AH78" s="3">
        <f>+IF(AG78=0,0,IF(AG78=1,(SUM($AG$75:AG78)-1),1))</f>
        <v>0</v>
      </c>
      <c r="AI78" s="3">
        <f t="shared" si="1"/>
        <v>0</v>
      </c>
      <c r="AJ78" s="3">
        <f t="shared" si="2"/>
        <v>1</v>
      </c>
      <c r="AK78" s="3">
        <f t="shared" si="3"/>
        <v>1</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1</v>
      </c>
      <c r="AI79" s="3">
        <f t="shared" si="1"/>
        <v>0</v>
      </c>
      <c r="AJ79" s="3">
        <f t="shared" si="2"/>
        <v>0</v>
      </c>
      <c r="AK79" s="3">
        <f t="shared" si="3"/>
        <v>0</v>
      </c>
    </row>
    <row r="80" spans="2:37" x14ac:dyDescent="0.25">
      <c r="B80" s="2"/>
      <c r="D80" s="360" t="s">
        <v>50</v>
      </c>
      <c r="E80" s="360"/>
      <c r="F80" s="16" t="s">
        <v>500</v>
      </c>
      <c r="G80" s="16" t="s">
        <v>500</v>
      </c>
      <c r="H80" s="16" t="s">
        <v>500</v>
      </c>
      <c r="I80" s="16" t="s">
        <v>500</v>
      </c>
      <c r="J80" s="16" t="s">
        <v>500</v>
      </c>
      <c r="K80" s="16" t="s">
        <v>500</v>
      </c>
      <c r="L80" s="16" t="s">
        <v>500</v>
      </c>
      <c r="M80" s="16" t="s">
        <v>500</v>
      </c>
      <c r="O80" s="2"/>
      <c r="AE80" s="3" t="s">
        <v>50</v>
      </c>
      <c r="AF80" s="3">
        <v>6</v>
      </c>
      <c r="AG80" s="3">
        <f t="shared" si="0"/>
        <v>1</v>
      </c>
      <c r="AH80" s="3">
        <f>+IF(AG80=0,0,IF(AG80=1,(SUM($AG$75:AG80)-1),1))</f>
        <v>2</v>
      </c>
      <c r="AI80" s="3">
        <f t="shared" si="1"/>
        <v>0</v>
      </c>
      <c r="AJ80" s="3">
        <f t="shared" si="2"/>
        <v>0</v>
      </c>
      <c r="AK80" s="3">
        <f t="shared" si="3"/>
        <v>0</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3</v>
      </c>
      <c r="AI81" s="3">
        <f t="shared" si="1"/>
        <v>0</v>
      </c>
      <c r="AJ81" s="3">
        <f t="shared" si="2"/>
        <v>0</v>
      </c>
      <c r="AK81" s="3">
        <f t="shared" si="3"/>
        <v>0</v>
      </c>
    </row>
    <row r="82" spans="2:37" x14ac:dyDescent="0.25">
      <c r="B82" s="2"/>
      <c r="D82" s="360" t="s">
        <v>54</v>
      </c>
      <c r="E82" s="360"/>
      <c r="F82" s="16" t="s">
        <v>500</v>
      </c>
      <c r="G82" s="16">
        <v>1</v>
      </c>
      <c r="H82" s="16">
        <v>0.999</v>
      </c>
      <c r="I82" s="16">
        <v>0.99</v>
      </c>
      <c r="J82" s="16">
        <v>0.98899999999999999</v>
      </c>
      <c r="K82" s="16">
        <v>0.98099999999999998</v>
      </c>
      <c r="L82" s="16">
        <v>0.98</v>
      </c>
      <c r="M82" s="16" t="s">
        <v>500</v>
      </c>
      <c r="O82" s="2"/>
      <c r="AE82" s="3" t="s">
        <v>54</v>
      </c>
      <c r="AF82" s="3">
        <v>8</v>
      </c>
      <c r="AG82" s="3">
        <f t="shared" si="0"/>
        <v>1</v>
      </c>
      <c r="AH82" s="3">
        <f>+IF(AG82=0,0,IF(AG82=1,(SUM($AG$75:AG82)-1),1))</f>
        <v>4</v>
      </c>
      <c r="AI82" s="3">
        <f t="shared" si="1"/>
        <v>1</v>
      </c>
      <c r="AJ82" s="3">
        <f t="shared" si="2"/>
        <v>0</v>
      </c>
      <c r="AK82" s="3">
        <f t="shared" si="3"/>
        <v>1</v>
      </c>
    </row>
    <row r="83" spans="2:37" x14ac:dyDescent="0.25">
      <c r="B83" s="2"/>
      <c r="D83" s="360" t="s">
        <v>55</v>
      </c>
      <c r="E83" s="360"/>
      <c r="F83" s="16" t="s">
        <v>500</v>
      </c>
      <c r="G83" s="16" t="s">
        <v>500</v>
      </c>
      <c r="H83" s="16" t="s">
        <v>500</v>
      </c>
      <c r="I83" s="16" t="s">
        <v>500</v>
      </c>
      <c r="J83" s="16" t="s">
        <v>500</v>
      </c>
      <c r="K83" s="16" t="s">
        <v>500</v>
      </c>
      <c r="L83" s="16" t="s">
        <v>500</v>
      </c>
      <c r="M83" s="16" t="s">
        <v>500</v>
      </c>
      <c r="O83" s="2"/>
      <c r="AE83" s="3" t="s">
        <v>55</v>
      </c>
      <c r="AF83" s="3">
        <v>9</v>
      </c>
      <c r="AG83" s="3">
        <f t="shared" si="0"/>
        <v>1</v>
      </c>
      <c r="AH83" s="3">
        <f>+IF(AG83=0,0,IF(AG83=1,(SUM($AG$75:AG83)-1),1))</f>
        <v>5</v>
      </c>
      <c r="AI83" s="3">
        <f t="shared" si="1"/>
        <v>0</v>
      </c>
      <c r="AJ83" s="3">
        <f t="shared" si="2"/>
        <v>0</v>
      </c>
      <c r="AK83" s="3">
        <f t="shared" si="3"/>
        <v>0</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6</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7</v>
      </c>
      <c r="AI85" s="3">
        <f t="shared" si="1"/>
        <v>0</v>
      </c>
      <c r="AJ85" s="3">
        <f t="shared" si="2"/>
        <v>0</v>
      </c>
      <c r="AK85" s="3">
        <f t="shared" si="3"/>
        <v>0</v>
      </c>
    </row>
    <row r="86" spans="2:37" x14ac:dyDescent="0.25">
      <c r="B86" s="2"/>
      <c r="D86" s="360" t="s">
        <v>58</v>
      </c>
      <c r="E86" s="360"/>
      <c r="F86" s="16" t="s">
        <v>500</v>
      </c>
      <c r="G86" s="16">
        <v>1</v>
      </c>
      <c r="H86" s="16">
        <v>0.999</v>
      </c>
      <c r="I86" s="16">
        <v>0.99</v>
      </c>
      <c r="J86" s="16">
        <v>0.98899999999999999</v>
      </c>
      <c r="K86" s="16">
        <v>0.98099999999999998</v>
      </c>
      <c r="L86" s="16">
        <v>0.98</v>
      </c>
      <c r="M86" s="16" t="s">
        <v>500</v>
      </c>
      <c r="O86" s="2"/>
      <c r="AE86" s="3" t="s">
        <v>58</v>
      </c>
      <c r="AF86" s="65">
        <v>12</v>
      </c>
      <c r="AG86" s="3">
        <f t="shared" si="0"/>
        <v>1</v>
      </c>
      <c r="AH86" s="3">
        <f>+IF(AG86=0,0,IF(AG86=1,(SUM($AG$75:AG86)-1),1))</f>
        <v>8</v>
      </c>
      <c r="AI86" s="3">
        <f t="shared" si="1"/>
        <v>1</v>
      </c>
      <c r="AJ86" s="3">
        <f t="shared" si="2"/>
        <v>0</v>
      </c>
      <c r="AK86" s="3">
        <f t="shared" si="3"/>
        <v>1</v>
      </c>
    </row>
    <row r="87" spans="2:37" ht="3.75" customHeight="1" x14ac:dyDescent="0.25">
      <c r="B87" s="2"/>
      <c r="O87" s="2"/>
    </row>
    <row r="88" spans="2:37" ht="66" customHeight="1" x14ac:dyDescent="0.25">
      <c r="B88" s="2"/>
      <c r="D88" s="338" t="s">
        <v>59</v>
      </c>
      <c r="E88" s="339"/>
      <c r="F88" s="340" t="s">
        <v>2000</v>
      </c>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2" customHeight="1" x14ac:dyDescent="0.25">
      <c r="B97" s="2"/>
      <c r="D97" s="359" t="s">
        <v>35</v>
      </c>
      <c r="E97" s="359"/>
      <c r="F97" s="344" t="s">
        <v>1079</v>
      </c>
      <c r="G97" s="344"/>
      <c r="H97" s="344"/>
      <c r="I97" s="344"/>
      <c r="J97" s="344"/>
      <c r="K97" s="344"/>
      <c r="L97" s="344"/>
      <c r="M97" s="344"/>
      <c r="O97" s="2"/>
    </row>
    <row r="98" spans="2:15" ht="42" customHeight="1" x14ac:dyDescent="0.25">
      <c r="B98" s="2"/>
      <c r="D98" s="359" t="s">
        <v>36</v>
      </c>
      <c r="E98" s="359"/>
      <c r="F98" s="344" t="s">
        <v>1074</v>
      </c>
      <c r="G98" s="344"/>
      <c r="H98" s="344"/>
      <c r="I98" s="344"/>
      <c r="J98" s="344"/>
      <c r="K98" s="344"/>
      <c r="L98" s="344"/>
      <c r="M98" s="344"/>
      <c r="O98" s="2"/>
    </row>
    <row r="99" spans="2:15" ht="3.95" customHeight="1" x14ac:dyDescent="0.25">
      <c r="B99" s="2"/>
      <c r="O99" s="2"/>
    </row>
    <row r="100" spans="2:15" ht="58.5" customHeight="1" x14ac:dyDescent="0.25">
      <c r="B100" s="2"/>
      <c r="D100" s="338" t="s">
        <v>62</v>
      </c>
      <c r="E100" s="339"/>
      <c r="F100" s="333"/>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496</v>
      </c>
      <c r="K102" s="20"/>
      <c r="O102" s="2"/>
    </row>
    <row r="103" spans="2:15" ht="19.5" customHeight="1" x14ac:dyDescent="0.25">
      <c r="B103" s="2"/>
      <c r="D103" s="331"/>
      <c r="E103" s="332"/>
      <c r="F103" s="19" t="s">
        <v>66</v>
      </c>
      <c r="G103" s="4" t="s">
        <v>277</v>
      </c>
      <c r="K103" s="21"/>
      <c r="O103" s="2"/>
    </row>
    <row r="104" spans="2:15" ht="27.75" customHeight="1" x14ac:dyDescent="0.25">
      <c r="B104" s="2"/>
      <c r="D104" s="331"/>
      <c r="E104" s="332"/>
      <c r="F104" s="19" t="s">
        <v>67</v>
      </c>
      <c r="G104" s="333" t="s">
        <v>1835</v>
      </c>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Director(a) Administrativa</v>
      </c>
      <c r="H108" s="334"/>
      <c r="I108" s="334"/>
      <c r="J108" s="334"/>
      <c r="K108" s="334"/>
      <c r="L108" s="334"/>
      <c r="M108" s="335"/>
      <c r="O108" s="2"/>
    </row>
    <row r="109" spans="2:15" ht="17.25" customHeight="1" x14ac:dyDescent="0.25">
      <c r="B109" s="2"/>
      <c r="D109" s="331"/>
      <c r="E109" s="332"/>
      <c r="F109" s="19" t="s">
        <v>2042</v>
      </c>
      <c r="G109" s="333" t="str">
        <f>+IF(M23="Si","Coordinador(a) Planeación y Sistemas","")</f>
        <v>Coordinador(a) Planeación y Sistemas</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260" priority="33">
      <formula>+IF($F$43="no",1,0)</formula>
    </cfRule>
  </conditionalFormatting>
  <conditionalFormatting sqref="F32:M32">
    <cfRule type="expression" dxfId="1259" priority="32">
      <formula>+IF($Q$30="NA",1,0)</formula>
    </cfRule>
  </conditionalFormatting>
  <conditionalFormatting sqref="F47:M47">
    <cfRule type="expression" dxfId="1258" priority="30">
      <formula>+IF($Q$47=0,1,0)</formula>
    </cfRule>
  </conditionalFormatting>
  <conditionalFormatting sqref="F73:G73">
    <cfRule type="cellIs" dxfId="1257" priority="16" operator="equal">
      <formula>"optimo"</formula>
    </cfRule>
    <cfRule type="cellIs" dxfId="1256" priority="17" operator="equal">
      <formula>"critico"</formula>
    </cfRule>
  </conditionalFormatting>
  <conditionalFormatting sqref="H73:I73">
    <cfRule type="cellIs" dxfId="1255" priority="14" operator="equal">
      <formula>"Adecuado"</formula>
    </cfRule>
    <cfRule type="cellIs" dxfId="1254" priority="15" operator="equal">
      <formula>"en riesgo"</formula>
    </cfRule>
  </conditionalFormatting>
  <conditionalFormatting sqref="J73:K73">
    <cfRule type="cellIs" dxfId="1253" priority="12" operator="equal">
      <formula>"Adecuado"</formula>
    </cfRule>
    <cfRule type="cellIs" dxfId="1252" priority="13" operator="equal">
      <formula>"en riesgo"</formula>
    </cfRule>
  </conditionalFormatting>
  <conditionalFormatting sqref="L73:M73">
    <cfRule type="cellIs" dxfId="1251" priority="10" operator="equal">
      <formula>"optimo"</formula>
    </cfRule>
    <cfRule type="cellIs" dxfId="1250" priority="11" operator="equal">
      <formula>"critico"</formula>
    </cfRule>
  </conditionalFormatting>
  <conditionalFormatting sqref="F75:M86">
    <cfRule type="expression" dxfId="1249" priority="9">
      <formula>+IF($AK75=0,1)</formula>
    </cfRule>
  </conditionalFormatting>
  <conditionalFormatting sqref="F103:G104">
    <cfRule type="expression" dxfId="1248" priority="8">
      <formula>+IF($G$102="No",1,0)</formula>
    </cfRule>
  </conditionalFormatting>
  <conditionalFormatting sqref="F51">
    <cfRule type="expression" dxfId="1247" priority="7">
      <formula>+IF($F$43="no",1,0)</formula>
    </cfRule>
  </conditionalFormatting>
  <conditionalFormatting sqref="I51">
    <cfRule type="expression" dxfId="1246" priority="6">
      <formula>+IF($F$51="no",1,0)</formula>
    </cfRule>
  </conditionalFormatting>
  <conditionalFormatting sqref="F33:M33">
    <cfRule type="expression" dxfId="1245" priority="5">
      <formula>+IF($Q$30="NA",1,0)</formula>
    </cfRule>
  </conditionalFormatting>
  <conditionalFormatting sqref="F33:M33">
    <cfRule type="expression" dxfId="1244" priority="4">
      <formula>+IF($Q$33=0,1,0)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7">
    <tabColor rgb="FF0070C0"/>
  </sheetPr>
  <dimension ref="B1:AV113"/>
  <sheetViews>
    <sheetView zoomScale="90" zoomScaleNormal="90" workbookViewId="0">
      <selection activeCell="P1" sqref="P1"/>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289</v>
      </c>
      <c r="O10" s="2"/>
    </row>
    <row r="11" spans="2:24" ht="3.95" customHeight="1" x14ac:dyDescent="0.25">
      <c r="B11" s="2"/>
      <c r="D11" s="6"/>
      <c r="O11" s="2"/>
    </row>
    <row r="12" spans="2:24" ht="36" customHeight="1" x14ac:dyDescent="0.25">
      <c r="B12" s="2"/>
      <c r="D12" s="338" t="s">
        <v>5</v>
      </c>
      <c r="E12" s="339"/>
      <c r="F12" s="340" t="s">
        <v>290</v>
      </c>
      <c r="G12" s="341"/>
      <c r="H12" s="341"/>
      <c r="I12" s="341"/>
      <c r="J12" s="341"/>
      <c r="K12" s="341"/>
      <c r="L12" s="341"/>
      <c r="M12" s="342"/>
      <c r="O12" s="2"/>
      <c r="W12" s="3" t="str">
        <f>+F23</f>
        <v>Cuatrimestral</v>
      </c>
      <c r="X12" s="3" t="str">
        <f>+F71</f>
        <v>Abril</v>
      </c>
    </row>
    <row r="13" spans="2:24" ht="3.95" customHeight="1" x14ac:dyDescent="0.25">
      <c r="B13" s="2"/>
      <c r="O13" s="2"/>
    </row>
    <row r="14" spans="2:24" ht="38.25" customHeight="1" x14ac:dyDescent="0.25">
      <c r="B14" s="2"/>
      <c r="D14" s="338" t="s">
        <v>6</v>
      </c>
      <c r="E14" s="339"/>
      <c r="F14" s="340" t="s">
        <v>1070</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17">
        <v>0.97</v>
      </c>
      <c r="G22" s="337" t="s">
        <v>9</v>
      </c>
      <c r="H22" s="337"/>
      <c r="I22" s="17">
        <v>0.97</v>
      </c>
      <c r="K22" s="337" t="s">
        <v>10</v>
      </c>
      <c r="L22" s="337"/>
      <c r="M22" s="9" t="s">
        <v>496</v>
      </c>
      <c r="O22" s="2"/>
    </row>
    <row r="23" spans="2:17" ht="19.5" customHeight="1" x14ac:dyDescent="0.25">
      <c r="B23" s="2"/>
      <c r="D23" s="337" t="s">
        <v>11</v>
      </c>
      <c r="E23" s="337"/>
      <c r="F23" s="4" t="s">
        <v>1069</v>
      </c>
      <c r="G23" s="337" t="s">
        <v>12</v>
      </c>
      <c r="H23" s="337"/>
      <c r="I23" s="4" t="s">
        <v>497</v>
      </c>
      <c r="K23" s="337" t="s">
        <v>13</v>
      </c>
      <c r="L23" s="337"/>
      <c r="M23" s="9" t="s">
        <v>496</v>
      </c>
      <c r="O23" s="2"/>
    </row>
    <row r="24" spans="2:17" ht="20.100000000000001" customHeight="1" x14ac:dyDescent="0.25">
      <c r="B24" s="2"/>
      <c r="D24" s="337" t="s">
        <v>14</v>
      </c>
      <c r="E24" s="337"/>
      <c r="F24" s="4" t="s">
        <v>81</v>
      </c>
      <c r="G24" s="337" t="s">
        <v>15</v>
      </c>
      <c r="H24" s="337"/>
      <c r="I24" s="4" t="s">
        <v>103</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soporte</v>
      </c>
    </row>
    <row r="31" spans="2:17" ht="24" customHeight="1" x14ac:dyDescent="0.25">
      <c r="B31" s="2"/>
      <c r="D31" s="347"/>
      <c r="E31" s="348"/>
      <c r="F31" s="4" t="s">
        <v>257</v>
      </c>
      <c r="G31" s="340" t="s">
        <v>258</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1602</v>
      </c>
      <c r="G33" s="340" t="s">
        <v>1550</v>
      </c>
      <c r="H33" s="341"/>
      <c r="I33" s="341"/>
      <c r="J33" s="341"/>
      <c r="K33" s="341"/>
      <c r="L33" s="341"/>
      <c r="M33" s="342"/>
      <c r="O33" s="2"/>
      <c r="Q33" s="3">
        <f>+IFERROR(IF(VLOOKUP(G33,base!$A$26:$C$40,3,FALSE)=F31,1,0),"")</f>
        <v>1</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1718</v>
      </c>
      <c r="G35" s="340" t="s">
        <v>1595</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2</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500</v>
      </c>
      <c r="G45" s="340" t="s">
        <v>512</v>
      </c>
      <c r="H45" s="341"/>
      <c r="I45" s="341"/>
      <c r="J45" s="341"/>
      <c r="K45" s="341"/>
      <c r="L45" s="341"/>
      <c r="M45" s="342"/>
      <c r="O45" s="2"/>
      <c r="Q45" s="3" t="str">
        <f>+IFERROR(VLOOKUP(G45,base!$A$41:$C$45,3,FALSE),"")</f>
        <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c r="G47" s="340"/>
      <c r="H47" s="341"/>
      <c r="I47" s="341"/>
      <c r="J47" s="341"/>
      <c r="K47" s="341"/>
      <c r="L47" s="341"/>
      <c r="M47" s="342"/>
      <c r="O47" s="2"/>
      <c r="Q47" s="3" t="e">
        <f>+IF(VLOOKUP(G47,base!$A$46:$C$66,3,FALSE)=F45,1,0)</f>
        <v>#N/A</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920</v>
      </c>
      <c r="G49" s="340" t="s">
        <v>899</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29"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37" t="s">
        <v>34</v>
      </c>
      <c r="E59" s="337"/>
      <c r="F59" s="344" t="s">
        <v>1071</v>
      </c>
      <c r="G59" s="344"/>
      <c r="H59" s="344"/>
      <c r="I59" s="344"/>
      <c r="J59" s="344"/>
      <c r="K59" s="344"/>
      <c r="L59" s="344"/>
      <c r="M59" s="344"/>
      <c r="O59" s="2"/>
    </row>
    <row r="60" spans="2:15" ht="66" customHeight="1" x14ac:dyDescent="0.25">
      <c r="B60" s="2"/>
      <c r="D60" s="359" t="s">
        <v>35</v>
      </c>
      <c r="E60" s="359"/>
      <c r="F60" s="344" t="s">
        <v>1072</v>
      </c>
      <c r="G60" s="344"/>
      <c r="H60" s="344"/>
      <c r="I60" s="344"/>
      <c r="J60" s="344"/>
      <c r="K60" s="344"/>
      <c r="L60" s="344"/>
      <c r="M60" s="344"/>
      <c r="O60" s="2"/>
    </row>
    <row r="61" spans="2:15" ht="41.25" customHeight="1" x14ac:dyDescent="0.25">
      <c r="B61" s="2"/>
      <c r="D61" s="359" t="s">
        <v>36</v>
      </c>
      <c r="E61" s="359"/>
      <c r="F61" s="340" t="s">
        <v>1073</v>
      </c>
      <c r="G61" s="341"/>
      <c r="H61" s="341"/>
      <c r="I61" s="341"/>
      <c r="J61" s="341"/>
      <c r="K61" s="341"/>
      <c r="L61" s="341"/>
      <c r="M61" s="342"/>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4</v>
      </c>
    </row>
    <row r="70" spans="2:37" ht="3.95" customHeight="1" x14ac:dyDescent="0.25">
      <c r="B70" s="2"/>
      <c r="D70" s="7"/>
      <c r="E70" s="7"/>
      <c r="O70" s="2"/>
    </row>
    <row r="71" spans="2:37" ht="18.75" customHeight="1" x14ac:dyDescent="0.25">
      <c r="B71" s="2"/>
      <c r="D71" s="343" t="s">
        <v>39</v>
      </c>
      <c r="E71" s="343"/>
      <c r="F71" s="4" t="s">
        <v>48</v>
      </c>
      <c r="G71" s="3">
        <v>4</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60" t="s">
        <v>48</v>
      </c>
      <c r="E78" s="360"/>
      <c r="F78" s="16" t="s">
        <v>500</v>
      </c>
      <c r="G78" s="16">
        <v>1</v>
      </c>
      <c r="H78" s="16">
        <v>0.999</v>
      </c>
      <c r="I78" s="16">
        <v>0.99</v>
      </c>
      <c r="J78" s="16">
        <v>0.98899999999999999</v>
      </c>
      <c r="K78" s="16">
        <v>0.97099999999999997</v>
      </c>
      <c r="L78" s="16">
        <v>0.97</v>
      </c>
      <c r="M78" s="16" t="s">
        <v>500</v>
      </c>
      <c r="O78" s="2"/>
      <c r="AE78" s="3" t="s">
        <v>48</v>
      </c>
      <c r="AF78" s="3">
        <v>4</v>
      </c>
      <c r="AG78" s="3">
        <f t="shared" si="0"/>
        <v>1</v>
      </c>
      <c r="AH78" s="3">
        <f>+IF(AG78=0,0,IF(AG78=1,(SUM($AG$75:AG78)-1),1))</f>
        <v>0</v>
      </c>
      <c r="AI78" s="3">
        <f t="shared" si="1"/>
        <v>0</v>
      </c>
      <c r="AJ78" s="3">
        <f t="shared" si="2"/>
        <v>1</v>
      </c>
      <c r="AK78" s="3">
        <f t="shared" si="3"/>
        <v>1</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1</v>
      </c>
      <c r="AI79" s="3">
        <f t="shared" si="1"/>
        <v>0</v>
      </c>
      <c r="AJ79" s="3">
        <f t="shared" si="2"/>
        <v>0</v>
      </c>
      <c r="AK79" s="3">
        <f t="shared" si="3"/>
        <v>0</v>
      </c>
    </row>
    <row r="80" spans="2:37" x14ac:dyDescent="0.25">
      <c r="B80" s="2"/>
      <c r="D80" s="360" t="s">
        <v>50</v>
      </c>
      <c r="E80" s="360"/>
      <c r="F80" s="16" t="s">
        <v>500</v>
      </c>
      <c r="G80" s="16" t="s">
        <v>500</v>
      </c>
      <c r="H80" s="16" t="s">
        <v>500</v>
      </c>
      <c r="I80" s="16" t="s">
        <v>500</v>
      </c>
      <c r="J80" s="16" t="s">
        <v>500</v>
      </c>
      <c r="K80" s="16" t="s">
        <v>500</v>
      </c>
      <c r="L80" s="16" t="s">
        <v>500</v>
      </c>
      <c r="M80" s="16" t="s">
        <v>500</v>
      </c>
      <c r="O80" s="2"/>
      <c r="AE80" s="3" t="s">
        <v>50</v>
      </c>
      <c r="AF80" s="3">
        <v>6</v>
      </c>
      <c r="AG80" s="3">
        <f t="shared" si="0"/>
        <v>1</v>
      </c>
      <c r="AH80" s="3">
        <f>+IF(AG80=0,0,IF(AG80=1,(SUM($AG$75:AG80)-1),1))</f>
        <v>2</v>
      </c>
      <c r="AI80" s="3">
        <f t="shared" si="1"/>
        <v>0</v>
      </c>
      <c r="AJ80" s="3">
        <f t="shared" si="2"/>
        <v>0</v>
      </c>
      <c r="AK80" s="3">
        <f t="shared" si="3"/>
        <v>0</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3</v>
      </c>
      <c r="AI81" s="3">
        <f t="shared" si="1"/>
        <v>0</v>
      </c>
      <c r="AJ81" s="3">
        <f t="shared" si="2"/>
        <v>0</v>
      </c>
      <c r="AK81" s="3">
        <f t="shared" si="3"/>
        <v>0</v>
      </c>
    </row>
    <row r="82" spans="2:37" x14ac:dyDescent="0.25">
      <c r="B82" s="2"/>
      <c r="D82" s="360" t="s">
        <v>54</v>
      </c>
      <c r="E82" s="360"/>
      <c r="F82" s="16" t="s">
        <v>500</v>
      </c>
      <c r="G82" s="16">
        <v>1</v>
      </c>
      <c r="H82" s="16">
        <v>0.999</v>
      </c>
      <c r="I82" s="16">
        <v>0.99</v>
      </c>
      <c r="J82" s="16">
        <v>0.98899999999999999</v>
      </c>
      <c r="K82" s="16">
        <v>0.97099999999999997</v>
      </c>
      <c r="L82" s="16">
        <v>0.97</v>
      </c>
      <c r="M82" s="16" t="s">
        <v>500</v>
      </c>
      <c r="O82" s="2"/>
      <c r="AE82" s="3" t="s">
        <v>54</v>
      </c>
      <c r="AF82" s="3">
        <v>8</v>
      </c>
      <c r="AG82" s="3">
        <f t="shared" si="0"/>
        <v>1</v>
      </c>
      <c r="AH82" s="3">
        <f>+IF(AG82=0,0,IF(AG82=1,(SUM($AG$75:AG82)-1),1))</f>
        <v>4</v>
      </c>
      <c r="AI82" s="3">
        <f t="shared" si="1"/>
        <v>1</v>
      </c>
      <c r="AJ82" s="3">
        <f t="shared" si="2"/>
        <v>0</v>
      </c>
      <c r="AK82" s="3">
        <f t="shared" si="3"/>
        <v>1</v>
      </c>
    </row>
    <row r="83" spans="2:37" x14ac:dyDescent="0.25">
      <c r="B83" s="2"/>
      <c r="D83" s="360" t="s">
        <v>55</v>
      </c>
      <c r="E83" s="360"/>
      <c r="F83" s="16" t="s">
        <v>500</v>
      </c>
      <c r="G83" s="16" t="s">
        <v>500</v>
      </c>
      <c r="H83" s="16" t="s">
        <v>500</v>
      </c>
      <c r="I83" s="16" t="s">
        <v>500</v>
      </c>
      <c r="J83" s="16" t="s">
        <v>500</v>
      </c>
      <c r="K83" s="16" t="s">
        <v>500</v>
      </c>
      <c r="L83" s="16" t="s">
        <v>500</v>
      </c>
      <c r="M83" s="16" t="s">
        <v>500</v>
      </c>
      <c r="O83" s="2"/>
      <c r="AE83" s="3" t="s">
        <v>55</v>
      </c>
      <c r="AF83" s="3">
        <v>9</v>
      </c>
      <c r="AG83" s="3">
        <f t="shared" si="0"/>
        <v>1</v>
      </c>
      <c r="AH83" s="3">
        <f>+IF(AG83=0,0,IF(AG83=1,(SUM($AG$75:AG83)-1),1))</f>
        <v>5</v>
      </c>
      <c r="AI83" s="3">
        <f t="shared" si="1"/>
        <v>0</v>
      </c>
      <c r="AJ83" s="3">
        <f t="shared" si="2"/>
        <v>0</v>
      </c>
      <c r="AK83" s="3">
        <f t="shared" si="3"/>
        <v>0</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6</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7</v>
      </c>
      <c r="AI85" s="3">
        <f t="shared" si="1"/>
        <v>0</v>
      </c>
      <c r="AJ85" s="3">
        <f t="shared" si="2"/>
        <v>0</v>
      </c>
      <c r="AK85" s="3">
        <f t="shared" si="3"/>
        <v>0</v>
      </c>
    </row>
    <row r="86" spans="2:37" x14ac:dyDescent="0.25">
      <c r="B86" s="2"/>
      <c r="D86" s="360" t="s">
        <v>58</v>
      </c>
      <c r="E86" s="360"/>
      <c r="F86" s="16" t="s">
        <v>500</v>
      </c>
      <c r="G86" s="16">
        <v>1</v>
      </c>
      <c r="H86" s="16">
        <v>0.999</v>
      </c>
      <c r="I86" s="16">
        <v>0.99</v>
      </c>
      <c r="J86" s="16">
        <v>0.98899999999999999</v>
      </c>
      <c r="K86" s="16">
        <v>0.97099999999999997</v>
      </c>
      <c r="L86" s="16">
        <v>0.97</v>
      </c>
      <c r="M86" s="16" t="s">
        <v>500</v>
      </c>
      <c r="O86" s="2"/>
      <c r="AE86" s="3" t="s">
        <v>58</v>
      </c>
      <c r="AF86" s="65">
        <v>12</v>
      </c>
      <c r="AG86" s="3">
        <f t="shared" si="0"/>
        <v>1</v>
      </c>
      <c r="AH86" s="3">
        <f>+IF(AG86=0,0,IF(AG86=1,(SUM($AG$75:AG86)-1),1))</f>
        <v>8</v>
      </c>
      <c r="AI86" s="3">
        <f t="shared" si="1"/>
        <v>1</v>
      </c>
      <c r="AJ86" s="3">
        <f t="shared" si="2"/>
        <v>0</v>
      </c>
      <c r="AK86" s="3">
        <f t="shared" si="3"/>
        <v>1</v>
      </c>
    </row>
    <row r="87" spans="2:37" ht="3.75" customHeight="1" x14ac:dyDescent="0.25">
      <c r="B87" s="2"/>
      <c r="O87" s="2"/>
    </row>
    <row r="88" spans="2:37" ht="66" customHeight="1" x14ac:dyDescent="0.25">
      <c r="B88" s="2"/>
      <c r="D88" s="338" t="s">
        <v>59</v>
      </c>
      <c r="E88" s="339"/>
      <c r="F88" s="340" t="s">
        <v>2000</v>
      </c>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2" customHeight="1" x14ac:dyDescent="0.25">
      <c r="B97" s="2"/>
      <c r="D97" s="359" t="s">
        <v>35</v>
      </c>
      <c r="E97" s="359"/>
      <c r="F97" s="344" t="s">
        <v>1074</v>
      </c>
      <c r="G97" s="344"/>
      <c r="H97" s="344"/>
      <c r="I97" s="344"/>
      <c r="J97" s="344"/>
      <c r="K97" s="344"/>
      <c r="L97" s="344"/>
      <c r="M97" s="344"/>
      <c r="O97" s="2"/>
    </row>
    <row r="98" spans="2:15" ht="42" customHeight="1" x14ac:dyDescent="0.25">
      <c r="B98" s="2"/>
      <c r="D98" s="359" t="s">
        <v>36</v>
      </c>
      <c r="E98" s="359"/>
      <c r="F98" s="344" t="s">
        <v>1074</v>
      </c>
      <c r="G98" s="344"/>
      <c r="H98" s="344"/>
      <c r="I98" s="344"/>
      <c r="J98" s="344"/>
      <c r="K98" s="344"/>
      <c r="L98" s="344"/>
      <c r="M98" s="344"/>
      <c r="O98" s="2"/>
    </row>
    <row r="99" spans="2:15" ht="3.95" customHeight="1" x14ac:dyDescent="0.25">
      <c r="B99" s="2"/>
      <c r="O99" s="2"/>
    </row>
    <row r="100" spans="2:15" ht="58.5" customHeight="1" x14ac:dyDescent="0.25">
      <c r="B100" s="2"/>
      <c r="D100" s="338" t="s">
        <v>62</v>
      </c>
      <c r="E100" s="339"/>
      <c r="F100" s="333"/>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496</v>
      </c>
      <c r="K102" s="20"/>
      <c r="O102" s="2"/>
    </row>
    <row r="103" spans="2:15" ht="19.5" customHeight="1" x14ac:dyDescent="0.25">
      <c r="B103" s="2"/>
      <c r="D103" s="331"/>
      <c r="E103" s="332"/>
      <c r="F103" s="19" t="s">
        <v>66</v>
      </c>
      <c r="G103" s="4" t="s">
        <v>278</v>
      </c>
      <c r="K103" s="21"/>
      <c r="O103" s="2"/>
    </row>
    <row r="104" spans="2:15" ht="27.75" customHeight="1" x14ac:dyDescent="0.25">
      <c r="B104" s="2"/>
      <c r="D104" s="331"/>
      <c r="E104" s="332"/>
      <c r="F104" s="19" t="s">
        <v>67</v>
      </c>
      <c r="G104" s="333" t="s">
        <v>1836</v>
      </c>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Director(a) Administrativa</v>
      </c>
      <c r="H108" s="334"/>
      <c r="I108" s="334"/>
      <c r="J108" s="334"/>
      <c r="K108" s="334"/>
      <c r="L108" s="334"/>
      <c r="M108" s="335"/>
      <c r="O108" s="2"/>
    </row>
    <row r="109" spans="2:15" ht="17.25" customHeight="1" x14ac:dyDescent="0.25">
      <c r="B109" s="2"/>
      <c r="D109" s="331"/>
      <c r="E109" s="332"/>
      <c r="F109" s="19" t="s">
        <v>2042</v>
      </c>
      <c r="G109" s="333" t="str">
        <f>+IF(M23="Si","Coordinador(a) Planeación y Sistemas","")</f>
        <v>Coordinador(a) Planeación y Sistemas</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243" priority="33">
      <formula>+IF($F$43="no",1,0)</formula>
    </cfRule>
  </conditionalFormatting>
  <conditionalFormatting sqref="F32:M32">
    <cfRule type="expression" dxfId="1242" priority="32">
      <formula>+IF($Q$30="NA",1,0)</formula>
    </cfRule>
  </conditionalFormatting>
  <conditionalFormatting sqref="F47:M47">
    <cfRule type="expression" dxfId="1241" priority="30">
      <formula>+IF($Q$47=0,1,0)</formula>
    </cfRule>
  </conditionalFormatting>
  <conditionalFormatting sqref="F73:G73">
    <cfRule type="cellIs" dxfId="1240" priority="16" operator="equal">
      <formula>"optimo"</formula>
    </cfRule>
    <cfRule type="cellIs" dxfId="1239" priority="17" operator="equal">
      <formula>"critico"</formula>
    </cfRule>
  </conditionalFormatting>
  <conditionalFormatting sqref="H73:I73">
    <cfRule type="cellIs" dxfId="1238" priority="14" operator="equal">
      <formula>"Adecuado"</formula>
    </cfRule>
    <cfRule type="cellIs" dxfId="1237" priority="15" operator="equal">
      <formula>"en riesgo"</formula>
    </cfRule>
  </conditionalFormatting>
  <conditionalFormatting sqref="J73:K73">
    <cfRule type="cellIs" dxfId="1236" priority="12" operator="equal">
      <formula>"Adecuado"</formula>
    </cfRule>
    <cfRule type="cellIs" dxfId="1235" priority="13" operator="equal">
      <formula>"en riesgo"</formula>
    </cfRule>
  </conditionalFormatting>
  <conditionalFormatting sqref="L73:M73">
    <cfRule type="cellIs" dxfId="1234" priority="10" operator="equal">
      <formula>"optimo"</formula>
    </cfRule>
    <cfRule type="cellIs" dxfId="1233" priority="11" operator="equal">
      <formula>"critico"</formula>
    </cfRule>
  </conditionalFormatting>
  <conditionalFormatting sqref="F75:M86">
    <cfRule type="expression" dxfId="1232" priority="9">
      <formula>+IF($AK75=0,1)</formula>
    </cfRule>
  </conditionalFormatting>
  <conditionalFormatting sqref="F103:G104">
    <cfRule type="expression" dxfId="1231" priority="8">
      <formula>+IF($G$102="No",1,0)</formula>
    </cfRule>
  </conditionalFormatting>
  <conditionalFormatting sqref="F51">
    <cfRule type="expression" dxfId="1230" priority="7">
      <formula>+IF($F$43="no",1,0)</formula>
    </cfRule>
  </conditionalFormatting>
  <conditionalFormatting sqref="I51">
    <cfRule type="expression" dxfId="1229" priority="6">
      <formula>+IF($F$51="no",1,0)</formula>
    </cfRule>
  </conditionalFormatting>
  <conditionalFormatting sqref="F33:M33">
    <cfRule type="expression" dxfId="1228" priority="5">
      <formula>+IF($Q$30="NA",1,0)</formula>
    </cfRule>
  </conditionalFormatting>
  <conditionalFormatting sqref="F33:M33">
    <cfRule type="expression" dxfId="1227" priority="4">
      <formula>+IF($Q$33=0,1,0)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8">
    <tabColor rgb="FF0070C0"/>
  </sheetPr>
  <dimension ref="B1:AV113"/>
  <sheetViews>
    <sheetView topLeftCell="A61" zoomScaleNormal="100" workbookViewId="0">
      <selection activeCell="F88" sqref="F88:M88"/>
    </sheetView>
  </sheetViews>
  <sheetFormatPr baseColWidth="10" defaultRowHeight="12.75" x14ac:dyDescent="0.25"/>
  <cols>
    <col min="1" max="1" width="1.140625" style="104" customWidth="1"/>
    <col min="2" max="2" width="0.5703125" style="104" customWidth="1"/>
    <col min="3" max="3" width="1.42578125" style="104" customWidth="1"/>
    <col min="4" max="4" width="11" style="104" customWidth="1"/>
    <col min="5" max="13" width="11.42578125" style="104" customWidth="1"/>
    <col min="14" max="14" width="1.42578125" style="104" customWidth="1"/>
    <col min="15" max="15" width="0.5703125" style="104" customWidth="1"/>
    <col min="16" max="16" width="11.42578125" style="105"/>
    <col min="17" max="18" width="11.42578125" style="105" customWidth="1"/>
    <col min="19" max="19" width="11.42578125" style="105"/>
    <col min="20" max="20" width="2.7109375" style="105" customWidth="1"/>
    <col min="21" max="21" width="11.42578125" style="105"/>
    <col min="22" max="22" width="2.7109375" style="105" customWidth="1"/>
    <col min="23" max="23" width="11.42578125" style="105"/>
    <col min="24" max="24" width="2.7109375" style="105" customWidth="1"/>
    <col min="25" max="25" width="11.42578125" style="105"/>
    <col min="26" max="26" width="2.7109375" style="105" customWidth="1"/>
    <col min="27" max="27" width="11.42578125" style="105"/>
    <col min="28" max="28" width="2.7109375" style="105" customWidth="1"/>
    <col min="29" max="31" width="11.42578125" style="105"/>
    <col min="32" max="37" width="3.140625" style="105" customWidth="1"/>
    <col min="38" max="45" width="7.42578125" style="105" customWidth="1"/>
    <col min="46" max="48" width="11.42578125" style="105"/>
    <col min="49" max="16384" width="11.42578125" style="104"/>
  </cols>
  <sheetData>
    <row r="1" spans="2:19" ht="3.95" customHeight="1" x14ac:dyDescent="0.25"/>
    <row r="2" spans="2:19" ht="3.95" customHeight="1" x14ac:dyDescent="0.25">
      <c r="B2" s="106"/>
      <c r="C2" s="106"/>
      <c r="D2" s="106"/>
      <c r="E2" s="106"/>
      <c r="F2" s="106"/>
      <c r="G2" s="106"/>
      <c r="H2" s="106"/>
      <c r="I2" s="106"/>
      <c r="J2" s="106"/>
      <c r="K2" s="106"/>
      <c r="L2" s="106"/>
      <c r="M2" s="106"/>
      <c r="N2" s="106"/>
      <c r="O2" s="106"/>
    </row>
    <row r="3" spans="2:19" ht="20.25" customHeight="1" x14ac:dyDescent="0.25">
      <c r="B3" s="106"/>
      <c r="C3" s="411" t="s">
        <v>0</v>
      </c>
      <c r="D3" s="411"/>
      <c r="E3" s="411"/>
      <c r="F3" s="411"/>
      <c r="G3" s="411"/>
      <c r="H3" s="411"/>
      <c r="I3" s="411"/>
      <c r="J3" s="411"/>
      <c r="K3" s="411"/>
      <c r="L3" s="411"/>
      <c r="M3" s="411"/>
      <c r="N3" s="411"/>
      <c r="O3" s="106"/>
    </row>
    <row r="4" spans="2:19" ht="20.25" customHeight="1" x14ac:dyDescent="0.25">
      <c r="B4" s="106"/>
      <c r="C4" s="411"/>
      <c r="D4" s="411"/>
      <c r="E4" s="411"/>
      <c r="F4" s="411"/>
      <c r="G4" s="411"/>
      <c r="H4" s="411"/>
      <c r="I4" s="411"/>
      <c r="J4" s="411"/>
      <c r="K4" s="411"/>
      <c r="L4" s="411"/>
      <c r="M4" s="411"/>
      <c r="N4" s="411"/>
      <c r="O4" s="106"/>
      <c r="Q4" s="3"/>
      <c r="R4" s="3"/>
      <c r="S4" s="105" t="s">
        <v>1</v>
      </c>
    </row>
    <row r="5" spans="2:19" ht="20.25" customHeight="1" x14ac:dyDescent="0.25">
      <c r="B5" s="106"/>
      <c r="C5" s="411"/>
      <c r="D5" s="411"/>
      <c r="E5" s="411"/>
      <c r="F5" s="411"/>
      <c r="G5" s="411"/>
      <c r="H5" s="411"/>
      <c r="I5" s="411"/>
      <c r="J5" s="411"/>
      <c r="K5" s="411"/>
      <c r="L5" s="411"/>
      <c r="M5" s="411"/>
      <c r="N5" s="411"/>
      <c r="O5" s="106"/>
      <c r="S5" s="105" t="s">
        <v>2</v>
      </c>
    </row>
    <row r="6" spans="2:19" ht="3" customHeight="1" x14ac:dyDescent="0.25">
      <c r="B6" s="106"/>
      <c r="C6" s="106"/>
      <c r="D6" s="106"/>
      <c r="E6" s="106"/>
      <c r="F6" s="106"/>
      <c r="G6" s="106"/>
      <c r="H6" s="106"/>
      <c r="I6" s="106"/>
      <c r="J6" s="106"/>
      <c r="K6" s="106"/>
      <c r="L6" s="106"/>
      <c r="M6" s="106"/>
      <c r="N6" s="106"/>
      <c r="O6" s="106"/>
    </row>
    <row r="7" spans="2:19" ht="3" customHeight="1" x14ac:dyDescent="0.25"/>
    <row r="8" spans="2:19" ht="3.95" customHeight="1" x14ac:dyDescent="0.25">
      <c r="B8" s="106"/>
      <c r="C8" s="106"/>
      <c r="D8" s="106"/>
      <c r="E8" s="106"/>
      <c r="F8" s="106"/>
      <c r="G8" s="106"/>
      <c r="H8" s="106"/>
      <c r="I8" s="106"/>
      <c r="J8" s="106"/>
      <c r="K8" s="106"/>
      <c r="L8" s="106"/>
      <c r="M8" s="106"/>
      <c r="N8" s="106"/>
      <c r="O8" s="106"/>
    </row>
    <row r="9" spans="2:19" ht="3.95" customHeight="1" x14ac:dyDescent="0.25">
      <c r="B9" s="106"/>
      <c r="O9" s="106"/>
    </row>
    <row r="10" spans="2:19" ht="15.75" customHeight="1" x14ac:dyDescent="0.25">
      <c r="B10" s="106"/>
      <c r="D10" s="387" t="s">
        <v>3</v>
      </c>
      <c r="E10" s="387"/>
      <c r="F10" s="107">
        <v>2015</v>
      </c>
      <c r="G10" s="108" t="s">
        <v>4</v>
      </c>
      <c r="H10" s="107" t="s">
        <v>1361</v>
      </c>
      <c r="O10" s="106"/>
    </row>
    <row r="11" spans="2:19" ht="3.95" customHeight="1" x14ac:dyDescent="0.25">
      <c r="B11" s="106"/>
      <c r="D11" s="109"/>
      <c r="O11" s="106"/>
    </row>
    <row r="12" spans="2:19" ht="36" customHeight="1" x14ac:dyDescent="0.25">
      <c r="B12" s="106"/>
      <c r="D12" s="378" t="s">
        <v>5</v>
      </c>
      <c r="E12" s="379"/>
      <c r="F12" s="389" t="s">
        <v>1355</v>
      </c>
      <c r="G12" s="390"/>
      <c r="H12" s="390"/>
      <c r="I12" s="390"/>
      <c r="J12" s="390"/>
      <c r="K12" s="390"/>
      <c r="L12" s="390"/>
      <c r="M12" s="391"/>
      <c r="O12" s="106"/>
      <c r="Q12" s="110" t="s">
        <v>1977</v>
      </c>
      <c r="S12" s="111">
        <v>154</v>
      </c>
    </row>
    <row r="13" spans="2:19" ht="3.95" customHeight="1" x14ac:dyDescent="0.25">
      <c r="B13" s="106"/>
      <c r="O13" s="106"/>
    </row>
    <row r="14" spans="2:19" ht="38.25" customHeight="1" x14ac:dyDescent="0.25">
      <c r="B14" s="106"/>
      <c r="D14" s="378" t="s">
        <v>6</v>
      </c>
      <c r="E14" s="379"/>
      <c r="F14" s="389" t="s">
        <v>1327</v>
      </c>
      <c r="G14" s="390"/>
      <c r="H14" s="390"/>
      <c r="I14" s="390"/>
      <c r="J14" s="390"/>
      <c r="K14" s="390"/>
      <c r="L14" s="390"/>
      <c r="M14" s="391"/>
      <c r="O14" s="106"/>
    </row>
    <row r="15" spans="2:19" ht="3.95" customHeight="1" x14ac:dyDescent="0.25">
      <c r="B15" s="106"/>
      <c r="O15" s="106"/>
    </row>
    <row r="16" spans="2:19" ht="3" customHeight="1" x14ac:dyDescent="0.25">
      <c r="B16" s="106"/>
      <c r="C16" s="106"/>
      <c r="D16" s="106"/>
      <c r="E16" s="106"/>
      <c r="F16" s="106"/>
      <c r="G16" s="106"/>
      <c r="H16" s="106"/>
      <c r="I16" s="106"/>
      <c r="J16" s="106"/>
      <c r="K16" s="106"/>
      <c r="L16" s="106"/>
      <c r="M16" s="106"/>
      <c r="N16" s="106"/>
      <c r="O16" s="106"/>
    </row>
    <row r="17" spans="2:17" ht="3" customHeight="1" x14ac:dyDescent="0.25"/>
    <row r="18" spans="2:17" ht="3" customHeight="1" x14ac:dyDescent="0.25">
      <c r="B18" s="106"/>
      <c r="C18" s="106"/>
      <c r="D18" s="106"/>
      <c r="E18" s="106"/>
      <c r="F18" s="106"/>
      <c r="G18" s="106"/>
      <c r="H18" s="106"/>
      <c r="I18" s="106"/>
      <c r="J18" s="106"/>
      <c r="K18" s="106"/>
      <c r="L18" s="106"/>
      <c r="M18" s="106"/>
      <c r="N18" s="106"/>
      <c r="O18" s="106"/>
    </row>
    <row r="19" spans="2:17" ht="3.95" customHeight="1" x14ac:dyDescent="0.25">
      <c r="B19" s="106"/>
      <c r="O19" s="106"/>
    </row>
    <row r="20" spans="2:17" x14ac:dyDescent="0.25">
      <c r="B20" s="106"/>
      <c r="D20" s="112" t="s">
        <v>7</v>
      </c>
      <c r="O20" s="106"/>
    </row>
    <row r="21" spans="2:17" ht="3.95" customHeight="1" x14ac:dyDescent="0.25">
      <c r="B21" s="106"/>
      <c r="O21" s="106"/>
    </row>
    <row r="22" spans="2:17" ht="18.75" customHeight="1" x14ac:dyDescent="0.25">
      <c r="B22" s="106"/>
      <c r="D22" s="387" t="s">
        <v>8</v>
      </c>
      <c r="E22" s="387"/>
      <c r="F22" s="113" t="s">
        <v>1978</v>
      </c>
      <c r="G22" s="387" t="s">
        <v>9</v>
      </c>
      <c r="H22" s="387"/>
      <c r="I22" s="114">
        <f>+IFERROR(VLOOKUP($S$12,[1]Hoja1!$B$5:$AT$190,19,FALSE),"")</f>
        <v>1</v>
      </c>
      <c r="K22" s="387" t="s">
        <v>10</v>
      </c>
      <c r="L22" s="387"/>
      <c r="M22" s="115" t="str">
        <f>+IFERROR(VLOOKUP($S$12,[1]Hoja1!$B$5:$AT$190,22,FALSE),"")</f>
        <v>Si</v>
      </c>
      <c r="O22" s="106"/>
    </row>
    <row r="23" spans="2:17" ht="19.5" customHeight="1" x14ac:dyDescent="0.25">
      <c r="B23" s="106"/>
      <c r="D23" s="387" t="s">
        <v>11</v>
      </c>
      <c r="E23" s="387"/>
      <c r="F23" s="107" t="str">
        <f>+IFERROR(VLOOKUP($S$12,[1]Hoja1!$B$5:$AT$190,33,FALSE),"")</f>
        <v>Mensual</v>
      </c>
      <c r="G23" s="387" t="s">
        <v>12</v>
      </c>
      <c r="H23" s="387"/>
      <c r="I23" s="107" t="str">
        <f>+IFERROR(VLOOKUP($S$12,[1]Hoja1!$B$5:$AT$190,21,FALSE),"")</f>
        <v>Porcentaje</v>
      </c>
      <c r="K23" s="387" t="s">
        <v>13</v>
      </c>
      <c r="L23" s="387"/>
      <c r="M23" s="115" t="str">
        <f>+IFERROR(VLOOKUP($S$12,[1]Hoja1!$B$5:$AT$190,23,FALSE),"")</f>
        <v>No</v>
      </c>
      <c r="O23" s="106"/>
    </row>
    <row r="24" spans="2:17" ht="20.100000000000001" customHeight="1" x14ac:dyDescent="0.25">
      <c r="B24" s="106"/>
      <c r="D24" s="387" t="s">
        <v>14</v>
      </c>
      <c r="E24" s="387"/>
      <c r="F24" s="107" t="s">
        <v>498</v>
      </c>
      <c r="G24" s="387" t="s">
        <v>15</v>
      </c>
      <c r="H24" s="387"/>
      <c r="I24" s="107" t="s">
        <v>103</v>
      </c>
      <c r="K24" s="387" t="s">
        <v>16</v>
      </c>
      <c r="L24" s="387"/>
      <c r="M24" s="115" t="str">
        <f>+IFERROR(VLOOKUP($S$12,[1]Hoja1!$B$5:$AT$190,24,FALSE),"")</f>
        <v>No</v>
      </c>
      <c r="O24" s="106"/>
    </row>
    <row r="25" spans="2:17" ht="20.100000000000001" customHeight="1" x14ac:dyDescent="0.25">
      <c r="B25" s="106"/>
      <c r="D25" s="387" t="s">
        <v>17</v>
      </c>
      <c r="E25" s="387"/>
      <c r="F25" s="107" t="str">
        <f>+IFERROR(VLOOKUP($S$12,[1]Hoja1!$B$5:$AT$190,18,FALSE),"")</f>
        <v>Eficiencia</v>
      </c>
      <c r="O25" s="106"/>
    </row>
    <row r="26" spans="2:17" ht="3.95" customHeight="1" x14ac:dyDescent="0.25">
      <c r="B26" s="106"/>
      <c r="O26" s="106"/>
    </row>
    <row r="27" spans="2:17" x14ac:dyDescent="0.25">
      <c r="B27" s="106"/>
      <c r="D27" s="112" t="s">
        <v>18</v>
      </c>
      <c r="O27" s="106"/>
    </row>
    <row r="28" spans="2:17" ht="3.95" customHeight="1" x14ac:dyDescent="0.25">
      <c r="B28" s="106"/>
      <c r="O28" s="106"/>
    </row>
    <row r="29" spans="2:17" ht="36" customHeight="1" x14ac:dyDescent="0.25">
      <c r="B29" s="106"/>
      <c r="D29" s="393" t="s">
        <v>19</v>
      </c>
      <c r="E29" s="393"/>
      <c r="F29" s="344" t="s">
        <v>891</v>
      </c>
      <c r="G29" s="344"/>
      <c r="H29" s="344"/>
      <c r="I29" s="344"/>
      <c r="J29" s="344"/>
      <c r="K29" s="344"/>
      <c r="L29" s="344"/>
      <c r="M29" s="344"/>
      <c r="O29" s="106"/>
      <c r="P29" s="105" t="s">
        <v>1994</v>
      </c>
    </row>
    <row r="30" spans="2:17" ht="18" customHeight="1" x14ac:dyDescent="0.25">
      <c r="B30" s="106"/>
      <c r="D30" s="404" t="s">
        <v>21</v>
      </c>
      <c r="E30" s="405"/>
      <c r="F30" s="10" t="s">
        <v>22</v>
      </c>
      <c r="G30" s="349" t="s">
        <v>5</v>
      </c>
      <c r="H30" s="350"/>
      <c r="I30" s="350"/>
      <c r="J30" s="350"/>
      <c r="K30" s="350"/>
      <c r="L30" s="350"/>
      <c r="M30" s="351"/>
      <c r="O30" s="106"/>
      <c r="Q30" s="105" t="str">
        <f>+IFERROR(VLOOKUP(G31,[1]base!$A$9:$C$25,3,FALSE),"")</f>
        <v>soporte</v>
      </c>
    </row>
    <row r="31" spans="2:17" ht="24" customHeight="1" x14ac:dyDescent="0.25">
      <c r="B31" s="106"/>
      <c r="D31" s="406"/>
      <c r="E31" s="407"/>
      <c r="F31" s="4" t="s">
        <v>257</v>
      </c>
      <c r="G31" s="340" t="s">
        <v>258</v>
      </c>
      <c r="H31" s="341"/>
      <c r="I31" s="341"/>
      <c r="J31" s="341"/>
      <c r="K31" s="341"/>
      <c r="L31" s="341"/>
      <c r="M31" s="342"/>
      <c r="O31" s="106"/>
    </row>
    <row r="32" spans="2:17" ht="18" customHeight="1" x14ac:dyDescent="0.25">
      <c r="B32" s="106"/>
      <c r="D32" s="404" t="s">
        <v>23</v>
      </c>
      <c r="E32" s="405"/>
      <c r="F32" s="10" t="s">
        <v>22</v>
      </c>
      <c r="G32" s="349" t="s">
        <v>5</v>
      </c>
      <c r="H32" s="350"/>
      <c r="I32" s="350"/>
      <c r="J32" s="350"/>
      <c r="K32" s="350"/>
      <c r="L32" s="350"/>
      <c r="M32" s="351"/>
      <c r="O32" s="106"/>
    </row>
    <row r="33" spans="2:17" ht="24" customHeight="1" x14ac:dyDescent="0.25">
      <c r="B33" s="106"/>
      <c r="D33" s="406"/>
      <c r="E33" s="407"/>
      <c r="F33" s="11" t="s">
        <v>1602</v>
      </c>
      <c r="G33" s="340" t="s">
        <v>1550</v>
      </c>
      <c r="H33" s="341"/>
      <c r="I33" s="341"/>
      <c r="J33" s="341"/>
      <c r="K33" s="341"/>
      <c r="L33" s="341"/>
      <c r="M33" s="342"/>
      <c r="O33" s="106"/>
      <c r="Q33" s="105">
        <f>+IFERROR(IF(VLOOKUP(G33,[1]base!$A$26:$C$40,3,FALSE)=F31,1,0),"")</f>
        <v>1</v>
      </c>
    </row>
    <row r="34" spans="2:17" ht="18" customHeight="1" x14ac:dyDescent="0.25">
      <c r="B34" s="106"/>
      <c r="D34" s="404" t="s">
        <v>24</v>
      </c>
      <c r="E34" s="405"/>
      <c r="F34" s="116" t="s">
        <v>22</v>
      </c>
      <c r="G34" s="408" t="s">
        <v>5</v>
      </c>
      <c r="H34" s="409"/>
      <c r="I34" s="409"/>
      <c r="J34" s="409"/>
      <c r="K34" s="409"/>
      <c r="L34" s="409"/>
      <c r="M34" s="410"/>
      <c r="O34" s="106"/>
    </row>
    <row r="35" spans="2:17" ht="35.25" customHeight="1" x14ac:dyDescent="0.25">
      <c r="B35" s="106"/>
      <c r="D35" s="406"/>
      <c r="E35" s="407"/>
      <c r="F35" s="4" t="s">
        <v>1716</v>
      </c>
      <c r="G35" s="340" t="s">
        <v>1592</v>
      </c>
      <c r="H35" s="341"/>
      <c r="I35" s="341"/>
      <c r="J35" s="341"/>
      <c r="K35" s="341"/>
      <c r="L35" s="341"/>
      <c r="M35" s="342"/>
      <c r="O35" s="106"/>
    </row>
    <row r="36" spans="2:17" ht="3.95" customHeight="1" x14ac:dyDescent="0.25">
      <c r="B36" s="106"/>
      <c r="O36" s="106"/>
    </row>
    <row r="37" spans="2:17" ht="3" customHeight="1" x14ac:dyDescent="0.25">
      <c r="B37" s="106"/>
      <c r="C37" s="106"/>
      <c r="D37" s="106"/>
      <c r="E37" s="106"/>
      <c r="F37" s="106"/>
      <c r="G37" s="106"/>
      <c r="H37" s="106"/>
      <c r="I37" s="106"/>
      <c r="J37" s="106"/>
      <c r="K37" s="106"/>
      <c r="L37" s="106"/>
      <c r="M37" s="106"/>
      <c r="N37" s="106"/>
      <c r="O37" s="106"/>
    </row>
    <row r="38" spans="2:17" ht="3" customHeight="1" x14ac:dyDescent="0.25"/>
    <row r="39" spans="2:17" ht="3" customHeight="1" x14ac:dyDescent="0.25">
      <c r="B39" s="106"/>
      <c r="C39" s="106"/>
      <c r="D39" s="106"/>
      <c r="E39" s="106"/>
      <c r="F39" s="106"/>
      <c r="G39" s="106"/>
      <c r="H39" s="106"/>
      <c r="I39" s="106"/>
      <c r="J39" s="106"/>
      <c r="K39" s="106"/>
      <c r="L39" s="106"/>
      <c r="M39" s="106"/>
      <c r="N39" s="106"/>
      <c r="O39" s="106"/>
    </row>
    <row r="40" spans="2:17" ht="3.95" customHeight="1" x14ac:dyDescent="0.25">
      <c r="B40" s="106"/>
      <c r="D40" s="112"/>
      <c r="O40" s="106"/>
    </row>
    <row r="41" spans="2:17" x14ac:dyDescent="0.25">
      <c r="B41" s="106"/>
      <c r="D41" s="112" t="s">
        <v>25</v>
      </c>
      <c r="O41" s="106"/>
    </row>
    <row r="42" spans="2:17" ht="3.95" customHeight="1" x14ac:dyDescent="0.25">
      <c r="B42" s="106"/>
      <c r="O42" s="106"/>
    </row>
    <row r="43" spans="2:17" ht="20.100000000000001" customHeight="1" x14ac:dyDescent="0.25">
      <c r="B43" s="106"/>
      <c r="D43" s="387" t="s">
        <v>26</v>
      </c>
      <c r="E43" s="387"/>
      <c r="F43" s="107" t="s">
        <v>2</v>
      </c>
      <c r="O43" s="106"/>
    </row>
    <row r="44" spans="2:17" ht="18" customHeight="1" x14ac:dyDescent="0.25">
      <c r="B44" s="106"/>
      <c r="D44" s="397" t="s">
        <v>27</v>
      </c>
      <c r="E44" s="398"/>
      <c r="F44" s="118" t="s">
        <v>22</v>
      </c>
      <c r="G44" s="401" t="s">
        <v>5</v>
      </c>
      <c r="H44" s="402"/>
      <c r="I44" s="402"/>
      <c r="J44" s="402"/>
      <c r="K44" s="402"/>
      <c r="L44" s="402"/>
      <c r="M44" s="403"/>
      <c r="O44" s="106"/>
    </row>
    <row r="45" spans="2:17" ht="18" customHeight="1" x14ac:dyDescent="0.25">
      <c r="B45" s="106"/>
      <c r="D45" s="399"/>
      <c r="E45" s="400"/>
      <c r="F45" s="107" t="str">
        <f>+IFERROR(VLOOKUP(G45,[1]base!$A$41:$B$45,2,FALSE),"")</f>
        <v>LP5</v>
      </c>
      <c r="G45" s="389" t="str">
        <f>+IFERROR(VLOOKUP($S$12,[1]Hoja1!$B$5:$AT$190,6,FALSE),"")</f>
        <v>Gestión Financiera</v>
      </c>
      <c r="H45" s="390"/>
      <c r="I45" s="390"/>
      <c r="J45" s="390"/>
      <c r="K45" s="390"/>
      <c r="L45" s="390"/>
      <c r="M45" s="391"/>
      <c r="O45" s="106"/>
      <c r="Q45" s="105" t="str">
        <f>+IFERROR(VLOOKUP(G45,[1]base!$A$41:$C$45,3,FALSE),"")</f>
        <v>financiera</v>
      </c>
    </row>
    <row r="46" spans="2:17" ht="18" customHeight="1" x14ac:dyDescent="0.25">
      <c r="B46" s="106"/>
      <c r="D46" s="397" t="s">
        <v>28</v>
      </c>
      <c r="E46" s="398"/>
      <c r="F46" s="118" t="s">
        <v>22</v>
      </c>
      <c r="G46" s="401" t="s">
        <v>5</v>
      </c>
      <c r="H46" s="402"/>
      <c r="I46" s="402"/>
      <c r="J46" s="402"/>
      <c r="K46" s="402"/>
      <c r="L46" s="402"/>
      <c r="M46" s="403"/>
      <c r="O46" s="106"/>
    </row>
    <row r="47" spans="2:17" ht="18" customHeight="1" x14ac:dyDescent="0.25">
      <c r="B47" s="106"/>
      <c r="D47" s="399"/>
      <c r="E47" s="400"/>
      <c r="F47" s="107" t="str">
        <f>+IFERROR(VLOOKUP(G47,[1]base!$A$46:$B$66,2,FALSE),"")</f>
        <v/>
      </c>
      <c r="G47" s="389"/>
      <c r="H47" s="390"/>
      <c r="I47" s="390"/>
      <c r="J47" s="390"/>
      <c r="K47" s="390"/>
      <c r="L47" s="390"/>
      <c r="M47" s="391"/>
      <c r="O47" s="106"/>
      <c r="Q47" s="105" t="e">
        <f>+IF(VLOOKUP(G47,[1]base!$A$46:$C$66,3,FALSE)=F45,1,0)</f>
        <v>#N/A</v>
      </c>
    </row>
    <row r="48" spans="2:17" ht="18" customHeight="1" x14ac:dyDescent="0.25">
      <c r="B48" s="106"/>
      <c r="D48" s="397" t="s">
        <v>29</v>
      </c>
      <c r="E48" s="398"/>
      <c r="F48" s="118" t="s">
        <v>22</v>
      </c>
      <c r="G48" s="401" t="s">
        <v>5</v>
      </c>
      <c r="H48" s="402"/>
      <c r="I48" s="402"/>
      <c r="J48" s="402"/>
      <c r="K48" s="402"/>
      <c r="L48" s="402"/>
      <c r="M48" s="403"/>
      <c r="O48" s="106"/>
    </row>
    <row r="49" spans="2:15" ht="29.25" customHeight="1" x14ac:dyDescent="0.25">
      <c r="B49" s="106"/>
      <c r="D49" s="399"/>
      <c r="E49" s="400"/>
      <c r="F49" s="119" t="str">
        <f>+IFERROR(VLOOKUP(G49,[1]base!$G$37:$H$47,2,FALSE),"")</f>
        <v>C-310-300-2</v>
      </c>
      <c r="G49" s="389" t="s">
        <v>899</v>
      </c>
      <c r="H49" s="390"/>
      <c r="I49" s="390"/>
      <c r="J49" s="390"/>
      <c r="K49" s="390"/>
      <c r="L49" s="390"/>
      <c r="M49" s="391"/>
      <c r="O49" s="106"/>
    </row>
    <row r="50" spans="2:15" ht="3.95" customHeight="1" x14ac:dyDescent="0.25">
      <c r="B50" s="106"/>
      <c r="O50" s="106"/>
    </row>
    <row r="51" spans="2:15" ht="20.100000000000001" customHeight="1" x14ac:dyDescent="0.25">
      <c r="B51" s="106"/>
      <c r="D51" s="387" t="s">
        <v>31</v>
      </c>
      <c r="E51" s="387"/>
      <c r="F51" s="107" t="str">
        <f>+IFERROR(VLOOKUP($S$12,[1]Hoja1!$B$5:$AT$190,26,FALSE),"")</f>
        <v>No</v>
      </c>
      <c r="G51" s="387" t="s">
        <v>32</v>
      </c>
      <c r="H51" s="387"/>
      <c r="I51" s="120" t="str">
        <f>+IFERROR(IF(F51="No","",VLOOKUP($S$12,[1]Hoja1!$B$5:$AT$190,20,FALSE)),"")</f>
        <v/>
      </c>
      <c r="O51" s="106"/>
    </row>
    <row r="52" spans="2:15" ht="3.95" customHeight="1" x14ac:dyDescent="0.25">
      <c r="B52" s="106"/>
      <c r="O52" s="106"/>
    </row>
    <row r="53" spans="2:15" ht="3" customHeight="1" x14ac:dyDescent="0.25">
      <c r="B53" s="106"/>
      <c r="C53" s="106"/>
      <c r="D53" s="106"/>
      <c r="E53" s="106"/>
      <c r="F53" s="106"/>
      <c r="G53" s="106"/>
      <c r="H53" s="106"/>
      <c r="I53" s="106"/>
      <c r="J53" s="106"/>
      <c r="K53" s="106"/>
      <c r="L53" s="106"/>
      <c r="M53" s="106"/>
      <c r="N53" s="106"/>
      <c r="O53" s="106"/>
    </row>
    <row r="54" spans="2:15" ht="3" customHeight="1" x14ac:dyDescent="0.25"/>
    <row r="55" spans="2:15" ht="3.95" customHeight="1" x14ac:dyDescent="0.25">
      <c r="B55" s="106"/>
      <c r="C55" s="106"/>
      <c r="D55" s="106"/>
      <c r="E55" s="106"/>
      <c r="F55" s="106"/>
      <c r="G55" s="106"/>
      <c r="H55" s="106"/>
      <c r="I55" s="106"/>
      <c r="J55" s="106"/>
      <c r="K55" s="106"/>
      <c r="L55" s="106"/>
      <c r="M55" s="106"/>
      <c r="N55" s="106"/>
      <c r="O55" s="106"/>
    </row>
    <row r="56" spans="2:15" ht="3.95" customHeight="1" x14ac:dyDescent="0.25">
      <c r="B56" s="106"/>
      <c r="O56" s="106"/>
    </row>
    <row r="57" spans="2:15" x14ac:dyDescent="0.25">
      <c r="B57" s="106"/>
      <c r="D57" s="112" t="s">
        <v>33</v>
      </c>
      <c r="O57" s="106"/>
    </row>
    <row r="58" spans="2:15" ht="3.95" customHeight="1" x14ac:dyDescent="0.25">
      <c r="B58" s="106"/>
      <c r="O58" s="106"/>
    </row>
    <row r="59" spans="2:15" ht="30" customHeight="1" x14ac:dyDescent="0.25">
      <c r="B59" s="106"/>
      <c r="D59" s="387" t="s">
        <v>34</v>
      </c>
      <c r="E59" s="387"/>
      <c r="F59" s="370" t="str">
        <f>+IF(F60="","",F60&amp;" / "&amp;F61)</f>
        <v>Recursos Comprometidos / Meta Mensual de Compromisos</v>
      </c>
      <c r="G59" s="370"/>
      <c r="H59" s="370"/>
      <c r="I59" s="370"/>
      <c r="J59" s="370"/>
      <c r="K59" s="370"/>
      <c r="L59" s="370"/>
      <c r="M59" s="370"/>
      <c r="O59" s="106"/>
    </row>
    <row r="60" spans="2:15" ht="30" customHeight="1" x14ac:dyDescent="0.25">
      <c r="B60" s="106"/>
      <c r="D60" s="369" t="s">
        <v>35</v>
      </c>
      <c r="E60" s="369"/>
      <c r="F60" s="370" t="str">
        <f>+IFERROR(VLOOKUP($S$12,[1]Hoja1!$B$5:$AT$190,28,FALSE),"")</f>
        <v>Recursos Comprometidos</v>
      </c>
      <c r="G60" s="370"/>
      <c r="H60" s="370"/>
      <c r="I60" s="370"/>
      <c r="J60" s="370"/>
      <c r="K60" s="370"/>
      <c r="L60" s="370"/>
      <c r="M60" s="370"/>
      <c r="O60" s="106"/>
    </row>
    <row r="61" spans="2:15" ht="30" customHeight="1" x14ac:dyDescent="0.25">
      <c r="B61" s="106"/>
      <c r="D61" s="369" t="s">
        <v>36</v>
      </c>
      <c r="E61" s="369"/>
      <c r="F61" s="389" t="str">
        <f>+IFERROR(VLOOKUP($S$12,[1]Hoja1!$B$5:$AT$190,30,FALSE),"")</f>
        <v>Meta Mensual de Compromisos</v>
      </c>
      <c r="G61" s="390"/>
      <c r="H61" s="390"/>
      <c r="I61" s="390"/>
      <c r="J61" s="390"/>
      <c r="K61" s="390"/>
      <c r="L61" s="390"/>
      <c r="M61" s="391"/>
      <c r="O61" s="106"/>
    </row>
    <row r="62" spans="2:15" ht="3.95" customHeight="1" x14ac:dyDescent="0.25">
      <c r="B62" s="106"/>
      <c r="O62" s="106"/>
    </row>
    <row r="63" spans="2:15" ht="3" customHeight="1" x14ac:dyDescent="0.25">
      <c r="B63" s="106"/>
      <c r="C63" s="106"/>
      <c r="D63" s="106"/>
      <c r="E63" s="106"/>
      <c r="F63" s="106"/>
      <c r="G63" s="106"/>
      <c r="H63" s="106"/>
      <c r="I63" s="106"/>
      <c r="J63" s="106"/>
      <c r="K63" s="106"/>
      <c r="L63" s="106"/>
      <c r="M63" s="106"/>
      <c r="N63" s="106"/>
      <c r="O63" s="106"/>
    </row>
    <row r="64" spans="2:15" x14ac:dyDescent="0.25">
      <c r="M64" s="121" t="s">
        <v>37</v>
      </c>
    </row>
    <row r="65" spans="2:45" ht="3" customHeight="1" x14ac:dyDescent="0.25">
      <c r="B65" s="106"/>
      <c r="C65" s="106"/>
      <c r="D65" s="106"/>
      <c r="E65" s="106"/>
      <c r="F65" s="106"/>
      <c r="G65" s="106"/>
      <c r="H65" s="106"/>
      <c r="I65" s="106"/>
      <c r="J65" s="106"/>
      <c r="K65" s="106"/>
      <c r="L65" s="106"/>
      <c r="M65" s="106"/>
      <c r="N65" s="106"/>
      <c r="O65" s="106"/>
    </row>
    <row r="66" spans="2:45" ht="3.95" customHeight="1" x14ac:dyDescent="0.25">
      <c r="B66" s="106"/>
      <c r="O66" s="106"/>
    </row>
    <row r="67" spans="2:45" x14ac:dyDescent="0.25">
      <c r="B67" s="106"/>
      <c r="D67" s="392" t="s">
        <v>38</v>
      </c>
      <c r="E67" s="392"/>
      <c r="O67" s="106"/>
    </row>
    <row r="68" spans="2:45" ht="3.95" customHeight="1" x14ac:dyDescent="0.25">
      <c r="B68" s="106"/>
      <c r="D68" s="112"/>
      <c r="E68" s="112"/>
      <c r="O68" s="106"/>
    </row>
    <row r="69" spans="2:45" ht="18.75" customHeight="1" x14ac:dyDescent="0.25">
      <c r="B69" s="106"/>
      <c r="O69" s="106"/>
      <c r="Q69" s="122" t="s">
        <v>11</v>
      </c>
      <c r="S69" s="105" t="str">
        <f>+IF(F23=0,"",F23)</f>
        <v>Mensual</v>
      </c>
      <c r="U69" s="105">
        <f>+IFERROR(VLOOKUP(S69,[1]base!$H$23:$I$28,2,FALSE),"")</f>
        <v>1</v>
      </c>
    </row>
    <row r="70" spans="2:45" ht="3.95" customHeight="1" x14ac:dyDescent="0.25">
      <c r="B70" s="106"/>
      <c r="D70" s="112"/>
      <c r="E70" s="112"/>
      <c r="O70" s="106"/>
    </row>
    <row r="71" spans="2:45" ht="18.75" customHeight="1" x14ac:dyDescent="0.25">
      <c r="B71" s="106"/>
      <c r="D71" s="393" t="s">
        <v>39</v>
      </c>
      <c r="E71" s="393"/>
      <c r="F71" s="107" t="s">
        <v>47</v>
      </c>
      <c r="G71" s="105">
        <f>+IFERROR(VLOOKUP(F71,$AE$75:$AF$86,2,FALSE),"")</f>
        <v>3</v>
      </c>
      <c r="O71" s="106"/>
      <c r="Q71" s="122" t="s">
        <v>14</v>
      </c>
      <c r="S71" s="105" t="str">
        <f>+IF(F24=0,"",F24)</f>
        <v>Creciente</v>
      </c>
    </row>
    <row r="72" spans="2:45" ht="3.95" customHeight="1" x14ac:dyDescent="0.25">
      <c r="B72" s="106"/>
      <c r="D72" s="112"/>
      <c r="E72" s="112"/>
      <c r="O72" s="106"/>
    </row>
    <row r="73" spans="2:45" x14ac:dyDescent="0.25">
      <c r="B73" s="106"/>
      <c r="D73" s="394" t="s">
        <v>41</v>
      </c>
      <c r="E73" s="394"/>
      <c r="F73" s="395" t="s">
        <v>42</v>
      </c>
      <c r="G73" s="396"/>
      <c r="H73" s="395" t="s">
        <v>43</v>
      </c>
      <c r="I73" s="396"/>
      <c r="J73" s="395" t="s">
        <v>44</v>
      </c>
      <c r="K73" s="396"/>
      <c r="L73" s="395" t="s">
        <v>45</v>
      </c>
      <c r="M73" s="396"/>
      <c r="O73" s="106"/>
      <c r="S73" s="111">
        <f>+IFERROR(VLOOKUP(S74,$AE$75:$AK$86,7,FALSE),"")</f>
        <v>0</v>
      </c>
      <c r="U73" s="111">
        <f>+IFERROR(VLOOKUP(U74,$AE$75:$AK$86,7,FALSE),"")</f>
        <v>0</v>
      </c>
      <c r="W73" s="111">
        <f>+IFERROR(VLOOKUP(W74,$AE$75:$AK$86,7,FALSE),"")</f>
        <v>1</v>
      </c>
      <c r="Y73" s="111">
        <f>+IFERROR(VLOOKUP(Y74,$AE$75:$AK$86,7,FALSE),"")</f>
        <v>1</v>
      </c>
      <c r="AA73" s="111">
        <f>+IFERROR(VLOOKUP(AA74,$AE$75:$AK$86,7,FALSE),"")</f>
        <v>1</v>
      </c>
      <c r="AC73" s="111">
        <f>+IFERROR(VLOOKUP(AC74,$AE$75:$AK$86,7,FALSE),"")</f>
        <v>1</v>
      </c>
      <c r="AL73" s="388" t="s">
        <v>42</v>
      </c>
      <c r="AM73" s="388"/>
      <c r="AN73" s="388" t="s">
        <v>43</v>
      </c>
      <c r="AO73" s="388"/>
      <c r="AP73" s="388" t="s">
        <v>44</v>
      </c>
      <c r="AQ73" s="388"/>
      <c r="AR73" s="388" t="s">
        <v>45</v>
      </c>
      <c r="AS73" s="388"/>
    </row>
    <row r="74" spans="2:45" x14ac:dyDescent="0.25">
      <c r="B74" s="106"/>
      <c r="D74" s="394"/>
      <c r="E74" s="394"/>
      <c r="F74" s="123" t="str">
        <f>+IF($F$24="Decreciente","Max","Min")</f>
        <v>Min</v>
      </c>
      <c r="G74" s="123" t="str">
        <f>+IF($F$24="Decreciente","MIn","Max")</f>
        <v>Max</v>
      </c>
      <c r="H74" s="123" t="str">
        <f>+IF($F$24="Decreciente","Max","Min")</f>
        <v>Min</v>
      </c>
      <c r="I74" s="123" t="str">
        <f>+IF($F$24="Decreciente","MIn","Max")</f>
        <v>Max</v>
      </c>
      <c r="J74" s="123" t="str">
        <f>+IF($F$24="Decreciente","Max","Min")</f>
        <v>Min</v>
      </c>
      <c r="K74" s="123" t="str">
        <f>+IF($F$24="Decreciente","MIn","Max")</f>
        <v>Max</v>
      </c>
      <c r="L74" s="123" t="str">
        <f>+IF($F$24="Decreciente","Max","Min")</f>
        <v>Min</v>
      </c>
      <c r="M74" s="123" t="str">
        <f>+IF($F$24="Decreciente","MIn","Max")</f>
        <v>Max</v>
      </c>
      <c r="O74" s="106"/>
      <c r="S74" s="124" t="s">
        <v>46</v>
      </c>
      <c r="T74" s="124"/>
      <c r="U74" s="124" t="s">
        <v>40</v>
      </c>
      <c r="V74" s="124"/>
      <c r="W74" s="124" t="s">
        <v>47</v>
      </c>
      <c r="X74" s="124"/>
      <c r="Y74" s="124" t="s">
        <v>48</v>
      </c>
      <c r="Z74" s="124"/>
      <c r="AA74" s="124" t="s">
        <v>49</v>
      </c>
      <c r="AB74" s="124"/>
      <c r="AC74" s="124" t="s">
        <v>50</v>
      </c>
      <c r="AL74" s="125" t="s">
        <v>51</v>
      </c>
      <c r="AM74" s="125" t="s">
        <v>52</v>
      </c>
      <c r="AN74" s="125" t="s">
        <v>51</v>
      </c>
      <c r="AO74" s="125" t="s">
        <v>52</v>
      </c>
      <c r="AP74" s="125" t="s">
        <v>51</v>
      </c>
      <c r="AQ74" s="125" t="s">
        <v>52</v>
      </c>
      <c r="AR74" s="125" t="s">
        <v>51</v>
      </c>
      <c r="AS74" s="125" t="s">
        <v>52</v>
      </c>
    </row>
    <row r="75" spans="2:45" x14ac:dyDescent="0.25">
      <c r="B75" s="106"/>
      <c r="D75" s="386" t="s">
        <v>46</v>
      </c>
      <c r="E75" s="386"/>
      <c r="F75" s="126"/>
      <c r="G75" s="126"/>
      <c r="H75" s="126"/>
      <c r="I75" s="126"/>
      <c r="J75" s="126"/>
      <c r="K75" s="126"/>
      <c r="L75" s="126"/>
      <c r="M75" s="126"/>
      <c r="O75" s="106"/>
      <c r="Q75" s="122" t="s">
        <v>1980</v>
      </c>
      <c r="R75" s="111"/>
      <c r="S75" s="127"/>
      <c r="T75" s="111"/>
      <c r="U75" s="127"/>
      <c r="V75" s="111"/>
      <c r="W75" s="127"/>
      <c r="X75" s="111"/>
      <c r="Y75" s="127"/>
      <c r="Z75" s="111"/>
      <c r="AA75" s="127"/>
      <c r="AB75" s="111"/>
      <c r="AC75" s="127"/>
      <c r="AE75" s="105" t="s">
        <v>46</v>
      </c>
      <c r="AF75" s="105">
        <v>1</v>
      </c>
      <c r="AG75" s="105">
        <f>+IF(AF75&gt;=$G$71,1,0)</f>
        <v>0</v>
      </c>
      <c r="AH75" s="105">
        <f>+IF(AG75=0,0,IF(AG75=1,(SUM($AG$75:AG75)-1),1))</f>
        <v>0</v>
      </c>
      <c r="AI75" s="105">
        <f>+IF(AH75=0,0,IF(MOD(AH75,$U$69)=0,1,0))</f>
        <v>0</v>
      </c>
      <c r="AJ75" s="105">
        <f>+IF(AE75=$F$71,1,0)</f>
        <v>0</v>
      </c>
      <c r="AK75" s="105">
        <f>+MAX(AI75:AJ75)</f>
        <v>0</v>
      </c>
      <c r="AL75" s="128" t="str">
        <f>+""</f>
        <v/>
      </c>
      <c r="AM75" s="128" t="str">
        <f>+IF(AK75=0,"",IF(R78="&gt;",S78+0.001,IF(R78="&lt;",S78-0.001,S78)))</f>
        <v/>
      </c>
      <c r="AN75" s="128" t="str">
        <f>+IF(R77="NA","",IF(AK75=0,"",IF(R78="≥",S78-0.001,IF(R78="≤",S78+0.001,S78))))</f>
        <v/>
      </c>
      <c r="AO75" s="128" t="str">
        <f>IF(R77="NA","",IF(AK75=0,"",IF(R77="&gt;",S77+0.001,IF(R77="&lt;",S77-0.001,S77))))</f>
        <v/>
      </c>
      <c r="AP75" s="128" t="str">
        <f>+IF(R76="NA","",IF(AK75=0,"",IF(R77="≥",S77-0.001,IF(R77="≤",S77+0.001,S77))))</f>
        <v/>
      </c>
      <c r="AQ75" s="128" t="str">
        <f>+IF(R76="NA","",IF(AK75=0,"",IF(R76="&gt;",S76+0.001,IF(R76="&lt;",S76-0.001,S76))))</f>
        <v/>
      </c>
      <c r="AR75" s="128" t="str">
        <f>IF(AK75=0,"",IF(R76="≥",S75-0.001,IF(R76="≤",S75+0.001,"")))</f>
        <v/>
      </c>
      <c r="AS75" s="128" t="str">
        <f>+IF(AK75=0,"",IF(R75="=",S75,""))</f>
        <v/>
      </c>
    </row>
    <row r="76" spans="2:45" x14ac:dyDescent="0.25">
      <c r="B76" s="106"/>
      <c r="D76" s="386" t="s">
        <v>40</v>
      </c>
      <c r="E76" s="386"/>
      <c r="F76" s="126"/>
      <c r="G76" s="126"/>
      <c r="H76" s="126"/>
      <c r="I76" s="126"/>
      <c r="J76" s="126"/>
      <c r="K76" s="126"/>
      <c r="L76" s="126"/>
      <c r="M76" s="126"/>
      <c r="O76" s="106"/>
      <c r="Q76" s="122" t="s">
        <v>1981</v>
      </c>
      <c r="R76" s="111"/>
      <c r="S76" s="127"/>
      <c r="T76" s="111"/>
      <c r="U76" s="127"/>
      <c r="V76" s="111"/>
      <c r="W76" s="127"/>
      <c r="X76" s="111"/>
      <c r="Y76" s="127"/>
      <c r="Z76" s="111"/>
      <c r="AA76" s="127"/>
      <c r="AB76" s="111"/>
      <c r="AC76" s="127"/>
      <c r="AE76" s="105" t="s">
        <v>40</v>
      </c>
      <c r="AF76" s="105">
        <v>2</v>
      </c>
      <c r="AG76" s="105">
        <f t="shared" ref="AG76:AG86" si="0">+IF(AF76&gt;=$G$71,1,0)</f>
        <v>0</v>
      </c>
      <c r="AH76" s="105">
        <f>+IF(AG76=0,0,IF(AG76=1,(SUM($AG$75:AG76)-1),1))</f>
        <v>0</v>
      </c>
      <c r="AI76" s="105">
        <f t="shared" ref="AI76:AI86" si="1">+IF(AH76=0,0,IF(MOD(AH76,$U$69)=0,1,0))</f>
        <v>0</v>
      </c>
      <c r="AJ76" s="105">
        <f t="shared" ref="AJ76:AJ86" si="2">+IF(AE76=$F$71,1,0)</f>
        <v>0</v>
      </c>
      <c r="AK76" s="105">
        <f t="shared" ref="AK76:AK86" si="3">+MAX(AI76:AJ76)</f>
        <v>0</v>
      </c>
      <c r="AL76" s="128" t="str">
        <f>+""</f>
        <v/>
      </c>
      <c r="AM76" s="128" t="str">
        <f>+IF(AK76=0,"",IF(T78="&gt;",U78+0.001,IF(T78="&lt;",U78-0.001,U78)))</f>
        <v/>
      </c>
      <c r="AN76" s="128" t="str">
        <f>+IF(T77="NA","",IF(AK76=0,"",IF(T78="≥",U78-0.001,IF(T78="≤",U78+0.001,U78))))</f>
        <v/>
      </c>
      <c r="AO76" s="128" t="str">
        <f>IF(T77="NA","",IF(AK76=0,"",IF(T77="&gt;",U77+0.001,IF(T77="&lt;",U77-0.001,U77))))</f>
        <v/>
      </c>
      <c r="AP76" s="128" t="str">
        <f>+IF(T76="NA","",IF(AK76=0,"",IF(T77="≥",U77-0.001,IF(T77="≤",U77+0.001,U77))))</f>
        <v/>
      </c>
      <c r="AQ76" s="128" t="str">
        <f>+IF(T76="NA","",IF(AK76=0,"",IF(T76="&gt;",U76+0.001,IF(T76="&lt;",U76-0.001,U76))))</f>
        <v/>
      </c>
      <c r="AR76" s="128" t="str">
        <f>IF(AK76=0,"",IF(T76="≥",U75-0.001,IF(T76="≤",U75+0.001,"")))</f>
        <v/>
      </c>
      <c r="AS76" s="128" t="str">
        <f>+IF(AK76=0,"",IF(T75="=",U75,""))</f>
        <v/>
      </c>
    </row>
    <row r="77" spans="2:45" x14ac:dyDescent="0.25">
      <c r="B77" s="106"/>
      <c r="D77" s="386" t="s">
        <v>47</v>
      </c>
      <c r="E77" s="386"/>
      <c r="F77" s="126"/>
      <c r="G77" s="126">
        <v>0.94</v>
      </c>
      <c r="H77" s="126">
        <v>0.94099999999999995</v>
      </c>
      <c r="I77" s="126">
        <v>0.96899999999999997</v>
      </c>
      <c r="J77" s="126">
        <v>0.97</v>
      </c>
      <c r="K77" s="126">
        <v>0.999</v>
      </c>
      <c r="L77" s="126">
        <v>1</v>
      </c>
      <c r="M77" s="126"/>
      <c r="O77" s="106"/>
      <c r="Q77" s="122" t="s">
        <v>1982</v>
      </c>
      <c r="R77" s="111"/>
      <c r="S77" s="127"/>
      <c r="T77" s="111"/>
      <c r="U77" s="127"/>
      <c r="V77" s="111"/>
      <c r="W77" s="127"/>
      <c r="X77" s="111"/>
      <c r="Y77" s="127"/>
      <c r="Z77" s="111"/>
      <c r="AA77" s="127"/>
      <c r="AB77" s="111"/>
      <c r="AC77" s="127"/>
      <c r="AE77" s="105" t="s">
        <v>47</v>
      </c>
      <c r="AF77" s="105">
        <v>3</v>
      </c>
      <c r="AG77" s="105">
        <f t="shared" si="0"/>
        <v>1</v>
      </c>
      <c r="AH77" s="105">
        <f>+IF(AG77=0,0,IF(AG77=1,(SUM($AG$75:AG77)-1),1))</f>
        <v>0</v>
      </c>
      <c r="AI77" s="105">
        <f t="shared" si="1"/>
        <v>0</v>
      </c>
      <c r="AJ77" s="105">
        <f t="shared" si="2"/>
        <v>1</v>
      </c>
      <c r="AK77" s="105">
        <f t="shared" si="3"/>
        <v>1</v>
      </c>
      <c r="AL77" s="128" t="str">
        <f>+""</f>
        <v/>
      </c>
      <c r="AM77" s="128">
        <f>+IF(AK77=0,"",IF(V78="&gt;",W78+0.001,IF(V78="&lt;",W78-0.001,W78)))</f>
        <v>0</v>
      </c>
      <c r="AN77" s="128">
        <f>+IF(V77="NA","",IF(AK77=0,"",IF(V78="≥",W78-0.001,IF(V78="≤",W78+0.001,W78))))</f>
        <v>0</v>
      </c>
      <c r="AO77" s="128">
        <f>IF(V77="NA","",IF(AK77=0,"",IF(V77="&gt;",W77+0.001,IF(V77="&lt;",W77-0.001,W77))))</f>
        <v>0</v>
      </c>
      <c r="AP77" s="128">
        <f>+IF(V76="NA","",IF(AK77=0,"",IF(V77="≥",W77-0.001,IF(V77="≤",W77+0.001,W77))))</f>
        <v>0</v>
      </c>
      <c r="AQ77" s="128">
        <f>+IF(V76="NA","",IF(AK77=0,"",IF(V76="&gt;",W76+0.001,IF(V76="&lt;",W76-0.001,W76))))</f>
        <v>0</v>
      </c>
      <c r="AR77" s="128" t="str">
        <f>IF(AK77=0,"",IF(V76="≥",W75-0.001,IF(V76="≤",W75+0.001,"")))</f>
        <v/>
      </c>
      <c r="AS77" s="128" t="str">
        <f>+IF(AK77=0,"",IF(V75="=",W75,""))</f>
        <v/>
      </c>
    </row>
    <row r="78" spans="2:45" x14ac:dyDescent="0.25">
      <c r="B78" s="106"/>
      <c r="D78" s="386" t="s">
        <v>48</v>
      </c>
      <c r="E78" s="386"/>
      <c r="F78" s="126"/>
      <c r="G78" s="126">
        <v>0.94</v>
      </c>
      <c r="H78" s="126">
        <v>0.94099999999999995</v>
      </c>
      <c r="I78" s="126">
        <v>0.96899999999999997</v>
      </c>
      <c r="J78" s="126">
        <v>0.97</v>
      </c>
      <c r="K78" s="126">
        <v>0.999</v>
      </c>
      <c r="L78" s="126">
        <v>1</v>
      </c>
      <c r="M78" s="126"/>
      <c r="O78" s="106"/>
      <c r="Q78" s="122" t="s">
        <v>1983</v>
      </c>
      <c r="R78" s="111"/>
      <c r="S78" s="127"/>
      <c r="T78" s="111"/>
      <c r="U78" s="127"/>
      <c r="V78" s="111"/>
      <c r="W78" s="127"/>
      <c r="X78" s="111"/>
      <c r="Y78" s="127"/>
      <c r="Z78" s="111"/>
      <c r="AA78" s="127"/>
      <c r="AB78" s="111"/>
      <c r="AC78" s="127"/>
      <c r="AE78" s="105" t="s">
        <v>48</v>
      </c>
      <c r="AF78" s="105">
        <v>4</v>
      </c>
      <c r="AG78" s="105">
        <f t="shared" si="0"/>
        <v>1</v>
      </c>
      <c r="AH78" s="105">
        <f>+IF(AG78=0,0,IF(AG78=1,(SUM($AG$75:AG78)-1),1))</f>
        <v>1</v>
      </c>
      <c r="AI78" s="105">
        <f t="shared" si="1"/>
        <v>1</v>
      </c>
      <c r="AJ78" s="105">
        <f t="shared" si="2"/>
        <v>0</v>
      </c>
      <c r="AK78" s="105">
        <f t="shared" si="3"/>
        <v>1</v>
      </c>
      <c r="AL78" s="128" t="str">
        <f>+""</f>
        <v/>
      </c>
      <c r="AM78" s="128">
        <f>+IF(AK78=0,"",IF(X78="&gt;",Y78+0.001,IF(X78="&lt;",Y78-0.001,Y78)))</f>
        <v>0</v>
      </c>
      <c r="AN78" s="128">
        <f>+IF(X77="NA","",IF(AK78=0,"",IF(X78="≥",Y78-0.001,IF(X78="≤",Y78+0.001,Y78))))</f>
        <v>0</v>
      </c>
      <c r="AO78" s="128">
        <f>IF(X77="NA","",IF(AK78=0,"",IF(X77="&gt;",Y77+0.001,IF(X77="&lt;",Y77-0.001,Y77))))</f>
        <v>0</v>
      </c>
      <c r="AP78" s="128">
        <f>+IF(X76="NA","",IF(AK78=0,"",IF(X77="≥",Y77-0.001,IF(X77="≤",Y77+0.001,Y77))))</f>
        <v>0</v>
      </c>
      <c r="AQ78" s="128">
        <f>+IF(X76="NA","",IF(AK78=0,"",IF(X76="&gt;",Y76+0.001,IF(X76="&lt;",Y76-0.001,Y76))))</f>
        <v>0</v>
      </c>
      <c r="AR78" s="128" t="str">
        <f>IF(AK78=0,"",IF(X76="≥",Y75-0.001,IF(X76="≤",Y75+0.001,"")))</f>
        <v/>
      </c>
      <c r="AS78" s="128" t="str">
        <f>+IF(AK78=0,"",IF(X75="=",Y75,""))</f>
        <v/>
      </c>
    </row>
    <row r="79" spans="2:45" x14ac:dyDescent="0.25">
      <c r="B79" s="106"/>
      <c r="D79" s="386" t="s">
        <v>49</v>
      </c>
      <c r="E79" s="386"/>
      <c r="F79" s="126"/>
      <c r="G79" s="126">
        <v>0.94</v>
      </c>
      <c r="H79" s="126">
        <v>0.94099999999999995</v>
      </c>
      <c r="I79" s="126">
        <v>0.96899999999999997</v>
      </c>
      <c r="J79" s="126">
        <v>0.97</v>
      </c>
      <c r="K79" s="126">
        <v>0.999</v>
      </c>
      <c r="L79" s="126">
        <v>1</v>
      </c>
      <c r="M79" s="126"/>
      <c r="O79" s="106"/>
      <c r="R79" s="111"/>
      <c r="S79" s="111">
        <f>+IFERROR(VLOOKUP(S80,$AE$75:$AK$86,7,FALSE),"")</f>
        <v>1</v>
      </c>
      <c r="U79" s="111">
        <f>+IFERROR(VLOOKUP(U80,$AE$75:$AK$86,7,FALSE),"")</f>
        <v>1</v>
      </c>
      <c r="W79" s="111">
        <f>+IFERROR(VLOOKUP(W80,$AE$75:$AK$86,7,FALSE),"")</f>
        <v>1</v>
      </c>
      <c r="Y79" s="111">
        <f>+IFERROR(VLOOKUP(Y80,$AE$75:$AK$86,7,FALSE),"")</f>
        <v>1</v>
      </c>
      <c r="AA79" s="111">
        <f>+IFERROR(VLOOKUP(AA80,$AE$75:$AK$86,7,FALSE),"")</f>
        <v>1</v>
      </c>
      <c r="AC79" s="111">
        <f>+IFERROR(VLOOKUP(AC80,$AE$75:$AK$86,7,FALSE),"")</f>
        <v>1</v>
      </c>
      <c r="AE79" s="105" t="s">
        <v>49</v>
      </c>
      <c r="AF79" s="105">
        <v>5</v>
      </c>
      <c r="AG79" s="105">
        <f t="shared" si="0"/>
        <v>1</v>
      </c>
      <c r="AH79" s="105">
        <f>+IF(AG79=0,0,IF(AG79=1,(SUM($AG$75:AG79)-1),1))</f>
        <v>2</v>
      </c>
      <c r="AI79" s="105">
        <f t="shared" si="1"/>
        <v>1</v>
      </c>
      <c r="AJ79" s="105">
        <f t="shared" si="2"/>
        <v>0</v>
      </c>
      <c r="AK79" s="105">
        <f t="shared" si="3"/>
        <v>1</v>
      </c>
      <c r="AL79" s="128" t="str">
        <f>+""</f>
        <v/>
      </c>
      <c r="AM79" s="128">
        <f>+IF(AK79=0,"",IF(Z78="&gt;",AA78+0.001,IF(Z78="&lt;",AA78-0.001,AA78)))</f>
        <v>0</v>
      </c>
      <c r="AN79" s="128">
        <f>+IF(Z77="NA","",IF(AK79=0,"",IF(Z78="≥",AA78-0.001,IF(Z78="≤",AA78+0.001,AA78))))</f>
        <v>0</v>
      </c>
      <c r="AO79" s="128">
        <f>IF(Z77="NA","",IF(AK79=0,"",IF(Z77="&gt;",AA77+0.001,IF(Z77="&lt;",AA77-0.001,AA77))))</f>
        <v>0</v>
      </c>
      <c r="AP79" s="128">
        <f>+IF(Z76="NA","",IF(AK79=0,"",IF(Z77="≥",AA77-0.001,IF(Z77="≤",AA77+0.001,AA77))))</f>
        <v>0</v>
      </c>
      <c r="AQ79" s="128">
        <f>+IF(Z76="NA","",IF(AK79=0,"",IF(Z76="&gt;",AA76+0.001,IF(Z76="&lt;",AA76-0.001,AA76))))</f>
        <v>0</v>
      </c>
      <c r="AR79" s="128" t="str">
        <f>IF(AK79=0,"",IF(Z76="≥",AA75-0.001,IF(Z76="≤",AA75+0.001,"")))</f>
        <v/>
      </c>
      <c r="AS79" s="128" t="str">
        <f>+IF(AK79=0,"",IF(Z75="=",AA75,""))</f>
        <v/>
      </c>
    </row>
    <row r="80" spans="2:45" x14ac:dyDescent="0.25">
      <c r="B80" s="106"/>
      <c r="D80" s="386" t="s">
        <v>50</v>
      </c>
      <c r="E80" s="386"/>
      <c r="F80" s="126"/>
      <c r="G80" s="126">
        <v>0.94</v>
      </c>
      <c r="H80" s="126">
        <v>0.94099999999999995</v>
      </c>
      <c r="I80" s="126">
        <v>0.96899999999999997</v>
      </c>
      <c r="J80" s="126">
        <v>0.97</v>
      </c>
      <c r="K80" s="126">
        <v>0.999</v>
      </c>
      <c r="L80" s="126">
        <v>1</v>
      </c>
      <c r="M80" s="126"/>
      <c r="O80" s="106"/>
      <c r="R80" s="111"/>
      <c r="S80" s="124" t="s">
        <v>53</v>
      </c>
      <c r="T80" s="124"/>
      <c r="U80" s="124" t="s">
        <v>54</v>
      </c>
      <c r="V80" s="124"/>
      <c r="W80" s="124" t="s">
        <v>55</v>
      </c>
      <c r="X80" s="124"/>
      <c r="Y80" s="124" t="s">
        <v>56</v>
      </c>
      <c r="Z80" s="124"/>
      <c r="AA80" s="124" t="s">
        <v>57</v>
      </c>
      <c r="AB80" s="124"/>
      <c r="AC80" s="124" t="s">
        <v>58</v>
      </c>
      <c r="AE80" s="105" t="s">
        <v>50</v>
      </c>
      <c r="AF80" s="105">
        <v>6</v>
      </c>
      <c r="AG80" s="105">
        <f t="shared" si="0"/>
        <v>1</v>
      </c>
      <c r="AH80" s="105">
        <f>+IF(AG80=0,0,IF(AG80=1,(SUM($AG$75:AG80)-1),1))</f>
        <v>3</v>
      </c>
      <c r="AI80" s="105">
        <f t="shared" si="1"/>
        <v>1</v>
      </c>
      <c r="AJ80" s="105">
        <f t="shared" si="2"/>
        <v>0</v>
      </c>
      <c r="AK80" s="105">
        <f t="shared" si="3"/>
        <v>1</v>
      </c>
      <c r="AL80" s="128" t="str">
        <f>+""</f>
        <v/>
      </c>
      <c r="AM80" s="128">
        <f>+IF(AK80=0,"",IF(AB78="&gt;",AC78+0.001,IF(AB78="&lt;",AC78-0.001,AC78)))</f>
        <v>0</v>
      </c>
      <c r="AN80" s="128">
        <f>+IF(AB77="NA","",IF(AK80=0,"",IF(AB78="≥",AC78-0.001,IF(AB78="≤",AC78+0.001,AC78))))</f>
        <v>0</v>
      </c>
      <c r="AO80" s="128">
        <f>IF(AB77="NA","",IF(AK80=0,"",IF(AB77="&gt;",AC77+0.001,IF(AB77="&lt;",AC77-0.001,AC77))))</f>
        <v>0</v>
      </c>
      <c r="AP80" s="128">
        <f>+IF(AB76="NA","",IF(AK80=0,"",IF(AB77="≥",AC77-0.001,IF(AB77="≤",AC77+0.001,AC77))))</f>
        <v>0</v>
      </c>
      <c r="AQ80" s="128">
        <f>+IF(AB76="NA","",IF(AK80=0,"",IF(AB76="&gt;",AC76+0.001,IF(AB76="&lt;",AC76-0.001,AC76))))</f>
        <v>0</v>
      </c>
      <c r="AR80" s="128" t="str">
        <f>IF(AK80=0,"",IF(AB76="≥",AC75-0.001,IF(AB76="≤",AC75+0.001,"")))</f>
        <v/>
      </c>
      <c r="AS80" s="128" t="str">
        <f>+IF(AK80=0,"",IF(AB75="=",AC75,""))</f>
        <v/>
      </c>
    </row>
    <row r="81" spans="2:45" x14ac:dyDescent="0.25">
      <c r="B81" s="106"/>
      <c r="D81" s="386" t="s">
        <v>53</v>
      </c>
      <c r="E81" s="386"/>
      <c r="F81" s="126"/>
      <c r="G81" s="126">
        <v>0.94</v>
      </c>
      <c r="H81" s="126">
        <v>0.94099999999999995</v>
      </c>
      <c r="I81" s="126">
        <v>0.96899999999999997</v>
      </c>
      <c r="J81" s="126">
        <v>0.97</v>
      </c>
      <c r="K81" s="126">
        <v>0.999</v>
      </c>
      <c r="L81" s="126">
        <v>1</v>
      </c>
      <c r="M81" s="126"/>
      <c r="O81" s="106"/>
      <c r="Q81" s="122" t="s">
        <v>1980</v>
      </c>
      <c r="R81" s="111"/>
      <c r="S81" s="127"/>
      <c r="T81" s="111"/>
      <c r="U81" s="127"/>
      <c r="V81" s="111"/>
      <c r="W81" s="127"/>
      <c r="X81" s="111"/>
      <c r="Y81" s="127"/>
      <c r="Z81" s="111"/>
      <c r="AA81" s="127"/>
      <c r="AB81" s="111"/>
      <c r="AC81" s="127"/>
      <c r="AE81" s="105" t="s">
        <v>53</v>
      </c>
      <c r="AF81" s="105">
        <v>7</v>
      </c>
      <c r="AG81" s="105">
        <f t="shared" si="0"/>
        <v>1</v>
      </c>
      <c r="AH81" s="105">
        <f>+IF(AG81=0,0,IF(AG81=1,(SUM($AG$75:AG81)-1),1))</f>
        <v>4</v>
      </c>
      <c r="AI81" s="105">
        <f t="shared" si="1"/>
        <v>1</v>
      </c>
      <c r="AJ81" s="105">
        <f t="shared" si="2"/>
        <v>0</v>
      </c>
      <c r="AK81" s="105">
        <f t="shared" si="3"/>
        <v>1</v>
      </c>
      <c r="AL81" s="128" t="str">
        <f>+""</f>
        <v/>
      </c>
      <c r="AM81" s="128">
        <f>+IF(AK81=0,"",IF(R84="&gt;",S84+0.001,IF(R84="&lt;",S84-0.001,S84)))</f>
        <v>0</v>
      </c>
      <c r="AN81" s="128">
        <f>+IF(R83="NA","",IF(AK81=0,"",IF(R84="≥",S84-0.001,IF(R84="≤",S84+0.001,S84))))</f>
        <v>0</v>
      </c>
      <c r="AO81" s="128">
        <f>IF(R83="NA","",IF(AK81=0,"",IF(R83="&gt;",S83+0.001,IF(R83="&lt;",S83-0.001,S83))))</f>
        <v>0</v>
      </c>
      <c r="AP81" s="128">
        <f>+IF(R82="NA","",IF(AK81=0,"",IF(R83="≥",S83-0.001,IF(R83="≤",S83+0.001,S83))))</f>
        <v>0</v>
      </c>
      <c r="AQ81" s="128">
        <f>+IF(R82="NA","",IF(AK81=0,"",IF(R82="&gt;",S82+0.001,IF(R82="&lt;",S82-0.001,S82))))</f>
        <v>0</v>
      </c>
      <c r="AR81" s="128" t="str">
        <f>IF(AK81=0,"",IF(R82="≥",S81-0.001,IF(R82="≤",S81+0.001,"")))</f>
        <v/>
      </c>
      <c r="AS81" s="128" t="str">
        <f>+IF(AK81=0,"",IF(R81="=",S81,""))</f>
        <v/>
      </c>
    </row>
    <row r="82" spans="2:45" x14ac:dyDescent="0.25">
      <c r="B82" s="106"/>
      <c r="D82" s="386" t="s">
        <v>54</v>
      </c>
      <c r="E82" s="386"/>
      <c r="F82" s="126"/>
      <c r="G82" s="126">
        <v>0.94</v>
      </c>
      <c r="H82" s="126">
        <v>0.94099999999999995</v>
      </c>
      <c r="I82" s="126">
        <v>0.96899999999999997</v>
      </c>
      <c r="J82" s="126">
        <v>0.97</v>
      </c>
      <c r="K82" s="126">
        <v>0.999</v>
      </c>
      <c r="L82" s="126">
        <v>1</v>
      </c>
      <c r="M82" s="126"/>
      <c r="O82" s="106"/>
      <c r="Q82" s="122" t="s">
        <v>1981</v>
      </c>
      <c r="R82" s="111"/>
      <c r="S82" s="127"/>
      <c r="T82" s="111"/>
      <c r="U82" s="127"/>
      <c r="V82" s="111"/>
      <c r="W82" s="127"/>
      <c r="X82" s="111"/>
      <c r="Y82" s="127"/>
      <c r="Z82" s="111"/>
      <c r="AA82" s="127"/>
      <c r="AB82" s="111"/>
      <c r="AC82" s="127"/>
      <c r="AE82" s="105" t="s">
        <v>54</v>
      </c>
      <c r="AF82" s="105">
        <v>8</v>
      </c>
      <c r="AG82" s="105">
        <f t="shared" si="0"/>
        <v>1</v>
      </c>
      <c r="AH82" s="105">
        <f>+IF(AG82=0,0,IF(AG82=1,(SUM($AG$75:AG82)-1),1))</f>
        <v>5</v>
      </c>
      <c r="AI82" s="105">
        <f t="shared" si="1"/>
        <v>1</v>
      </c>
      <c r="AJ82" s="105">
        <f t="shared" si="2"/>
        <v>0</v>
      </c>
      <c r="AK82" s="105">
        <f t="shared" si="3"/>
        <v>1</v>
      </c>
      <c r="AL82" s="128" t="str">
        <f>+""</f>
        <v/>
      </c>
      <c r="AM82" s="128">
        <f>+IF(AK82=0,"",IF(T84="&gt;",U84+0.001,IF(T84="&lt;",U84-0.001,U84)))</f>
        <v>0</v>
      </c>
      <c r="AN82" s="128">
        <f>+IF(T83="NA","",IF(AK82=0,"",IF(T84="≥",U84-0.001,IF(T84="≤",U84+0.001,U84))))</f>
        <v>0</v>
      </c>
      <c r="AO82" s="128">
        <f>IF(T83="NA","",IF(AK82=0,"",IF(T83="&gt;",U83+0.001,IF(T83="&lt;",U83-0.001,U83))))</f>
        <v>0</v>
      </c>
      <c r="AP82" s="128">
        <f>+IF(T82="NA","",IF(AK82=0,"",IF(T83="≥",U83-0.001,IF(T83="≤",U83+0.001,U83))))</f>
        <v>0</v>
      </c>
      <c r="AQ82" s="128">
        <f>+IF(T82="NA","",IF(AK82=0,"",IF(T82="&gt;",U82+0.001,IF(T82="&lt;",U82-0.001,U82))))</f>
        <v>0</v>
      </c>
      <c r="AR82" s="128" t="str">
        <f>IF(AK82=0,"",IF(T82="≥",U81-0.001,IF(T82="≤",U81+0.001,"")))</f>
        <v/>
      </c>
      <c r="AS82" s="128" t="str">
        <f>+IF(AK82=0,"",IF(T81="=",U81,""))</f>
        <v/>
      </c>
    </row>
    <row r="83" spans="2:45" x14ac:dyDescent="0.25">
      <c r="B83" s="106"/>
      <c r="D83" s="386" t="s">
        <v>55</v>
      </c>
      <c r="E83" s="386"/>
      <c r="F83" s="126"/>
      <c r="G83" s="126">
        <v>0.94</v>
      </c>
      <c r="H83" s="126">
        <v>0.94099999999999995</v>
      </c>
      <c r="I83" s="126">
        <v>0.96899999999999997</v>
      </c>
      <c r="J83" s="126">
        <v>0.97</v>
      </c>
      <c r="K83" s="126">
        <v>0.999</v>
      </c>
      <c r="L83" s="126">
        <v>1</v>
      </c>
      <c r="M83" s="126"/>
      <c r="O83" s="106"/>
      <c r="Q83" s="122" t="s">
        <v>1982</v>
      </c>
      <c r="R83" s="111"/>
      <c r="S83" s="127"/>
      <c r="T83" s="111"/>
      <c r="U83" s="127"/>
      <c r="V83" s="111"/>
      <c r="W83" s="127"/>
      <c r="X83" s="111"/>
      <c r="Y83" s="127"/>
      <c r="Z83" s="111"/>
      <c r="AA83" s="127"/>
      <c r="AB83" s="111"/>
      <c r="AC83" s="127"/>
      <c r="AE83" s="105" t="s">
        <v>55</v>
      </c>
      <c r="AF83" s="105">
        <v>9</v>
      </c>
      <c r="AG83" s="105">
        <f t="shared" si="0"/>
        <v>1</v>
      </c>
      <c r="AH83" s="105">
        <f>+IF(AG83=0,0,IF(AG83=1,(SUM($AG$75:AG83)-1),1))</f>
        <v>6</v>
      </c>
      <c r="AI83" s="105">
        <f t="shared" si="1"/>
        <v>1</v>
      </c>
      <c r="AJ83" s="105">
        <f t="shared" si="2"/>
        <v>0</v>
      </c>
      <c r="AK83" s="105">
        <f t="shared" si="3"/>
        <v>1</v>
      </c>
      <c r="AL83" s="128" t="str">
        <f>+""</f>
        <v/>
      </c>
      <c r="AM83" s="128">
        <f>+IF(AK83=0,"",IF(V84="&gt;",W84+0.001,IF(V84="&lt;",W84-0.001,W84)))</f>
        <v>0</v>
      </c>
      <c r="AN83" s="128">
        <f>+IF(V83="NA","",IF(AK83=0,"",IF(V84="≥",W84-0.001,IF(V84="≤",W84+0.001,W84))))</f>
        <v>0</v>
      </c>
      <c r="AO83" s="128">
        <f>IF(V83="NA","",IF(AK83=0,"",IF(V83="&gt;",W83+0.001,IF(V83="&lt;",W83-0.001,W83))))</f>
        <v>0</v>
      </c>
      <c r="AP83" s="128">
        <f>+IF(V82="NA","",IF(AK83=0,"",IF(V83="≥",W83-0.001,IF(V83="≤",W83+0.001,W83))))</f>
        <v>0</v>
      </c>
      <c r="AQ83" s="128">
        <f>+IF(V82="NA","",IF(AK83=0,"",IF(V82="&gt;",W82+0.001,IF(V82="&lt;",W82-0.001,W82))))</f>
        <v>0</v>
      </c>
      <c r="AR83" s="128" t="str">
        <f>IF(AK83=0,"",IF(V82="≥",W81-0.001,IF(V82="≤",W81+0.001,"")))</f>
        <v/>
      </c>
      <c r="AS83" s="128" t="str">
        <f>+IF(AK83=0,"",IF(V81="=",W81,""))</f>
        <v/>
      </c>
    </row>
    <row r="84" spans="2:45" x14ac:dyDescent="0.25">
      <c r="B84" s="106"/>
      <c r="D84" s="386" t="s">
        <v>56</v>
      </c>
      <c r="E84" s="386"/>
      <c r="F84" s="126"/>
      <c r="G84" s="126">
        <v>0.94</v>
      </c>
      <c r="H84" s="126">
        <v>0.94099999999999995</v>
      </c>
      <c r="I84" s="126">
        <v>0.96899999999999997</v>
      </c>
      <c r="J84" s="126">
        <v>0.97</v>
      </c>
      <c r="K84" s="126">
        <v>0.999</v>
      </c>
      <c r="L84" s="126">
        <v>1</v>
      </c>
      <c r="M84" s="126"/>
      <c r="O84" s="106"/>
      <c r="Q84" s="122" t="s">
        <v>1983</v>
      </c>
      <c r="R84" s="111"/>
      <c r="S84" s="127"/>
      <c r="T84" s="111"/>
      <c r="U84" s="127"/>
      <c r="V84" s="111"/>
      <c r="W84" s="127"/>
      <c r="X84" s="111"/>
      <c r="Y84" s="127"/>
      <c r="Z84" s="111"/>
      <c r="AA84" s="127"/>
      <c r="AB84" s="111"/>
      <c r="AC84" s="127"/>
      <c r="AE84" s="105" t="s">
        <v>56</v>
      </c>
      <c r="AF84" s="105">
        <v>10</v>
      </c>
      <c r="AG84" s="105">
        <f t="shared" si="0"/>
        <v>1</v>
      </c>
      <c r="AH84" s="105">
        <f>+IF(AG84=0,0,IF(AG84=1,(SUM($AG$75:AG84)-1),1))</f>
        <v>7</v>
      </c>
      <c r="AI84" s="105">
        <f t="shared" si="1"/>
        <v>1</v>
      </c>
      <c r="AJ84" s="105">
        <f t="shared" si="2"/>
        <v>0</v>
      </c>
      <c r="AK84" s="105">
        <f t="shared" si="3"/>
        <v>1</v>
      </c>
      <c r="AL84" s="128" t="str">
        <f>+""</f>
        <v/>
      </c>
      <c r="AM84" s="128">
        <f>+IF(AK84=0,"",IF(X84="&gt;",Y84+0.001,IF(X84="&lt;",Y84-0.001,Y84)))</f>
        <v>0</v>
      </c>
      <c r="AN84" s="128">
        <f>+IF(X83="NA","",IF(AK84=0,"",IF(X84="≥",Y84-0.001,IF(X84="≤",Y84+0.001,Y84))))</f>
        <v>0</v>
      </c>
      <c r="AO84" s="128">
        <f>IF(X83="NA","",IF(AK84=0,"",IF(X83="&gt;",Y83+0.001,IF(X83="&lt;",Y83-0.001,Y83))))</f>
        <v>0</v>
      </c>
      <c r="AP84" s="128">
        <f>+IF(X82="NA","",IF(AK84=0,"",IF(X83="≥",Y83-0.001,IF(X83="≤",Y83+0.001,Y83))))</f>
        <v>0</v>
      </c>
      <c r="AQ84" s="128">
        <f>+IF(X82="NA","",IF(AK84=0,"",IF(X82="&gt;",Y82+0.001,IF(X82="&lt;",Y82-0.001,Y82))))</f>
        <v>0</v>
      </c>
      <c r="AR84" s="128" t="str">
        <f>IF(AK84=0,"",IF(X82="≥",Y81-0.001,IF(X82="≤",Y81+0.001,"")))</f>
        <v/>
      </c>
      <c r="AS84" s="128" t="str">
        <f>+IF(AK84=0,"",IF(X81="=",Y81,""))</f>
        <v/>
      </c>
    </row>
    <row r="85" spans="2:45" x14ac:dyDescent="0.25">
      <c r="B85" s="106"/>
      <c r="D85" s="386" t="s">
        <v>57</v>
      </c>
      <c r="E85" s="386"/>
      <c r="F85" s="126"/>
      <c r="G85" s="126">
        <v>0.94</v>
      </c>
      <c r="H85" s="126">
        <v>0.94099999999999995</v>
      </c>
      <c r="I85" s="126">
        <v>0.96899999999999997</v>
      </c>
      <c r="J85" s="126">
        <v>0.97</v>
      </c>
      <c r="K85" s="126">
        <v>0.999</v>
      </c>
      <c r="L85" s="126">
        <v>1</v>
      </c>
      <c r="M85" s="126"/>
      <c r="O85" s="106"/>
      <c r="AE85" s="105" t="s">
        <v>57</v>
      </c>
      <c r="AF85" s="105">
        <v>11</v>
      </c>
      <c r="AG85" s="105">
        <f t="shared" si="0"/>
        <v>1</v>
      </c>
      <c r="AH85" s="105">
        <f>+IF(AG85=0,0,IF(AG85=1,(SUM($AG$75:AG85)-1),1))</f>
        <v>8</v>
      </c>
      <c r="AI85" s="105">
        <f t="shared" si="1"/>
        <v>1</v>
      </c>
      <c r="AJ85" s="105">
        <f t="shared" si="2"/>
        <v>0</v>
      </c>
      <c r="AK85" s="105">
        <f t="shared" si="3"/>
        <v>1</v>
      </c>
      <c r="AL85" s="128" t="str">
        <f>+""</f>
        <v/>
      </c>
      <c r="AM85" s="128">
        <f>+IF(AK85=0,"",IF(Z84="&gt;",AA84+0.001,IF(Z84="&lt;",AA84-0.001,AA84)))</f>
        <v>0</v>
      </c>
      <c r="AN85" s="128">
        <f>+IF(Z83="NA","",IF(AK85=0,"",IF(Z84="≥",AA84-0.001,IF(Z84="≤",AA84+0.001,AA84))))</f>
        <v>0</v>
      </c>
      <c r="AO85" s="128">
        <f>IF(Z83="NA","",IF(AK85=0,"",IF(Z83="&gt;",AA83+0.001,IF(Z83="&lt;",AA83-0.001,AA83))))</f>
        <v>0</v>
      </c>
      <c r="AP85" s="128">
        <f>+IF(Z82="NA","",IF(AK85=0,"",IF(Z83="≥",AA83-0.001,IF(Z83="≤",AA83+0.001,AA83))))</f>
        <v>0</v>
      </c>
      <c r="AQ85" s="128">
        <f>+IF(Z82="NA","",IF(AK85=0,"",IF(Z82="&gt;",AA82+0.001,IF(Z82="&lt;",AA82-0.001,AA82))))</f>
        <v>0</v>
      </c>
      <c r="AR85" s="128" t="str">
        <f>IF(AK85=0,"",IF(Z82="≥",AA81-0.001,IF(Z82="≤",AA81+0.001,"")))</f>
        <v/>
      </c>
      <c r="AS85" s="128" t="str">
        <f>+IF(AK85=0,"",IF(Z81="=",AA81,""))</f>
        <v/>
      </c>
    </row>
    <row r="86" spans="2:45" x14ac:dyDescent="0.25">
      <c r="B86" s="106"/>
      <c r="D86" s="386" t="s">
        <v>58</v>
      </c>
      <c r="E86" s="386"/>
      <c r="F86" s="126"/>
      <c r="G86" s="126">
        <v>0.94</v>
      </c>
      <c r="H86" s="126">
        <v>0.94099999999999995</v>
      </c>
      <c r="I86" s="126">
        <v>0.96899999999999997</v>
      </c>
      <c r="J86" s="126">
        <v>0.97</v>
      </c>
      <c r="K86" s="126">
        <v>0.999</v>
      </c>
      <c r="L86" s="126">
        <v>1</v>
      </c>
      <c r="M86" s="126"/>
      <c r="O86" s="106"/>
      <c r="AE86" s="105" t="s">
        <v>58</v>
      </c>
      <c r="AF86" s="129">
        <v>12</v>
      </c>
      <c r="AG86" s="105">
        <f t="shared" si="0"/>
        <v>1</v>
      </c>
      <c r="AH86" s="105">
        <f>+IF(AG86=0,0,IF(AG86=1,(SUM($AG$75:AG86)-1),1))</f>
        <v>9</v>
      </c>
      <c r="AI86" s="105">
        <f t="shared" si="1"/>
        <v>1</v>
      </c>
      <c r="AJ86" s="105">
        <f t="shared" si="2"/>
        <v>0</v>
      </c>
      <c r="AK86" s="105">
        <f t="shared" si="3"/>
        <v>1</v>
      </c>
      <c r="AL86" s="128" t="str">
        <f>+""</f>
        <v/>
      </c>
      <c r="AM86" s="128">
        <f>+IF(AK86=0,"",IF(AB84="&gt;",AC84+0.001,IF(AB84="&lt;",AC84-0.001,AC84)))</f>
        <v>0</v>
      </c>
      <c r="AN86" s="128">
        <f>+IF(AB83="NA","",IF(AK86=0,"",IF(AB84="≥",AC84-0.001,IF(AB84="≤",AC84+0.001,AC84))))</f>
        <v>0</v>
      </c>
      <c r="AO86" s="128">
        <f>IF(AB83="NA","",IF(AK86=0,"",IF(AB83="&gt;",AC83+0.001,IF(AB83="&lt;",AC83-0.001,AC83))))</f>
        <v>0</v>
      </c>
      <c r="AP86" s="128">
        <f>+IF(AB82="NA","",IF(AK86=0,"",IF(AB83="≥",AC83-0.001,IF(AB83="≤",AC83+0.001,AC83))))</f>
        <v>0</v>
      </c>
      <c r="AQ86" s="128">
        <f>+IF(AB82="NA","",IF(AK86=0,"",IF(AB82="&gt;",AC82+0.001,IF(AB82="&lt;",AC82-0.001,AC82))))</f>
        <v>0</v>
      </c>
      <c r="AR86" s="128" t="str">
        <f>IF(AK86=0,"",IF(AB82="≥",AC81-0.001,IF(AB82="≤",AC81+0.001,"")))</f>
        <v/>
      </c>
      <c r="AS86" s="128" t="str">
        <f>+IF(AK86=0,"",IF(AB81="=",AC81,""))</f>
        <v/>
      </c>
    </row>
    <row r="87" spans="2:45" ht="3.75" customHeight="1" x14ac:dyDescent="0.25">
      <c r="B87" s="106"/>
      <c r="O87" s="106"/>
      <c r="AR87" s="128" t="str">
        <f>IF(AK87=0,"",IF(S83="Creciente",IF(R88="≥",S88-0.001,""),IF(R88="≤",S88+0.001,"")))</f>
        <v/>
      </c>
    </row>
    <row r="88" spans="2:45" ht="66" customHeight="1" x14ac:dyDescent="0.25">
      <c r="B88" s="106"/>
      <c r="D88" s="378" t="s">
        <v>59</v>
      </c>
      <c r="E88" s="379"/>
      <c r="F88" s="380" t="s">
        <v>2079</v>
      </c>
      <c r="G88" s="381"/>
      <c r="H88" s="381"/>
      <c r="I88" s="381"/>
      <c r="J88" s="381"/>
      <c r="K88" s="381"/>
      <c r="L88" s="381"/>
      <c r="M88" s="382"/>
      <c r="O88" s="106"/>
    </row>
    <row r="89" spans="2:45" ht="3.95" customHeight="1" x14ac:dyDescent="0.25">
      <c r="B89" s="106"/>
      <c r="O89" s="106"/>
    </row>
    <row r="90" spans="2:45" ht="3" customHeight="1" x14ac:dyDescent="0.25">
      <c r="B90" s="106"/>
      <c r="C90" s="106"/>
      <c r="D90" s="106"/>
      <c r="E90" s="106"/>
      <c r="F90" s="106"/>
      <c r="G90" s="106"/>
      <c r="H90" s="106"/>
      <c r="I90" s="106"/>
      <c r="J90" s="106"/>
      <c r="K90" s="106"/>
      <c r="L90" s="106"/>
      <c r="M90" s="106"/>
      <c r="N90" s="106"/>
      <c r="O90" s="106"/>
    </row>
    <row r="91" spans="2:45" ht="3" customHeight="1" x14ac:dyDescent="0.25"/>
    <row r="92" spans="2:45" ht="3" customHeight="1" x14ac:dyDescent="0.25">
      <c r="B92" s="106"/>
      <c r="C92" s="106"/>
      <c r="D92" s="106"/>
      <c r="E92" s="106"/>
      <c r="F92" s="106"/>
      <c r="G92" s="106"/>
      <c r="H92" s="106"/>
      <c r="I92" s="106"/>
      <c r="J92" s="106"/>
      <c r="K92" s="106"/>
      <c r="L92" s="106"/>
      <c r="M92" s="106"/>
      <c r="N92" s="106"/>
      <c r="O92" s="106"/>
    </row>
    <row r="93" spans="2:45" ht="3.95" customHeight="1" x14ac:dyDescent="0.25">
      <c r="B93" s="106"/>
      <c r="O93" s="106"/>
    </row>
    <row r="94" spans="2:45" x14ac:dyDescent="0.25">
      <c r="B94" s="106"/>
      <c r="D94" s="112" t="s">
        <v>60</v>
      </c>
      <c r="O94" s="106"/>
    </row>
    <row r="95" spans="2:45" ht="3.95" customHeight="1" x14ac:dyDescent="0.25">
      <c r="B95" s="106"/>
      <c r="O95" s="106"/>
    </row>
    <row r="96" spans="2:45" ht="20.100000000000001" customHeight="1" x14ac:dyDescent="0.25">
      <c r="B96" s="106"/>
      <c r="D96" s="387" t="s">
        <v>61</v>
      </c>
      <c r="E96" s="387"/>
      <c r="O96" s="106"/>
    </row>
    <row r="97" spans="2:15" ht="30" customHeight="1" x14ac:dyDescent="0.25">
      <c r="B97" s="106"/>
      <c r="D97" s="369" t="s">
        <v>35</v>
      </c>
      <c r="E97" s="369"/>
      <c r="F97" s="370" t="str">
        <f>+IFERROR(VLOOKUP($S$12,[1]Hoja1!$B$5:$AT$190,29,FALSE),"")</f>
        <v>Reportes de Ejecucion Presupuestal SIIF</v>
      </c>
      <c r="G97" s="370"/>
      <c r="H97" s="370"/>
      <c r="I97" s="370"/>
      <c r="J97" s="370"/>
      <c r="K97" s="370"/>
      <c r="L97" s="370"/>
      <c r="M97" s="370"/>
      <c r="O97" s="106"/>
    </row>
    <row r="98" spans="2:15" ht="30" customHeight="1" x14ac:dyDescent="0.25">
      <c r="B98" s="106"/>
      <c r="D98" s="369" t="s">
        <v>36</v>
      </c>
      <c r="E98" s="369"/>
      <c r="F98" s="370" t="s">
        <v>1984</v>
      </c>
      <c r="G98" s="370"/>
      <c r="H98" s="370"/>
      <c r="I98" s="370"/>
      <c r="J98" s="370"/>
      <c r="K98" s="370"/>
      <c r="L98" s="370"/>
      <c r="M98" s="370"/>
      <c r="O98" s="106"/>
    </row>
    <row r="99" spans="2:15" ht="3.95" customHeight="1" x14ac:dyDescent="0.25">
      <c r="B99" s="106"/>
      <c r="O99" s="106"/>
    </row>
    <row r="100" spans="2:15" ht="58.5" customHeight="1" x14ac:dyDescent="0.25">
      <c r="B100" s="106"/>
      <c r="D100" s="378" t="s">
        <v>62</v>
      </c>
      <c r="E100" s="379"/>
      <c r="F100" s="383"/>
      <c r="G100" s="384"/>
      <c r="H100" s="384"/>
      <c r="I100" s="384"/>
      <c r="J100" s="384"/>
      <c r="K100" s="384"/>
      <c r="L100" s="384"/>
      <c r="M100" s="385"/>
      <c r="O100" s="106"/>
    </row>
    <row r="101" spans="2:15" ht="3.95" customHeight="1" x14ac:dyDescent="0.25">
      <c r="B101" s="106"/>
      <c r="O101" s="106"/>
    </row>
    <row r="102" spans="2:15" ht="19.5" customHeight="1" x14ac:dyDescent="0.25">
      <c r="B102" s="106"/>
      <c r="D102" s="371" t="s">
        <v>64</v>
      </c>
      <c r="E102" s="372"/>
      <c r="F102" s="130" t="s">
        <v>65</v>
      </c>
      <c r="G102" s="107" t="s">
        <v>2</v>
      </c>
      <c r="K102" s="131"/>
      <c r="O102" s="106"/>
    </row>
    <row r="103" spans="2:15" ht="19.5" customHeight="1" x14ac:dyDescent="0.25">
      <c r="B103" s="106"/>
      <c r="D103" s="373"/>
      <c r="E103" s="374"/>
      <c r="F103" s="130" t="s">
        <v>66</v>
      </c>
      <c r="G103" s="132"/>
      <c r="K103" s="133"/>
      <c r="O103" s="106"/>
    </row>
    <row r="104" spans="2:15" ht="27.75" customHeight="1" x14ac:dyDescent="0.25">
      <c r="B104" s="106"/>
      <c r="D104" s="373"/>
      <c r="E104" s="374"/>
      <c r="F104" s="130" t="s">
        <v>67</v>
      </c>
      <c r="G104" s="375"/>
      <c r="H104" s="376"/>
      <c r="I104" s="376"/>
      <c r="J104" s="376"/>
      <c r="K104" s="376"/>
      <c r="L104" s="376"/>
      <c r="M104" s="377"/>
      <c r="O104" s="106"/>
    </row>
    <row r="105" spans="2:15" ht="3.95" customHeight="1" x14ac:dyDescent="0.25">
      <c r="B105" s="106"/>
      <c r="O105" s="106"/>
    </row>
    <row r="106" spans="2:15" ht="229.5" customHeight="1" x14ac:dyDescent="0.25">
      <c r="B106" s="106"/>
      <c r="D106" s="378" t="s">
        <v>68</v>
      </c>
      <c r="E106" s="379"/>
      <c r="F106" s="380" t="s">
        <v>102</v>
      </c>
      <c r="G106" s="381"/>
      <c r="H106" s="381"/>
      <c r="I106" s="381"/>
      <c r="J106" s="381"/>
      <c r="K106" s="381"/>
      <c r="L106" s="381"/>
      <c r="M106" s="382"/>
      <c r="O106" s="106"/>
    </row>
    <row r="107" spans="2:15" ht="3.95" customHeight="1" x14ac:dyDescent="0.25">
      <c r="B107" s="106"/>
      <c r="O107" s="106"/>
    </row>
    <row r="108" spans="2:15" ht="17.25" customHeight="1" x14ac:dyDescent="0.25">
      <c r="B108" s="106"/>
      <c r="D108" s="371" t="s">
        <v>2040</v>
      </c>
      <c r="E108" s="372"/>
      <c r="F108" s="130" t="s">
        <v>2041</v>
      </c>
      <c r="G108" s="375" t="str">
        <f>+VLOOKUP(H10,tablero!$P$5:$R$201,3,FALSE)</f>
        <v>Director(a) Administrativa</v>
      </c>
      <c r="H108" s="376"/>
      <c r="I108" s="376"/>
      <c r="J108" s="376"/>
      <c r="K108" s="376"/>
      <c r="L108" s="376"/>
      <c r="M108" s="377"/>
      <c r="O108" s="106"/>
    </row>
    <row r="109" spans="2:15" ht="17.25" customHeight="1" x14ac:dyDescent="0.25">
      <c r="B109" s="106"/>
      <c r="D109" s="373"/>
      <c r="E109" s="374"/>
      <c r="F109" s="130" t="s">
        <v>2042</v>
      </c>
      <c r="G109" s="375" t="str">
        <f>+IF(M23="Si","Coordinador(a) Planeación y Sistemas","")</f>
        <v/>
      </c>
      <c r="H109" s="376"/>
      <c r="I109" s="376"/>
      <c r="J109" s="376"/>
      <c r="K109" s="376"/>
      <c r="L109" s="376"/>
      <c r="M109" s="377"/>
      <c r="O109" s="106"/>
    </row>
    <row r="110" spans="2:15" ht="17.25" customHeight="1" x14ac:dyDescent="0.25">
      <c r="B110" s="106"/>
      <c r="D110" s="373"/>
      <c r="E110" s="374"/>
      <c r="F110" s="130" t="s">
        <v>2043</v>
      </c>
      <c r="G110" s="375" t="str">
        <f>+IF(M24="Si","Coordinador(a) Centro Zonal","")</f>
        <v/>
      </c>
      <c r="H110" s="376"/>
      <c r="I110" s="376"/>
      <c r="J110" s="376"/>
      <c r="K110" s="376"/>
      <c r="L110" s="376"/>
      <c r="M110" s="377"/>
      <c r="O110" s="106"/>
    </row>
    <row r="111" spans="2:15" ht="3.95" customHeight="1" x14ac:dyDescent="0.25">
      <c r="B111" s="106"/>
      <c r="O111" s="106"/>
    </row>
    <row r="112" spans="2:15" ht="3" customHeight="1" x14ac:dyDescent="0.25">
      <c r="B112" s="106"/>
      <c r="C112" s="106"/>
      <c r="D112" s="106"/>
      <c r="E112" s="106"/>
      <c r="F112" s="106"/>
      <c r="G112" s="106"/>
      <c r="H112" s="106"/>
      <c r="I112" s="106"/>
      <c r="J112" s="106"/>
      <c r="K112" s="106"/>
      <c r="L112" s="106"/>
      <c r="M112" s="106"/>
      <c r="N112" s="106"/>
      <c r="O112" s="106"/>
    </row>
    <row r="113" spans="13:13" x14ac:dyDescent="0.25">
      <c r="M113" s="121" t="s">
        <v>70</v>
      </c>
    </row>
  </sheetData>
  <mergeCells count="85">
    <mergeCell ref="C3:N5"/>
    <mergeCell ref="D10:E10"/>
    <mergeCell ref="D12:E12"/>
    <mergeCell ref="F12:M12"/>
    <mergeCell ref="D14:E14"/>
    <mergeCell ref="F14:M14"/>
    <mergeCell ref="D22:E22"/>
    <mergeCell ref="G22:H22"/>
    <mergeCell ref="K22:L22"/>
    <mergeCell ref="D23:E23"/>
    <mergeCell ref="G23:H23"/>
    <mergeCell ref="K23:L23"/>
    <mergeCell ref="D24:E24"/>
    <mergeCell ref="G24:H24"/>
    <mergeCell ref="K24:L24"/>
    <mergeCell ref="D25:E25"/>
    <mergeCell ref="D29:E29"/>
    <mergeCell ref="F29:M29"/>
    <mergeCell ref="D30:E31"/>
    <mergeCell ref="G30:M30"/>
    <mergeCell ref="G31:M31"/>
    <mergeCell ref="D32:E33"/>
    <mergeCell ref="G32:M32"/>
    <mergeCell ref="G33:M33"/>
    <mergeCell ref="D34:E35"/>
    <mergeCell ref="G34:M34"/>
    <mergeCell ref="G35:M35"/>
    <mergeCell ref="D43:E43"/>
    <mergeCell ref="D44:E45"/>
    <mergeCell ref="G44:M44"/>
    <mergeCell ref="G45:M45"/>
    <mergeCell ref="D46:E47"/>
    <mergeCell ref="G46:M46"/>
    <mergeCell ref="G47:M47"/>
    <mergeCell ref="D48:E49"/>
    <mergeCell ref="G48:M48"/>
    <mergeCell ref="G49:M49"/>
    <mergeCell ref="D51:E51"/>
    <mergeCell ref="G51:H51"/>
    <mergeCell ref="D59:E59"/>
    <mergeCell ref="F59:M59"/>
    <mergeCell ref="D60:E60"/>
    <mergeCell ref="F60:M60"/>
    <mergeCell ref="D82:E82"/>
    <mergeCell ref="D83:E83"/>
    <mergeCell ref="D61:E61"/>
    <mergeCell ref="F61:M61"/>
    <mergeCell ref="D67:E67"/>
    <mergeCell ref="D71:E71"/>
    <mergeCell ref="D73:E74"/>
    <mergeCell ref="F73:G73"/>
    <mergeCell ref="H73:I73"/>
    <mergeCell ref="J73:K73"/>
    <mergeCell ref="L73:M73"/>
    <mergeCell ref="D77:E77"/>
    <mergeCell ref="D78:E78"/>
    <mergeCell ref="D79:E79"/>
    <mergeCell ref="D80:E80"/>
    <mergeCell ref="D81:E81"/>
    <mergeCell ref="AR73:AS73"/>
    <mergeCell ref="D75:E75"/>
    <mergeCell ref="D76:E76"/>
    <mergeCell ref="AL73:AM73"/>
    <mergeCell ref="AN73:AO73"/>
    <mergeCell ref="AP73:AQ73"/>
    <mergeCell ref="D84:E84"/>
    <mergeCell ref="D85:E85"/>
    <mergeCell ref="D86:E86"/>
    <mergeCell ref="D88:E88"/>
    <mergeCell ref="F97:M97"/>
    <mergeCell ref="D96:E96"/>
    <mergeCell ref="D97:E97"/>
    <mergeCell ref="F88:M88"/>
    <mergeCell ref="D98:E98"/>
    <mergeCell ref="F98:M98"/>
    <mergeCell ref="D108:E110"/>
    <mergeCell ref="G108:M108"/>
    <mergeCell ref="G109:M109"/>
    <mergeCell ref="G110:M110"/>
    <mergeCell ref="D102:E104"/>
    <mergeCell ref="G104:M104"/>
    <mergeCell ref="D106:E106"/>
    <mergeCell ref="F106:M106"/>
    <mergeCell ref="D100:E100"/>
    <mergeCell ref="F100:M100"/>
  </mergeCells>
  <conditionalFormatting sqref="F44:M49">
    <cfRule type="expression" dxfId="1226" priority="37">
      <formula>+IF($F$43="no",1,0)</formula>
    </cfRule>
  </conditionalFormatting>
  <conditionalFormatting sqref="F47:M47">
    <cfRule type="expression" dxfId="1225" priority="34">
      <formula>+IF($Q$47=0,1,0)</formula>
    </cfRule>
  </conditionalFormatting>
  <conditionalFormatting sqref="Y75:Y78">
    <cfRule type="expression" dxfId="1224" priority="30">
      <formula>+IF(Y$73=0,1,0)</formula>
    </cfRule>
  </conditionalFormatting>
  <conditionalFormatting sqref="AA75:AA78">
    <cfRule type="expression" dxfId="1223" priority="29">
      <formula>+IF(AA$73=0,1,0)</formula>
    </cfRule>
  </conditionalFormatting>
  <conditionalFormatting sqref="AC75:AC78">
    <cfRule type="expression" dxfId="1222" priority="28">
      <formula>+IF(AC$73=0,1,0)</formula>
    </cfRule>
  </conditionalFormatting>
  <conditionalFormatting sqref="S81:S84">
    <cfRule type="expression" dxfId="1221" priority="27">
      <formula>+IF(S$79=0,1,0)</formula>
    </cfRule>
  </conditionalFormatting>
  <conditionalFormatting sqref="U81:U84">
    <cfRule type="expression" dxfId="1220" priority="26">
      <formula>+IF(U$79=0,1,0)</formula>
    </cfRule>
  </conditionalFormatting>
  <conditionalFormatting sqref="W81:W84">
    <cfRule type="expression" dxfId="1219" priority="25">
      <formula>+IF(W$79=0,1,0)</formula>
    </cfRule>
  </conditionalFormatting>
  <conditionalFormatting sqref="Y81:Y84">
    <cfRule type="expression" dxfId="1218" priority="24">
      <formula>+IF(Y$79=0,1,0)</formula>
    </cfRule>
  </conditionalFormatting>
  <conditionalFormatting sqref="AA81:AA84">
    <cfRule type="expression" dxfId="1217" priority="23">
      <formula>+IF(AA$79=0,1,0)</formula>
    </cfRule>
  </conditionalFormatting>
  <conditionalFormatting sqref="AC81:AC84">
    <cfRule type="expression" dxfId="1216" priority="22">
      <formula>+IF(AC$79=0,1,0)</formula>
    </cfRule>
  </conditionalFormatting>
  <conditionalFormatting sqref="F73:G73">
    <cfRule type="cellIs" dxfId="1215" priority="20" operator="equal">
      <formula>"optimo"</formula>
    </cfRule>
    <cfRule type="cellIs" dxfId="1214" priority="21" operator="equal">
      <formula>"critico"</formula>
    </cfRule>
  </conditionalFormatting>
  <conditionalFormatting sqref="H73:I73">
    <cfRule type="cellIs" dxfId="1213" priority="18" operator="equal">
      <formula>"Adecuado"</formula>
    </cfRule>
    <cfRule type="cellIs" dxfId="1212" priority="19" operator="equal">
      <formula>"en riesgo"</formula>
    </cfRule>
  </conditionalFormatting>
  <conditionalFormatting sqref="J73:K73">
    <cfRule type="cellIs" dxfId="1211" priority="16" operator="equal">
      <formula>"Adecuado"</formula>
    </cfRule>
    <cfRule type="cellIs" dxfId="1210" priority="17" operator="equal">
      <formula>"en riesgo"</formula>
    </cfRule>
  </conditionalFormatting>
  <conditionalFormatting sqref="L73:M73">
    <cfRule type="cellIs" dxfId="1209" priority="14" operator="equal">
      <formula>"optimo"</formula>
    </cfRule>
    <cfRule type="cellIs" dxfId="1208" priority="15" operator="equal">
      <formula>"critico"</formula>
    </cfRule>
  </conditionalFormatting>
  <conditionalFormatting sqref="F75:M76">
    <cfRule type="expression" dxfId="1207" priority="13">
      <formula>+IF($AK75=0,1)</formula>
    </cfRule>
  </conditionalFormatting>
  <conditionalFormatting sqref="F103:G104">
    <cfRule type="expression" dxfId="1206" priority="12">
      <formula>+IF($G$102="No",1,0)</formula>
    </cfRule>
  </conditionalFormatting>
  <conditionalFormatting sqref="F51">
    <cfRule type="expression" dxfId="1205" priority="11">
      <formula>+IF($F$43="no",1,0)</formula>
    </cfRule>
  </conditionalFormatting>
  <conditionalFormatting sqref="I51">
    <cfRule type="expression" dxfId="1204" priority="10">
      <formula>+IF($F$51="no",1,0)</formula>
    </cfRule>
  </conditionalFormatting>
  <conditionalFormatting sqref="F32:M32">
    <cfRule type="expression" dxfId="1203" priority="8">
      <formula>+IF($Q$30="NA",1,0)</formula>
    </cfRule>
  </conditionalFormatting>
  <conditionalFormatting sqref="F33:M33">
    <cfRule type="expression" dxfId="1202" priority="7">
      <formula>+IF($Q$30="NA",1,0)</formula>
    </cfRule>
  </conditionalFormatting>
  <conditionalFormatting sqref="F33:M33">
    <cfRule type="expression" dxfId="1201" priority="6">
      <formula>+IF($Q$33=0,1,0)</formula>
    </cfRule>
  </conditionalFormatting>
  <conditionalFormatting sqref="F77:F86 M77:M86">
    <cfRule type="expression" dxfId="1200" priority="2">
      <formula>+IF($AK77=0,1)</formula>
    </cfRule>
  </conditionalFormatting>
  <conditionalFormatting sqref="G77:L86">
    <cfRule type="expression" dxfId="1199" priority="1">
      <formula>+IF($AK77=0,1)</formula>
    </cfRule>
  </conditionalFormatting>
  <dataValidations count="13">
    <dataValidation type="list" allowBlank="1" showInputMessage="1" showErrorMessage="1" sqref="G102 F43 F51">
      <formula1>$S$4:$S$5</formula1>
    </dataValidation>
    <dataValidation type="list" allowBlank="1" showInputMessage="1" showErrorMessage="1" sqref="F29:M29">
      <formula1>objetivos</formula1>
    </dataValidation>
    <dataValidation type="list" allowBlank="1" showInputMessage="1" showErrorMessage="1" sqref="F35:G35">
      <formula1>macroprocesos</formula1>
    </dataValidation>
    <dataValidation type="list" allowBlank="1" showInputMessage="1" showErrorMessage="1" sqref="G33:M33">
      <formula1>INDIRECT($Q$30)</formula1>
    </dataValidation>
    <dataValidation type="list" allowBlank="1" showInputMessage="1" showErrorMessage="1" sqref="G31:M31">
      <formula1>macroproceso</formula1>
    </dataValidation>
    <dataValidation type="list" allowBlank="1" showInputMessage="1" showErrorMessage="1" sqref="G45:M45">
      <formula1>lineas</formula1>
    </dataValidation>
    <dataValidation type="list" allowBlank="1" showInputMessage="1" showErrorMessage="1" sqref="G47:M47">
      <formula1>INDIRECT($Q$45)</formula1>
    </dataValidation>
    <dataValidation type="list" allowBlank="1" showInputMessage="1" showErrorMessage="1" sqref="F24">
      <formula1>tendencia</formula1>
    </dataValidation>
    <dataValidation type="list" allowBlank="1" showInputMessage="1" showErrorMessage="1" sqref="I23">
      <formula1>medidas</formula1>
    </dataValidation>
    <dataValidation type="list" allowBlank="1" showInputMessage="1" showErrorMessage="1" sqref="I24">
      <formula1>ambito</formula1>
    </dataValidation>
    <dataValidation type="list" allowBlank="1" showInputMessage="1" showErrorMessage="1" sqref="F71">
      <formula1>$D$75:$D$86</formula1>
    </dataValidation>
    <dataValidation type="list" allowBlank="1" showInputMessage="1" showErrorMessage="1" sqref="G49:M49">
      <formula1>proyectos</formula1>
    </dataValidation>
    <dataValidation type="list" allowBlank="1" showInputMessage="1" showErrorMessage="1" sqref="F25">
      <formula1>dimen</formula1>
    </dataValidation>
  </dataValidations>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[1]base!#REF!</xm:f>
          </x14:formula1>
          <xm:sqref>R75:R78 T75:T78 V75:V78 X75:X78 Z75:Z78 AB75:AB78 T81:T84 Z81:Z84 R81:R84 V81:V84 X81:X84 AB81:AB84 F23</xm:sqref>
        </x14:dataValidation>
        <x14:dataValidation type="list" allowBlank="1" showInputMessage="1" showErrorMessage="1">
          <x14:formula1>
            <xm:f>[1]Hoja1!#REF!</xm:f>
          </x14:formula1>
          <xm:sqref>S12</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tabColor rgb="FF0070C0"/>
  </sheetPr>
  <dimension ref="B1:AV113"/>
  <sheetViews>
    <sheetView topLeftCell="A64" zoomScaleNormal="100" workbookViewId="0">
      <selection activeCell="J86" sqref="J86:K86"/>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124</v>
      </c>
      <c r="O10" s="2"/>
    </row>
    <row r="11" spans="2:24" ht="3.95" customHeight="1" x14ac:dyDescent="0.25">
      <c r="B11" s="2"/>
      <c r="D11" s="6"/>
      <c r="O11" s="2"/>
    </row>
    <row r="12" spans="2:24" ht="36" customHeight="1" x14ac:dyDescent="0.25">
      <c r="B12" s="2"/>
      <c r="D12" s="338" t="s">
        <v>5</v>
      </c>
      <c r="E12" s="339"/>
      <c r="F12" s="340" t="s">
        <v>1666</v>
      </c>
      <c r="G12" s="341"/>
      <c r="H12" s="341"/>
      <c r="I12" s="341"/>
      <c r="J12" s="341"/>
      <c r="K12" s="341"/>
      <c r="L12" s="341"/>
      <c r="M12" s="342"/>
      <c r="O12" s="2"/>
      <c r="W12" s="3" t="str">
        <f>+F23</f>
        <v>Mensual</v>
      </c>
      <c r="X12" s="3" t="str">
        <f>+F71</f>
        <v>Mayo</v>
      </c>
    </row>
    <row r="13" spans="2:24" ht="3.95" customHeight="1" x14ac:dyDescent="0.25">
      <c r="B13" s="2"/>
      <c r="O13" s="2"/>
    </row>
    <row r="14" spans="2:24" ht="36" customHeight="1" x14ac:dyDescent="0.25">
      <c r="B14" s="2"/>
      <c r="D14" s="338" t="s">
        <v>6</v>
      </c>
      <c r="E14" s="339"/>
      <c r="F14" s="340" t="s">
        <v>1673</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8" t="s">
        <v>512</v>
      </c>
      <c r="G22" s="337" t="s">
        <v>9</v>
      </c>
      <c r="H22" s="337"/>
      <c r="I22" s="8">
        <v>150</v>
      </c>
      <c r="K22" s="337" t="s">
        <v>10</v>
      </c>
      <c r="L22" s="337"/>
      <c r="M22" s="9" t="s">
        <v>496</v>
      </c>
      <c r="O22" s="2"/>
    </row>
    <row r="23" spans="2:17" ht="19.5" customHeight="1" x14ac:dyDescent="0.25">
      <c r="B23" s="2"/>
      <c r="D23" s="337" t="s">
        <v>11</v>
      </c>
      <c r="E23" s="337"/>
      <c r="F23" s="4" t="s">
        <v>84</v>
      </c>
      <c r="G23" s="337" t="s">
        <v>12</v>
      </c>
      <c r="H23" s="337"/>
      <c r="I23" s="4" t="s">
        <v>553</v>
      </c>
      <c r="K23" s="337" t="s">
        <v>13</v>
      </c>
      <c r="L23" s="337"/>
      <c r="M23" s="9" t="s">
        <v>2</v>
      </c>
      <c r="O23" s="2"/>
    </row>
    <row r="24" spans="2:17" ht="20.100000000000001" customHeight="1" x14ac:dyDescent="0.25">
      <c r="B24" s="2"/>
      <c r="D24" s="337" t="s">
        <v>14</v>
      </c>
      <c r="E24" s="337"/>
      <c r="F24" s="4" t="s">
        <v>498</v>
      </c>
      <c r="G24" s="337" t="s">
        <v>15</v>
      </c>
      <c r="H24" s="337"/>
      <c r="I24" s="4" t="s">
        <v>533</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20</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NA</v>
      </c>
    </row>
    <row r="31" spans="2:17" ht="24" customHeight="1" x14ac:dyDescent="0.25">
      <c r="B31" s="2"/>
      <c r="D31" s="347"/>
      <c r="E31" s="348"/>
      <c r="F31" s="4" t="s">
        <v>109</v>
      </c>
      <c r="G31" s="340" t="s">
        <v>110</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500</v>
      </c>
      <c r="G33" s="340"/>
      <c r="H33" s="341"/>
      <c r="I33" s="341"/>
      <c r="J33" s="341"/>
      <c r="K33" s="341"/>
      <c r="L33" s="341"/>
      <c r="M33" s="342"/>
      <c r="O33" s="2"/>
      <c r="Q33" s="3" t="str">
        <f>+IFERROR(IF(VLOOKUP(G33,base!$A$26:$C$40,3,FALSE)=F31,1,0),"")</f>
        <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1711</v>
      </c>
      <c r="G35" s="340" t="s">
        <v>1587</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501</v>
      </c>
      <c r="G45" s="340" t="s">
        <v>502</v>
      </c>
      <c r="H45" s="341"/>
      <c r="I45" s="341"/>
      <c r="J45" s="341"/>
      <c r="K45" s="341"/>
      <c r="L45" s="341"/>
      <c r="M45" s="342"/>
      <c r="O45" s="2"/>
      <c r="Q45" s="3" t="str">
        <f>+IFERROR(VLOOKUP(G45,base!$A$41:$C$45,3,FALSE),"")</f>
        <v>misional</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503</v>
      </c>
      <c r="G47" s="340" t="s">
        <v>504</v>
      </c>
      <c r="H47" s="341"/>
      <c r="I47" s="341"/>
      <c r="J47" s="341"/>
      <c r="K47" s="341"/>
      <c r="L47" s="341"/>
      <c r="M47" s="342"/>
      <c r="O47" s="2"/>
      <c r="Q47" s="3">
        <f>+IF(VLOOKUP(G47,base!$A$46:$C$66,3,FALSE)=F45,1,0)</f>
        <v>1</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535</v>
      </c>
      <c r="G49" s="340" t="s">
        <v>30</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496</v>
      </c>
      <c r="G51" s="337" t="s">
        <v>32</v>
      </c>
      <c r="H51" s="337"/>
      <c r="I51" s="8">
        <v>350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75" customHeight="1" x14ac:dyDescent="0.25">
      <c r="B59" s="2"/>
      <c r="D59" s="337" t="s">
        <v>34</v>
      </c>
      <c r="E59" s="337"/>
      <c r="F59" s="344" t="s">
        <v>1667</v>
      </c>
      <c r="G59" s="344"/>
      <c r="H59" s="344"/>
      <c r="I59" s="344"/>
      <c r="J59" s="344"/>
      <c r="K59" s="344"/>
      <c r="L59" s="344"/>
      <c r="M59" s="344"/>
      <c r="O59" s="2"/>
    </row>
    <row r="60" spans="2:15" ht="27" customHeight="1" x14ac:dyDescent="0.25">
      <c r="B60" s="2"/>
      <c r="D60" s="359" t="s">
        <v>35</v>
      </c>
      <c r="E60" s="359"/>
      <c r="F60" s="344" t="s">
        <v>1672</v>
      </c>
      <c r="G60" s="344"/>
      <c r="H60" s="344"/>
      <c r="I60" s="344"/>
      <c r="J60" s="344"/>
      <c r="K60" s="344"/>
      <c r="L60" s="344"/>
      <c r="M60" s="344"/>
      <c r="O60" s="2"/>
    </row>
    <row r="61" spans="2:15" ht="27" customHeight="1" x14ac:dyDescent="0.25">
      <c r="B61" s="2"/>
      <c r="D61" s="359" t="s">
        <v>36</v>
      </c>
      <c r="E61" s="359"/>
      <c r="F61" s="344" t="s">
        <v>622</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43" t="s">
        <v>39</v>
      </c>
      <c r="E71" s="343"/>
      <c r="F71" s="4" t="s">
        <v>49</v>
      </c>
      <c r="G71" s="3">
        <v>5</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60" t="s">
        <v>49</v>
      </c>
      <c r="E79" s="360"/>
      <c r="F79" s="16" t="s">
        <v>500</v>
      </c>
      <c r="G79" s="16">
        <v>9.9000000000000005E-2</v>
      </c>
      <c r="H79" s="16">
        <v>0.1</v>
      </c>
      <c r="I79" s="16">
        <v>0.13900000000000001</v>
      </c>
      <c r="J79" s="16">
        <v>0.14000000000000001</v>
      </c>
      <c r="K79" s="16">
        <v>0.159</v>
      </c>
      <c r="L79" s="16">
        <v>0.16</v>
      </c>
      <c r="M79" s="16" t="s">
        <v>500</v>
      </c>
      <c r="O79" s="2"/>
      <c r="AE79" s="3" t="s">
        <v>49</v>
      </c>
      <c r="AF79" s="3">
        <v>5</v>
      </c>
      <c r="AG79" s="3">
        <f t="shared" si="0"/>
        <v>1</v>
      </c>
      <c r="AH79" s="3">
        <f>+IF(AG79=0,0,IF(AG79=1,(SUM($AG$75:AG79)-1),1))</f>
        <v>0</v>
      </c>
      <c r="AI79" s="3">
        <f t="shared" si="1"/>
        <v>0</v>
      </c>
      <c r="AJ79" s="3">
        <f t="shared" si="2"/>
        <v>1</v>
      </c>
      <c r="AK79" s="3">
        <f t="shared" si="3"/>
        <v>1</v>
      </c>
    </row>
    <row r="80" spans="2:37" x14ac:dyDescent="0.25">
      <c r="B80" s="2"/>
      <c r="D80" s="360" t="s">
        <v>50</v>
      </c>
      <c r="E80" s="360"/>
      <c r="F80" s="16" t="s">
        <v>500</v>
      </c>
      <c r="G80" s="16">
        <v>9.9000000000000005E-2</v>
      </c>
      <c r="H80" s="16">
        <v>0.1</v>
      </c>
      <c r="I80" s="16">
        <v>0.13900000000000001</v>
      </c>
      <c r="J80" s="16">
        <v>0.14000000000000001</v>
      </c>
      <c r="K80" s="16">
        <v>0.159</v>
      </c>
      <c r="L80" s="16">
        <v>0.16</v>
      </c>
      <c r="M80" s="16" t="s">
        <v>500</v>
      </c>
      <c r="O80" s="2"/>
      <c r="AE80" s="3" t="s">
        <v>50</v>
      </c>
      <c r="AF80" s="3">
        <v>6</v>
      </c>
      <c r="AG80" s="3">
        <f t="shared" si="0"/>
        <v>1</v>
      </c>
      <c r="AH80" s="3">
        <f>+IF(AG80=0,0,IF(AG80=1,(SUM($AG$75:AG80)-1),1))</f>
        <v>1</v>
      </c>
      <c r="AI80" s="3">
        <f t="shared" si="1"/>
        <v>1</v>
      </c>
      <c r="AJ80" s="3">
        <f t="shared" si="2"/>
        <v>0</v>
      </c>
      <c r="AK80" s="3">
        <f t="shared" si="3"/>
        <v>1</v>
      </c>
    </row>
    <row r="81" spans="2:37" x14ac:dyDescent="0.25">
      <c r="B81" s="2"/>
      <c r="D81" s="360" t="s">
        <v>53</v>
      </c>
      <c r="E81" s="360"/>
      <c r="F81" s="16" t="s">
        <v>500</v>
      </c>
      <c r="G81" s="16">
        <v>0.29899999999999999</v>
      </c>
      <c r="H81" s="16">
        <v>0.3</v>
      </c>
      <c r="I81" s="16">
        <v>0.39900000000000002</v>
      </c>
      <c r="J81" s="16">
        <v>0.4</v>
      </c>
      <c r="K81" s="16">
        <v>0.499</v>
      </c>
      <c r="L81" s="16">
        <v>0.5</v>
      </c>
      <c r="M81" s="16" t="s">
        <v>500</v>
      </c>
      <c r="O81" s="2"/>
      <c r="AE81" s="3" t="s">
        <v>53</v>
      </c>
      <c r="AF81" s="3">
        <v>7</v>
      </c>
      <c r="AG81" s="3">
        <f t="shared" si="0"/>
        <v>1</v>
      </c>
      <c r="AH81" s="3">
        <f>+IF(AG81=0,0,IF(AG81=1,(SUM($AG$75:AG81)-1),1))</f>
        <v>2</v>
      </c>
      <c r="AI81" s="3">
        <f t="shared" si="1"/>
        <v>1</v>
      </c>
      <c r="AJ81" s="3">
        <f t="shared" si="2"/>
        <v>0</v>
      </c>
      <c r="AK81" s="3">
        <f t="shared" si="3"/>
        <v>1</v>
      </c>
    </row>
    <row r="82" spans="2:37" x14ac:dyDescent="0.25">
      <c r="B82" s="2"/>
      <c r="D82" s="360" t="s">
        <v>54</v>
      </c>
      <c r="E82" s="360"/>
      <c r="F82" s="16" t="s">
        <v>500</v>
      </c>
      <c r="G82" s="16">
        <v>0.29899999999999999</v>
      </c>
      <c r="H82" s="16">
        <v>0.3</v>
      </c>
      <c r="I82" s="16">
        <v>0.39900000000000002</v>
      </c>
      <c r="J82" s="16">
        <v>0.4</v>
      </c>
      <c r="K82" s="16">
        <v>0.499</v>
      </c>
      <c r="L82" s="16">
        <v>0.5</v>
      </c>
      <c r="M82" s="16" t="s">
        <v>500</v>
      </c>
      <c r="O82" s="2"/>
      <c r="AE82" s="3" t="s">
        <v>54</v>
      </c>
      <c r="AF82" s="3">
        <v>8</v>
      </c>
      <c r="AG82" s="3">
        <f t="shared" si="0"/>
        <v>1</v>
      </c>
      <c r="AH82" s="3">
        <f>+IF(AG82=0,0,IF(AG82=1,(SUM($AG$75:AG82)-1),1))</f>
        <v>3</v>
      </c>
      <c r="AI82" s="3">
        <f t="shared" si="1"/>
        <v>1</v>
      </c>
      <c r="AJ82" s="3">
        <f t="shared" si="2"/>
        <v>0</v>
      </c>
      <c r="AK82" s="3">
        <f t="shared" si="3"/>
        <v>1</v>
      </c>
    </row>
    <row r="83" spans="2:37" x14ac:dyDescent="0.25">
      <c r="B83" s="2"/>
      <c r="D83" s="360" t="s">
        <v>55</v>
      </c>
      <c r="E83" s="360"/>
      <c r="F83" s="16" t="s">
        <v>500</v>
      </c>
      <c r="G83" s="16">
        <v>0.29899999999999999</v>
      </c>
      <c r="H83" s="16">
        <v>0.3</v>
      </c>
      <c r="I83" s="16">
        <v>0.39900000000000002</v>
      </c>
      <c r="J83" s="16">
        <v>0.4</v>
      </c>
      <c r="K83" s="16">
        <v>0.499</v>
      </c>
      <c r="L83" s="16">
        <v>0.5</v>
      </c>
      <c r="M83" s="16" t="s">
        <v>500</v>
      </c>
      <c r="O83" s="2"/>
      <c r="AE83" s="3" t="s">
        <v>55</v>
      </c>
      <c r="AF83" s="3">
        <v>9</v>
      </c>
      <c r="AG83" s="3">
        <f t="shared" si="0"/>
        <v>1</v>
      </c>
      <c r="AH83" s="3">
        <f>+IF(AG83=0,0,IF(AG83=1,(SUM($AG$75:AG83)-1),1))</f>
        <v>4</v>
      </c>
      <c r="AI83" s="3">
        <f t="shared" si="1"/>
        <v>1</v>
      </c>
      <c r="AJ83" s="3">
        <f t="shared" si="2"/>
        <v>0</v>
      </c>
      <c r="AK83" s="3">
        <f t="shared" si="3"/>
        <v>1</v>
      </c>
    </row>
    <row r="84" spans="2:37" x14ac:dyDescent="0.25">
      <c r="B84" s="2"/>
      <c r="D84" s="360" t="s">
        <v>56</v>
      </c>
      <c r="E84" s="360"/>
      <c r="F84" s="16" t="s">
        <v>500</v>
      </c>
      <c r="G84" s="16">
        <v>0.499</v>
      </c>
      <c r="H84" s="16">
        <v>0.5</v>
      </c>
      <c r="I84" s="16">
        <v>0.59899999999999998</v>
      </c>
      <c r="J84" s="16">
        <v>0.6</v>
      </c>
      <c r="K84" s="16">
        <v>0.749</v>
      </c>
      <c r="L84" s="16">
        <v>0.75</v>
      </c>
      <c r="M84" s="16" t="s">
        <v>500</v>
      </c>
      <c r="O84" s="2"/>
      <c r="AE84" s="3" t="s">
        <v>56</v>
      </c>
      <c r="AF84" s="3">
        <v>10</v>
      </c>
      <c r="AG84" s="3">
        <f t="shared" si="0"/>
        <v>1</v>
      </c>
      <c r="AH84" s="3">
        <f>+IF(AG84=0,0,IF(AG84=1,(SUM($AG$75:AG84)-1),1))</f>
        <v>5</v>
      </c>
      <c r="AI84" s="3">
        <f t="shared" si="1"/>
        <v>1</v>
      </c>
      <c r="AJ84" s="3">
        <f t="shared" si="2"/>
        <v>0</v>
      </c>
      <c r="AK84" s="3">
        <f t="shared" si="3"/>
        <v>1</v>
      </c>
    </row>
    <row r="85" spans="2:37" x14ac:dyDescent="0.25">
      <c r="B85" s="2"/>
      <c r="D85" s="360" t="s">
        <v>57</v>
      </c>
      <c r="E85" s="360"/>
      <c r="F85" s="16" t="s">
        <v>500</v>
      </c>
      <c r="G85" s="16">
        <v>0.499</v>
      </c>
      <c r="H85" s="16">
        <v>0.5</v>
      </c>
      <c r="I85" s="16">
        <v>0.59899999999999998</v>
      </c>
      <c r="J85" s="16">
        <v>0.6</v>
      </c>
      <c r="K85" s="16">
        <v>0.749</v>
      </c>
      <c r="L85" s="16">
        <v>0.75</v>
      </c>
      <c r="M85" s="16" t="s">
        <v>500</v>
      </c>
      <c r="O85" s="2"/>
      <c r="AE85" s="3" t="s">
        <v>57</v>
      </c>
      <c r="AF85" s="3">
        <v>11</v>
      </c>
      <c r="AG85" s="3">
        <f t="shared" si="0"/>
        <v>1</v>
      </c>
      <c r="AH85" s="3">
        <f>+IF(AG85=0,0,IF(AG85=1,(SUM($AG$75:AG85)-1),1))</f>
        <v>6</v>
      </c>
      <c r="AI85" s="3">
        <f t="shared" si="1"/>
        <v>1</v>
      </c>
      <c r="AJ85" s="3">
        <f t="shared" si="2"/>
        <v>0</v>
      </c>
      <c r="AK85" s="3">
        <f t="shared" si="3"/>
        <v>1</v>
      </c>
    </row>
    <row r="86" spans="2:37" x14ac:dyDescent="0.25">
      <c r="B86" s="2"/>
      <c r="D86" s="360" t="s">
        <v>58</v>
      </c>
      <c r="E86" s="360"/>
      <c r="F86" s="16" t="s">
        <v>500</v>
      </c>
      <c r="G86" s="16">
        <v>0.749</v>
      </c>
      <c r="H86" s="16">
        <v>0.75</v>
      </c>
      <c r="I86" s="16">
        <v>0.79900000000000004</v>
      </c>
      <c r="J86" s="16">
        <v>0.8</v>
      </c>
      <c r="K86" s="16">
        <v>0.999</v>
      </c>
      <c r="L86" s="16">
        <v>1</v>
      </c>
      <c r="M86" s="16" t="s">
        <v>500</v>
      </c>
      <c r="O86" s="2"/>
      <c r="AE86" s="3" t="s">
        <v>58</v>
      </c>
      <c r="AF86" s="65">
        <v>12</v>
      </c>
      <c r="AG86" s="3">
        <f t="shared" si="0"/>
        <v>1</v>
      </c>
      <c r="AH86" s="3">
        <f>+IF(AG86=0,0,IF(AG86=1,(SUM($AG$75:AG86)-1),1))</f>
        <v>7</v>
      </c>
      <c r="AI86" s="3">
        <f t="shared" si="1"/>
        <v>1</v>
      </c>
      <c r="AJ86" s="3">
        <f t="shared" si="2"/>
        <v>0</v>
      </c>
      <c r="AK86" s="3">
        <f t="shared" si="3"/>
        <v>1</v>
      </c>
    </row>
    <row r="87" spans="2:37" ht="3.75" customHeight="1" x14ac:dyDescent="0.25">
      <c r="B87" s="2"/>
      <c r="O87" s="2"/>
    </row>
    <row r="88" spans="2:37" ht="42" customHeight="1" x14ac:dyDescent="0.25">
      <c r="B88" s="2"/>
      <c r="D88" s="338" t="s">
        <v>59</v>
      </c>
      <c r="E88" s="339"/>
      <c r="F88" s="340"/>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28.5" customHeight="1" x14ac:dyDescent="0.25">
      <c r="B97" s="2"/>
      <c r="D97" s="359" t="s">
        <v>35</v>
      </c>
      <c r="E97" s="359"/>
      <c r="F97" s="344" t="s">
        <v>623</v>
      </c>
      <c r="G97" s="344"/>
      <c r="H97" s="344"/>
      <c r="I97" s="344"/>
      <c r="J97" s="344"/>
      <c r="K97" s="344"/>
      <c r="L97" s="344"/>
      <c r="M97" s="344"/>
      <c r="O97" s="2"/>
    </row>
    <row r="98" spans="2:15" ht="28.5" customHeight="1" x14ac:dyDescent="0.25">
      <c r="B98" s="2"/>
      <c r="D98" s="359" t="s">
        <v>36</v>
      </c>
      <c r="E98" s="359"/>
      <c r="F98" s="344" t="s">
        <v>491</v>
      </c>
      <c r="G98" s="344"/>
      <c r="H98" s="344"/>
      <c r="I98" s="344"/>
      <c r="J98" s="344"/>
      <c r="K98" s="344"/>
      <c r="L98" s="344"/>
      <c r="M98" s="344"/>
      <c r="O98" s="2"/>
    </row>
    <row r="99" spans="2:15" ht="3.95" customHeight="1" x14ac:dyDescent="0.25">
      <c r="B99" s="2"/>
      <c r="O99" s="2"/>
    </row>
    <row r="100" spans="2:15" ht="141" customHeight="1" x14ac:dyDescent="0.25">
      <c r="B100" s="2"/>
      <c r="D100" s="338" t="s">
        <v>62</v>
      </c>
      <c r="E100" s="339"/>
      <c r="F100" s="340" t="s">
        <v>79</v>
      </c>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2</v>
      </c>
      <c r="K102" s="20"/>
      <c r="O102" s="2"/>
    </row>
    <row r="103" spans="2:15" ht="19.5" customHeight="1" x14ac:dyDescent="0.25">
      <c r="B103" s="2"/>
      <c r="D103" s="331"/>
      <c r="E103" s="332"/>
      <c r="F103" s="19" t="s">
        <v>66</v>
      </c>
      <c r="G103" s="4"/>
      <c r="K103" s="21"/>
      <c r="O103" s="2"/>
    </row>
    <row r="104" spans="2:15" ht="27.75" customHeight="1" x14ac:dyDescent="0.25">
      <c r="B104" s="2"/>
      <c r="D104" s="331"/>
      <c r="E104" s="332"/>
      <c r="F104" s="19" t="s">
        <v>67</v>
      </c>
      <c r="G104" s="333"/>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69</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e">
        <f>+VLOOKUP(H10,tablero!$P$5:$R$201,3,FALSE)</f>
        <v>#N/A</v>
      </c>
      <c r="H108" s="334"/>
      <c r="I108" s="334"/>
      <c r="J108" s="334"/>
      <c r="K108" s="334"/>
      <c r="L108" s="334"/>
      <c r="M108" s="335"/>
      <c r="O108" s="2"/>
    </row>
    <row r="109" spans="2:15" ht="17.25" customHeight="1" x14ac:dyDescent="0.25">
      <c r="B109" s="2"/>
      <c r="D109" s="331"/>
      <c r="E109" s="332"/>
      <c r="F109" s="19" t="s">
        <v>2042</v>
      </c>
      <c r="G109" s="333" t="str">
        <f>+IF(M23="Si","Coordinador(a) Planeación y Sistemas","")</f>
        <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F51 G102">
    <cfRule type="expression" dxfId="3339" priority="29">
      <formula>+IF($F$43="no",1,0)</formula>
    </cfRule>
  </conditionalFormatting>
  <conditionalFormatting sqref="F32:M33">
    <cfRule type="expression" dxfId="3338" priority="28">
      <formula>+IF($Q$30="NA",1,0)</formula>
    </cfRule>
  </conditionalFormatting>
  <conditionalFormatting sqref="F33:M33">
    <cfRule type="expression" dxfId="3337" priority="27">
      <formula>+IF($Q$33=0,1,0)</formula>
    </cfRule>
  </conditionalFormatting>
  <conditionalFormatting sqref="F47:M47">
    <cfRule type="expression" dxfId="3336" priority="26">
      <formula>+IF($Q$47=0,1,0)</formula>
    </cfRule>
  </conditionalFormatting>
  <conditionalFormatting sqref="F73:G73">
    <cfRule type="cellIs" dxfId="3335" priority="18" operator="equal">
      <formula>"optimo"</formula>
    </cfRule>
    <cfRule type="cellIs" dxfId="3334" priority="19" operator="equal">
      <formula>"critico"</formula>
    </cfRule>
  </conditionalFormatting>
  <conditionalFormatting sqref="H73:I73">
    <cfRule type="cellIs" dxfId="3333" priority="16" operator="equal">
      <formula>"Adecuado"</formula>
    </cfRule>
    <cfRule type="cellIs" dxfId="3332" priority="17" operator="equal">
      <formula>"en riesgo"</formula>
    </cfRule>
  </conditionalFormatting>
  <conditionalFormatting sqref="J73:K73">
    <cfRule type="cellIs" dxfId="3331" priority="14" operator="equal">
      <formula>"Adecuado"</formula>
    </cfRule>
    <cfRule type="cellIs" dxfId="3330" priority="15" operator="equal">
      <formula>"en riesgo"</formula>
    </cfRule>
  </conditionalFormatting>
  <conditionalFormatting sqref="L73:M73">
    <cfRule type="cellIs" dxfId="3329" priority="12" operator="equal">
      <formula>"optimo"</formula>
    </cfRule>
    <cfRule type="cellIs" dxfId="3328" priority="13" operator="equal">
      <formula>"critico"</formula>
    </cfRule>
  </conditionalFormatting>
  <conditionalFormatting sqref="F75:M86">
    <cfRule type="expression" dxfId="3327" priority="11">
      <formula>+IF($AK75=0,1)</formula>
    </cfRule>
  </conditionalFormatting>
  <conditionalFormatting sqref="F103:G104">
    <cfRule type="expression" dxfId="3326" priority="10">
      <formula>+IF($G$102="No",1,0)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8">
    <tabColor rgb="FF0070C0"/>
  </sheetPr>
  <dimension ref="B1:AV113"/>
  <sheetViews>
    <sheetView topLeftCell="A49" zoomScale="90" zoomScaleNormal="90" workbookViewId="0">
      <selection activeCell="F108" sqref="F108:M11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304</v>
      </c>
      <c r="O10" s="2"/>
    </row>
    <row r="11" spans="2:24" ht="3.95" customHeight="1" x14ac:dyDescent="0.25">
      <c r="B11" s="2"/>
      <c r="D11" s="6"/>
      <c r="O11" s="2"/>
    </row>
    <row r="12" spans="2:24" ht="36" customHeight="1" x14ac:dyDescent="0.25">
      <c r="B12" s="2"/>
      <c r="D12" s="338" t="s">
        <v>5</v>
      </c>
      <c r="E12" s="339"/>
      <c r="F12" s="340" t="s">
        <v>305</v>
      </c>
      <c r="G12" s="341"/>
      <c r="H12" s="341"/>
      <c r="I12" s="341"/>
      <c r="J12" s="341"/>
      <c r="K12" s="341"/>
      <c r="L12" s="341"/>
      <c r="M12" s="342"/>
      <c r="O12" s="2"/>
      <c r="W12" s="3" t="str">
        <f>+F23</f>
        <v>Trimestral</v>
      </c>
      <c r="X12" s="3" t="str">
        <f>+F71</f>
        <v>Marzo</v>
      </c>
    </row>
    <row r="13" spans="2:24" ht="3.95" customHeight="1" x14ac:dyDescent="0.25">
      <c r="B13" s="2"/>
      <c r="O13" s="2"/>
    </row>
    <row r="14" spans="2:24" ht="38.25" customHeight="1" x14ac:dyDescent="0.25">
      <c r="B14" s="2"/>
      <c r="D14" s="338" t="s">
        <v>6</v>
      </c>
      <c r="E14" s="339"/>
      <c r="F14" s="340" t="s">
        <v>1164</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17">
        <v>0</v>
      </c>
      <c r="G22" s="337" t="s">
        <v>9</v>
      </c>
      <c r="H22" s="337"/>
      <c r="I22" s="17">
        <v>1</v>
      </c>
      <c r="K22" s="337" t="s">
        <v>10</v>
      </c>
      <c r="L22" s="337"/>
      <c r="M22" s="9" t="s">
        <v>496</v>
      </c>
      <c r="O22" s="2"/>
    </row>
    <row r="23" spans="2:17" ht="19.5" customHeight="1" x14ac:dyDescent="0.25">
      <c r="B23" s="2"/>
      <c r="D23" s="337" t="s">
        <v>11</v>
      </c>
      <c r="E23" s="337"/>
      <c r="F23" s="4" t="s">
        <v>71</v>
      </c>
      <c r="G23" s="337" t="s">
        <v>12</v>
      </c>
      <c r="H23" s="337"/>
      <c r="I23" s="4" t="s">
        <v>497</v>
      </c>
      <c r="K23" s="337" t="s">
        <v>13</v>
      </c>
      <c r="L23" s="337"/>
      <c r="M23" s="9" t="s">
        <v>2</v>
      </c>
      <c r="O23" s="2"/>
    </row>
    <row r="24" spans="2:17" ht="20.100000000000001" customHeight="1" x14ac:dyDescent="0.25">
      <c r="B24" s="2"/>
      <c r="D24" s="337" t="s">
        <v>14</v>
      </c>
      <c r="E24" s="337"/>
      <c r="F24" s="4" t="s">
        <v>498</v>
      </c>
      <c r="G24" s="337" t="s">
        <v>15</v>
      </c>
      <c r="H24" s="337"/>
      <c r="I24" s="4" t="s">
        <v>103</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soporte</v>
      </c>
    </row>
    <row r="31" spans="2:17" ht="24" customHeight="1" x14ac:dyDescent="0.25">
      <c r="B31" s="2"/>
      <c r="D31" s="347"/>
      <c r="E31" s="348"/>
      <c r="F31" s="4" t="s">
        <v>257</v>
      </c>
      <c r="G31" s="340" t="s">
        <v>258</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1165</v>
      </c>
      <c r="G33" s="340" t="s">
        <v>1160</v>
      </c>
      <c r="H33" s="341"/>
      <c r="I33" s="341"/>
      <c r="J33" s="341"/>
      <c r="K33" s="341"/>
      <c r="L33" s="341"/>
      <c r="M33" s="342"/>
      <c r="O33" s="2"/>
      <c r="Q33" s="3">
        <f>+IFERROR(IF(VLOOKUP(G33,base!$A$26:$C$40,3,FALSE)=F31,1,0),"")</f>
        <v>1</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1716</v>
      </c>
      <c r="G35" s="340" t="s">
        <v>1592</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501</v>
      </c>
      <c r="G45" s="340" t="s">
        <v>515</v>
      </c>
      <c r="H45" s="341"/>
      <c r="I45" s="341"/>
      <c r="J45" s="341"/>
      <c r="K45" s="341"/>
      <c r="L45" s="341"/>
      <c r="M45" s="342"/>
      <c r="O45" s="2"/>
      <c r="Q45" s="3" t="str">
        <f>+IFERROR(VLOOKUP(G45,base!$A$41:$C$45,3,FALSE),"")</f>
        <v>misional</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503</v>
      </c>
      <c r="G47" s="340" t="s">
        <v>995</v>
      </c>
      <c r="H47" s="341"/>
      <c r="I47" s="341"/>
      <c r="J47" s="341"/>
      <c r="K47" s="341"/>
      <c r="L47" s="341"/>
      <c r="M47" s="342"/>
      <c r="O47" s="2"/>
      <c r="Q47" s="3">
        <f>+IF(VLOOKUP(G47,base!$A$46:$C$66,3,FALSE)=F45,1,0)</f>
        <v>1</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920</v>
      </c>
      <c r="G49" s="340" t="s">
        <v>899</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496</v>
      </c>
      <c r="G51" s="337" t="s">
        <v>32</v>
      </c>
      <c r="H51" s="337"/>
      <c r="I51" s="17">
        <v>1</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37" t="s">
        <v>34</v>
      </c>
      <c r="E59" s="337"/>
      <c r="F59" s="344" t="s">
        <v>1166</v>
      </c>
      <c r="G59" s="344"/>
      <c r="H59" s="344"/>
      <c r="I59" s="344"/>
      <c r="J59" s="344"/>
      <c r="K59" s="344"/>
      <c r="L59" s="344"/>
      <c r="M59" s="344"/>
      <c r="O59" s="2"/>
    </row>
    <row r="60" spans="2:15" ht="66" customHeight="1" x14ac:dyDescent="0.25">
      <c r="B60" s="2"/>
      <c r="D60" s="359" t="s">
        <v>35</v>
      </c>
      <c r="E60" s="359"/>
      <c r="F60" s="344" t="s">
        <v>1167</v>
      </c>
      <c r="G60" s="344"/>
      <c r="H60" s="344"/>
      <c r="I60" s="344"/>
      <c r="J60" s="344"/>
      <c r="K60" s="344"/>
      <c r="L60" s="344"/>
      <c r="M60" s="344"/>
      <c r="O60" s="2"/>
    </row>
    <row r="61" spans="2:15" ht="41.25" customHeight="1" x14ac:dyDescent="0.25">
      <c r="B61" s="2"/>
      <c r="D61" s="359" t="s">
        <v>36</v>
      </c>
      <c r="E61" s="359"/>
      <c r="F61" s="340" t="s">
        <v>1168</v>
      </c>
      <c r="G61" s="341"/>
      <c r="H61" s="341"/>
      <c r="I61" s="341"/>
      <c r="J61" s="341"/>
      <c r="K61" s="341"/>
      <c r="L61" s="341"/>
      <c r="M61" s="342"/>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43" t="s">
        <v>39</v>
      </c>
      <c r="E71" s="343"/>
      <c r="F71" s="4" t="s">
        <v>47</v>
      </c>
      <c r="G71" s="3">
        <v>3</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v>9.9000000000000005E-2</v>
      </c>
      <c r="H77" s="16">
        <v>0.1</v>
      </c>
      <c r="I77" s="16">
        <v>0.19900000000000001</v>
      </c>
      <c r="J77" s="16">
        <v>0.2</v>
      </c>
      <c r="K77" s="16">
        <v>0.249</v>
      </c>
      <c r="L77" s="16">
        <v>0.25</v>
      </c>
      <c r="M77" s="16" t="s">
        <v>500</v>
      </c>
      <c r="O77" s="2"/>
      <c r="AE77" s="3" t="s">
        <v>47</v>
      </c>
      <c r="AF77" s="3">
        <v>3</v>
      </c>
      <c r="AG77" s="3">
        <f t="shared" si="0"/>
        <v>1</v>
      </c>
      <c r="AH77" s="3">
        <f>+IF(AG77=0,0,IF(AG77=1,(SUM($AG$75:AG77)-1),1))</f>
        <v>0</v>
      </c>
      <c r="AI77" s="3">
        <f t="shared" si="1"/>
        <v>0</v>
      </c>
      <c r="AJ77" s="3">
        <f t="shared" si="2"/>
        <v>1</v>
      </c>
      <c r="AK77" s="3">
        <f t="shared" si="3"/>
        <v>1</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2</v>
      </c>
      <c r="AI79" s="3">
        <f t="shared" si="1"/>
        <v>0</v>
      </c>
      <c r="AJ79" s="3">
        <f t="shared" si="2"/>
        <v>0</v>
      </c>
      <c r="AK79" s="3">
        <f t="shared" si="3"/>
        <v>0</v>
      </c>
    </row>
    <row r="80" spans="2:37" x14ac:dyDescent="0.25">
      <c r="B80" s="2"/>
      <c r="D80" s="360" t="s">
        <v>50</v>
      </c>
      <c r="E80" s="360"/>
      <c r="F80" s="16" t="s">
        <v>500</v>
      </c>
      <c r="G80" s="16">
        <v>0.39900000000000002</v>
      </c>
      <c r="H80" s="16">
        <v>0.4</v>
      </c>
      <c r="I80" s="16">
        <v>0.44900000000000001</v>
      </c>
      <c r="J80" s="16">
        <v>0.45</v>
      </c>
      <c r="K80" s="16">
        <v>0.499</v>
      </c>
      <c r="L80" s="16">
        <v>0.5</v>
      </c>
      <c r="M80" s="16" t="s">
        <v>500</v>
      </c>
      <c r="O80" s="2"/>
      <c r="AE80" s="3" t="s">
        <v>50</v>
      </c>
      <c r="AF80" s="3">
        <v>6</v>
      </c>
      <c r="AG80" s="3">
        <f t="shared" si="0"/>
        <v>1</v>
      </c>
      <c r="AH80" s="3">
        <f>+IF(AG80=0,0,IF(AG80=1,(SUM($AG$75:AG80)-1),1))</f>
        <v>3</v>
      </c>
      <c r="AI80" s="3">
        <f t="shared" si="1"/>
        <v>1</v>
      </c>
      <c r="AJ80" s="3">
        <f t="shared" si="2"/>
        <v>0</v>
      </c>
      <c r="AK80" s="3">
        <f t="shared" si="3"/>
        <v>1</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4</v>
      </c>
      <c r="AI81" s="3">
        <f t="shared" si="1"/>
        <v>0</v>
      </c>
      <c r="AJ81" s="3">
        <f t="shared" si="2"/>
        <v>0</v>
      </c>
      <c r="AK81" s="3">
        <f t="shared" si="3"/>
        <v>0</v>
      </c>
    </row>
    <row r="82" spans="2:37" x14ac:dyDescent="0.25">
      <c r="B82" s="2"/>
      <c r="D82" s="360" t="s">
        <v>54</v>
      </c>
      <c r="E82" s="360"/>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60" t="s">
        <v>55</v>
      </c>
      <c r="E83" s="360"/>
      <c r="F83" s="16" t="s">
        <v>500</v>
      </c>
      <c r="G83" s="16">
        <v>0.59899999999999998</v>
      </c>
      <c r="H83" s="16">
        <v>0.6</v>
      </c>
      <c r="I83" s="16">
        <v>0.69899999999999995</v>
      </c>
      <c r="J83" s="16">
        <v>0.7</v>
      </c>
      <c r="K83" s="16">
        <v>0.749</v>
      </c>
      <c r="L83" s="16">
        <v>0.75</v>
      </c>
      <c r="M83" s="16" t="s">
        <v>500</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60" t="s">
        <v>58</v>
      </c>
      <c r="E86" s="360"/>
      <c r="F86" s="16" t="s">
        <v>500</v>
      </c>
      <c r="G86" s="16">
        <v>0.79900000000000004</v>
      </c>
      <c r="H86" s="16">
        <v>0.8</v>
      </c>
      <c r="I86" s="16">
        <v>0.84899999999999998</v>
      </c>
      <c r="J86" s="16">
        <v>0.85</v>
      </c>
      <c r="K86" s="16">
        <v>0.999</v>
      </c>
      <c r="L86" s="16" t="s">
        <v>500</v>
      </c>
      <c r="M86" s="16">
        <v>1</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66" customHeight="1" x14ac:dyDescent="0.25">
      <c r="B88" s="2"/>
      <c r="D88" s="338" t="s">
        <v>59</v>
      </c>
      <c r="E88" s="339"/>
      <c r="F88" s="340"/>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2" customHeight="1" x14ac:dyDescent="0.25">
      <c r="B97" s="2"/>
      <c r="D97" s="359" t="s">
        <v>35</v>
      </c>
      <c r="E97" s="359"/>
      <c r="F97" s="344" t="s">
        <v>1169</v>
      </c>
      <c r="G97" s="344"/>
      <c r="H97" s="344"/>
      <c r="I97" s="344"/>
      <c r="J97" s="344"/>
      <c r="K97" s="344"/>
      <c r="L97" s="344"/>
      <c r="M97" s="344"/>
      <c r="O97" s="2"/>
    </row>
    <row r="98" spans="2:15" ht="42" customHeight="1" x14ac:dyDescent="0.25">
      <c r="B98" s="2"/>
      <c r="D98" s="359" t="s">
        <v>36</v>
      </c>
      <c r="E98" s="359"/>
      <c r="F98" s="344" t="s">
        <v>1170</v>
      </c>
      <c r="G98" s="344"/>
      <c r="H98" s="344"/>
      <c r="I98" s="344"/>
      <c r="J98" s="344"/>
      <c r="K98" s="344"/>
      <c r="L98" s="344"/>
      <c r="M98" s="344"/>
      <c r="O98" s="2"/>
    </row>
    <row r="99" spans="2:15" ht="3.95" customHeight="1" x14ac:dyDescent="0.25">
      <c r="B99" s="2"/>
      <c r="O99" s="2"/>
    </row>
    <row r="100" spans="2:15" ht="58.5" customHeight="1" x14ac:dyDescent="0.25">
      <c r="B100" s="2"/>
      <c r="D100" s="338" t="s">
        <v>62</v>
      </c>
      <c r="E100" s="339"/>
      <c r="F100" s="333"/>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2</v>
      </c>
      <c r="K102" s="20"/>
      <c r="O102" s="2"/>
    </row>
    <row r="103" spans="2:15" ht="19.5" customHeight="1" x14ac:dyDescent="0.25">
      <c r="B103" s="2"/>
      <c r="D103" s="331"/>
      <c r="E103" s="332"/>
      <c r="F103" s="19" t="s">
        <v>66</v>
      </c>
      <c r="G103" s="4"/>
      <c r="K103" s="21"/>
      <c r="O103" s="2"/>
    </row>
    <row r="104" spans="2:15" ht="27.75" customHeight="1" x14ac:dyDescent="0.25">
      <c r="B104" s="2"/>
      <c r="D104" s="331"/>
      <c r="E104" s="332"/>
      <c r="F104" s="19" t="s">
        <v>67</v>
      </c>
      <c r="G104" s="333"/>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Director(a) Contratación</v>
      </c>
      <c r="H108" s="334"/>
      <c r="I108" s="334"/>
      <c r="J108" s="334"/>
      <c r="K108" s="334"/>
      <c r="L108" s="334"/>
      <c r="M108" s="335"/>
      <c r="O108" s="2"/>
    </row>
    <row r="109" spans="2:15" ht="17.25" customHeight="1" x14ac:dyDescent="0.25">
      <c r="B109" s="2"/>
      <c r="D109" s="331"/>
      <c r="E109" s="332"/>
      <c r="F109" s="19" t="s">
        <v>2042</v>
      </c>
      <c r="G109" s="333" t="str">
        <f>+IF(M23="Si","Coordinador(a) Planeación y Sistemas","")</f>
        <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198" priority="31">
      <formula>+IF($F$43="no",1,0)</formula>
    </cfRule>
  </conditionalFormatting>
  <conditionalFormatting sqref="F32:M33">
    <cfRule type="expression" dxfId="1197" priority="30">
      <formula>+IF($Q$30="NA",1,0)</formula>
    </cfRule>
  </conditionalFormatting>
  <conditionalFormatting sqref="F33:M33">
    <cfRule type="expression" dxfId="1196" priority="29">
      <formula>+IF($Q$33=0,1,0)</formula>
    </cfRule>
  </conditionalFormatting>
  <conditionalFormatting sqref="F47:M47">
    <cfRule type="expression" dxfId="1195" priority="28">
      <formula>+IF($Q$47=0,1,0)</formula>
    </cfRule>
  </conditionalFormatting>
  <conditionalFormatting sqref="F73:G73">
    <cfRule type="cellIs" dxfId="1194" priority="14" operator="equal">
      <formula>"optimo"</formula>
    </cfRule>
    <cfRule type="cellIs" dxfId="1193" priority="15" operator="equal">
      <formula>"critico"</formula>
    </cfRule>
  </conditionalFormatting>
  <conditionalFormatting sqref="H73:I73">
    <cfRule type="cellIs" dxfId="1192" priority="12" operator="equal">
      <formula>"Adecuado"</formula>
    </cfRule>
    <cfRule type="cellIs" dxfId="1191" priority="13" operator="equal">
      <formula>"en riesgo"</formula>
    </cfRule>
  </conditionalFormatting>
  <conditionalFormatting sqref="J73:K73">
    <cfRule type="cellIs" dxfId="1190" priority="10" operator="equal">
      <formula>"Adecuado"</formula>
    </cfRule>
    <cfRule type="cellIs" dxfId="1189" priority="11" operator="equal">
      <formula>"en riesgo"</formula>
    </cfRule>
  </conditionalFormatting>
  <conditionalFormatting sqref="L73:M73">
    <cfRule type="cellIs" dxfId="1188" priority="8" operator="equal">
      <formula>"optimo"</formula>
    </cfRule>
    <cfRule type="cellIs" dxfId="1187" priority="9" operator="equal">
      <formula>"critico"</formula>
    </cfRule>
  </conditionalFormatting>
  <conditionalFormatting sqref="F75:M86">
    <cfRule type="expression" dxfId="1186" priority="7">
      <formula>+IF($AK75=0,1)</formula>
    </cfRule>
  </conditionalFormatting>
  <conditionalFormatting sqref="F103:G104">
    <cfRule type="expression" dxfId="1185" priority="6">
      <formula>+IF($G$102="No",1,0)</formula>
    </cfRule>
  </conditionalFormatting>
  <conditionalFormatting sqref="F51">
    <cfRule type="expression" dxfId="1184" priority="5">
      <formula>+IF($F$43="no",1,0)</formula>
    </cfRule>
  </conditionalFormatting>
  <conditionalFormatting sqref="I51">
    <cfRule type="expression" dxfId="1183"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9">
    <tabColor rgb="FF0070C0"/>
  </sheetPr>
  <dimension ref="B1:AV113"/>
  <sheetViews>
    <sheetView topLeftCell="A49" zoomScale="90" zoomScaleNormal="90" workbookViewId="0">
      <selection activeCell="G79" sqref="G79"/>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306</v>
      </c>
      <c r="O10" s="2"/>
    </row>
    <row r="11" spans="2:24" ht="3.95" customHeight="1" x14ac:dyDescent="0.25">
      <c r="B11" s="2"/>
      <c r="D11" s="6"/>
      <c r="O11" s="2"/>
    </row>
    <row r="12" spans="2:24" ht="36" customHeight="1" x14ac:dyDescent="0.25">
      <c r="B12" s="2"/>
      <c r="D12" s="338" t="s">
        <v>5</v>
      </c>
      <c r="E12" s="339"/>
      <c r="F12" s="340" t="s">
        <v>307</v>
      </c>
      <c r="G12" s="341"/>
      <c r="H12" s="341"/>
      <c r="I12" s="341"/>
      <c r="J12" s="341"/>
      <c r="K12" s="341"/>
      <c r="L12" s="341"/>
      <c r="M12" s="342"/>
      <c r="O12" s="2"/>
      <c r="W12" s="3" t="str">
        <f>+F23</f>
        <v>Bimestral</v>
      </c>
      <c r="X12" s="3" t="str">
        <f>+F71</f>
        <v>Febrero</v>
      </c>
    </row>
    <row r="13" spans="2:24" ht="3.95" customHeight="1" x14ac:dyDescent="0.25">
      <c r="B13" s="2"/>
      <c r="O13" s="2"/>
    </row>
    <row r="14" spans="2:24" ht="38.25" customHeight="1" x14ac:dyDescent="0.25">
      <c r="B14" s="2"/>
      <c r="D14" s="338" t="s">
        <v>6</v>
      </c>
      <c r="E14" s="339"/>
      <c r="F14" s="340" t="s">
        <v>1171</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17">
        <v>0.18</v>
      </c>
      <c r="G22" s="337" t="s">
        <v>9</v>
      </c>
      <c r="H22" s="337"/>
      <c r="I22" s="17">
        <v>1</v>
      </c>
      <c r="K22" s="337" t="s">
        <v>10</v>
      </c>
      <c r="L22" s="337"/>
      <c r="M22" s="9" t="s">
        <v>496</v>
      </c>
      <c r="O22" s="2"/>
    </row>
    <row r="23" spans="2:17" ht="19.5" customHeight="1" x14ac:dyDescent="0.25">
      <c r="B23" s="2"/>
      <c r="D23" s="337" t="s">
        <v>11</v>
      </c>
      <c r="E23" s="337"/>
      <c r="F23" s="4" t="s">
        <v>513</v>
      </c>
      <c r="G23" s="337" t="s">
        <v>12</v>
      </c>
      <c r="H23" s="337"/>
      <c r="I23" s="4" t="s">
        <v>497</v>
      </c>
      <c r="K23" s="337" t="s">
        <v>13</v>
      </c>
      <c r="L23" s="337"/>
      <c r="M23" s="9" t="s">
        <v>496</v>
      </c>
      <c r="O23" s="2"/>
    </row>
    <row r="24" spans="2:17" ht="20.100000000000001" customHeight="1" x14ac:dyDescent="0.25">
      <c r="B24" s="2"/>
      <c r="D24" s="337" t="s">
        <v>14</v>
      </c>
      <c r="E24" s="337"/>
      <c r="F24" s="4" t="s">
        <v>81</v>
      </c>
      <c r="G24" s="337" t="s">
        <v>15</v>
      </c>
      <c r="H24" s="337"/>
      <c r="I24" s="4" t="s">
        <v>103</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soporte</v>
      </c>
    </row>
    <row r="31" spans="2:17" ht="24" customHeight="1" x14ac:dyDescent="0.25">
      <c r="B31" s="2"/>
      <c r="D31" s="347"/>
      <c r="E31" s="348"/>
      <c r="F31" s="4" t="s">
        <v>257</v>
      </c>
      <c r="G31" s="340" t="s">
        <v>258</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1165</v>
      </c>
      <c r="G33" s="340" t="s">
        <v>1160</v>
      </c>
      <c r="H33" s="341"/>
      <c r="I33" s="341"/>
      <c r="J33" s="341"/>
      <c r="K33" s="341"/>
      <c r="L33" s="341"/>
      <c r="M33" s="342"/>
      <c r="O33" s="2"/>
      <c r="Q33" s="3">
        <f>+IFERROR(IF(VLOOKUP(G33,base!$A$26:$C$40,3,FALSE)=F31,1,0),"")</f>
        <v>1</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1716</v>
      </c>
      <c r="G35" s="340" t="s">
        <v>1592</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501</v>
      </c>
      <c r="G45" s="340" t="s">
        <v>515</v>
      </c>
      <c r="H45" s="341"/>
      <c r="I45" s="341"/>
      <c r="J45" s="341"/>
      <c r="K45" s="341"/>
      <c r="L45" s="341"/>
      <c r="M45" s="342"/>
      <c r="O45" s="2"/>
      <c r="Q45" s="3" t="str">
        <f>+IFERROR(VLOOKUP(G45,base!$A$41:$C$45,3,FALSE),"")</f>
        <v>misional</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503</v>
      </c>
      <c r="G47" s="340" t="s">
        <v>995</v>
      </c>
      <c r="H47" s="341"/>
      <c r="I47" s="341"/>
      <c r="J47" s="341"/>
      <c r="K47" s="341"/>
      <c r="L47" s="341"/>
      <c r="M47" s="342"/>
      <c r="O47" s="2"/>
      <c r="Q47" s="3">
        <f>+IF(VLOOKUP(G47,base!$A$46:$C$66,3,FALSE)=F45,1,0)</f>
        <v>1</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920</v>
      </c>
      <c r="G49" s="340" t="s">
        <v>899</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29"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37" t="s">
        <v>34</v>
      </c>
      <c r="E59" s="337"/>
      <c r="F59" s="344" t="s">
        <v>1172</v>
      </c>
      <c r="G59" s="344"/>
      <c r="H59" s="344"/>
      <c r="I59" s="344"/>
      <c r="J59" s="344"/>
      <c r="K59" s="344"/>
      <c r="L59" s="344"/>
      <c r="M59" s="344"/>
      <c r="O59" s="2"/>
    </row>
    <row r="60" spans="2:15" ht="46.5" customHeight="1" x14ac:dyDescent="0.25">
      <c r="B60" s="2"/>
      <c r="D60" s="359" t="s">
        <v>35</v>
      </c>
      <c r="E60" s="359"/>
      <c r="F60" s="344" t="s">
        <v>1173</v>
      </c>
      <c r="G60" s="344"/>
      <c r="H60" s="344"/>
      <c r="I60" s="344"/>
      <c r="J60" s="344"/>
      <c r="K60" s="344"/>
      <c r="L60" s="344"/>
      <c r="M60" s="344"/>
      <c r="O60" s="2"/>
    </row>
    <row r="61" spans="2:15" ht="46.5" customHeight="1" x14ac:dyDescent="0.25">
      <c r="B61" s="2"/>
      <c r="D61" s="359" t="s">
        <v>36</v>
      </c>
      <c r="E61" s="359"/>
      <c r="F61" s="340" t="s">
        <v>1174</v>
      </c>
      <c r="G61" s="341"/>
      <c r="H61" s="341"/>
      <c r="I61" s="341"/>
      <c r="J61" s="341"/>
      <c r="K61" s="341"/>
      <c r="L61" s="341"/>
      <c r="M61" s="342"/>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2</v>
      </c>
    </row>
    <row r="70" spans="2:37" ht="3.95" customHeight="1" x14ac:dyDescent="0.25">
      <c r="B70" s="2"/>
      <c r="D70" s="7"/>
      <c r="E70" s="7"/>
      <c r="O70" s="2"/>
    </row>
    <row r="71" spans="2:37" ht="18.75" customHeight="1" x14ac:dyDescent="0.25">
      <c r="B71" s="2"/>
      <c r="D71" s="343" t="s">
        <v>39</v>
      </c>
      <c r="E71" s="343"/>
      <c r="F71" s="4" t="s">
        <v>40</v>
      </c>
      <c r="G71" s="3">
        <v>2</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v>0.39900000000000002</v>
      </c>
      <c r="H76" s="16">
        <v>0.4</v>
      </c>
      <c r="I76" s="16">
        <v>0.69899999999999995</v>
      </c>
      <c r="J76" s="16">
        <v>0.7</v>
      </c>
      <c r="K76" s="16">
        <v>0.999</v>
      </c>
      <c r="L76" s="16" t="s">
        <v>500</v>
      </c>
      <c r="M76" s="16">
        <v>1</v>
      </c>
      <c r="O76" s="2"/>
      <c r="AE76" s="3" t="s">
        <v>40</v>
      </c>
      <c r="AF76" s="3">
        <v>2</v>
      </c>
      <c r="AG76" s="3">
        <f t="shared" ref="AG76:AG86" si="0">+IF(AF76&gt;=$G$71,1,0)</f>
        <v>1</v>
      </c>
      <c r="AH76" s="3">
        <f>+IF(AG76=0,0,IF(AG76=1,(SUM($AG$75:AG76)-1),1))</f>
        <v>0</v>
      </c>
      <c r="AI76" s="3">
        <f t="shared" ref="AI76:AI86" si="1">+IF(AH76=0,0,IF(MOD(AH76,$U$69)=0,1,0))</f>
        <v>0</v>
      </c>
      <c r="AJ76" s="3">
        <f t="shared" ref="AJ76:AJ86" si="2">+IF(AE76=$F$71,1,0)</f>
        <v>1</v>
      </c>
      <c r="AK76" s="3">
        <f t="shared" ref="AK76:AK86" si="3">+MAX(AI76:AJ76)</f>
        <v>1</v>
      </c>
    </row>
    <row r="77" spans="2:37" x14ac:dyDescent="0.25">
      <c r="B77" s="2"/>
      <c r="D77" s="360" t="s">
        <v>47</v>
      </c>
      <c r="E77" s="360"/>
      <c r="F77" s="16" t="s">
        <v>500</v>
      </c>
      <c r="G77" s="16" t="s">
        <v>500</v>
      </c>
      <c r="H77" s="16" t="s">
        <v>500</v>
      </c>
      <c r="I77" s="16" t="s">
        <v>500</v>
      </c>
      <c r="J77" s="16" t="s">
        <v>500</v>
      </c>
      <c r="K77" s="16" t="s">
        <v>500</v>
      </c>
      <c r="L77" s="16" t="s">
        <v>500</v>
      </c>
      <c r="M77" s="16" t="s">
        <v>500</v>
      </c>
      <c r="O77" s="2"/>
      <c r="AE77" s="3" t="s">
        <v>47</v>
      </c>
      <c r="AF77" s="3">
        <v>3</v>
      </c>
      <c r="AG77" s="3">
        <f t="shared" si="0"/>
        <v>1</v>
      </c>
      <c r="AH77" s="3">
        <f>+IF(AG77=0,0,IF(AG77=1,(SUM($AG$75:AG77)-1),1))</f>
        <v>1</v>
      </c>
      <c r="AI77" s="3">
        <f t="shared" si="1"/>
        <v>0</v>
      </c>
      <c r="AJ77" s="3">
        <f t="shared" si="2"/>
        <v>0</v>
      </c>
      <c r="AK77" s="3">
        <f t="shared" si="3"/>
        <v>0</v>
      </c>
    </row>
    <row r="78" spans="2:37" x14ac:dyDescent="0.25">
      <c r="B78" s="2"/>
      <c r="D78" s="360" t="s">
        <v>48</v>
      </c>
      <c r="E78" s="360"/>
      <c r="F78" s="16" t="s">
        <v>500</v>
      </c>
      <c r="G78" s="16">
        <v>0.39900000000000002</v>
      </c>
      <c r="H78" s="16">
        <v>0.4</v>
      </c>
      <c r="I78" s="16">
        <v>0.69899999999999995</v>
      </c>
      <c r="J78" s="16">
        <v>0.7</v>
      </c>
      <c r="K78" s="16">
        <v>0.999</v>
      </c>
      <c r="L78" s="16" t="s">
        <v>500</v>
      </c>
      <c r="M78" s="16">
        <v>1</v>
      </c>
      <c r="O78" s="2"/>
      <c r="AE78" s="3" t="s">
        <v>48</v>
      </c>
      <c r="AF78" s="3">
        <v>4</v>
      </c>
      <c r="AG78" s="3">
        <f t="shared" si="0"/>
        <v>1</v>
      </c>
      <c r="AH78" s="3">
        <f>+IF(AG78=0,0,IF(AG78=1,(SUM($AG$75:AG78)-1),1))</f>
        <v>2</v>
      </c>
      <c r="AI78" s="3">
        <f t="shared" si="1"/>
        <v>1</v>
      </c>
      <c r="AJ78" s="3">
        <f t="shared" si="2"/>
        <v>0</v>
      </c>
      <c r="AK78" s="3">
        <f t="shared" si="3"/>
        <v>1</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3</v>
      </c>
      <c r="AI79" s="3">
        <f t="shared" si="1"/>
        <v>0</v>
      </c>
      <c r="AJ79" s="3">
        <f t="shared" si="2"/>
        <v>0</v>
      </c>
      <c r="AK79" s="3">
        <f t="shared" si="3"/>
        <v>0</v>
      </c>
    </row>
    <row r="80" spans="2:37" x14ac:dyDescent="0.25">
      <c r="B80" s="2"/>
      <c r="D80" s="360" t="s">
        <v>50</v>
      </c>
      <c r="E80" s="360"/>
      <c r="F80" s="16" t="s">
        <v>500</v>
      </c>
      <c r="G80" s="16">
        <v>0.39900000000000002</v>
      </c>
      <c r="H80" s="16">
        <v>0.4</v>
      </c>
      <c r="I80" s="16">
        <v>0.69899999999999995</v>
      </c>
      <c r="J80" s="16">
        <v>0.7</v>
      </c>
      <c r="K80" s="16">
        <v>0.999</v>
      </c>
      <c r="L80" s="16" t="s">
        <v>500</v>
      </c>
      <c r="M80" s="16">
        <v>1</v>
      </c>
      <c r="O80" s="2"/>
      <c r="AE80" s="3" t="s">
        <v>50</v>
      </c>
      <c r="AF80" s="3">
        <v>6</v>
      </c>
      <c r="AG80" s="3">
        <f t="shared" si="0"/>
        <v>1</v>
      </c>
      <c r="AH80" s="3">
        <f>+IF(AG80=0,0,IF(AG80=1,(SUM($AG$75:AG80)-1),1))</f>
        <v>4</v>
      </c>
      <c r="AI80" s="3">
        <f t="shared" si="1"/>
        <v>1</v>
      </c>
      <c r="AJ80" s="3">
        <f t="shared" si="2"/>
        <v>0</v>
      </c>
      <c r="AK80" s="3">
        <f t="shared" si="3"/>
        <v>1</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5</v>
      </c>
      <c r="AI81" s="3">
        <f t="shared" si="1"/>
        <v>0</v>
      </c>
      <c r="AJ81" s="3">
        <f t="shared" si="2"/>
        <v>0</v>
      </c>
      <c r="AK81" s="3">
        <f t="shared" si="3"/>
        <v>0</v>
      </c>
    </row>
    <row r="82" spans="2:37" x14ac:dyDescent="0.25">
      <c r="B82" s="2"/>
      <c r="D82" s="360" t="s">
        <v>54</v>
      </c>
      <c r="E82" s="360"/>
      <c r="F82" s="16" t="s">
        <v>500</v>
      </c>
      <c r="G82" s="16">
        <v>0.39900000000000002</v>
      </c>
      <c r="H82" s="16">
        <v>0.4</v>
      </c>
      <c r="I82" s="16">
        <v>0.69899999999999995</v>
      </c>
      <c r="J82" s="16">
        <v>0.7</v>
      </c>
      <c r="K82" s="16">
        <v>0.999</v>
      </c>
      <c r="L82" s="16" t="s">
        <v>500</v>
      </c>
      <c r="M82" s="16">
        <v>1</v>
      </c>
      <c r="O82" s="2"/>
      <c r="AE82" s="3" t="s">
        <v>54</v>
      </c>
      <c r="AF82" s="3">
        <v>8</v>
      </c>
      <c r="AG82" s="3">
        <f t="shared" si="0"/>
        <v>1</v>
      </c>
      <c r="AH82" s="3">
        <f>+IF(AG82=0,0,IF(AG82=1,(SUM($AG$75:AG82)-1),1))</f>
        <v>6</v>
      </c>
      <c r="AI82" s="3">
        <f t="shared" si="1"/>
        <v>1</v>
      </c>
      <c r="AJ82" s="3">
        <f t="shared" si="2"/>
        <v>0</v>
      </c>
      <c r="AK82" s="3">
        <f t="shared" si="3"/>
        <v>1</v>
      </c>
    </row>
    <row r="83" spans="2:37" x14ac:dyDescent="0.25">
      <c r="B83" s="2"/>
      <c r="D83" s="360" t="s">
        <v>55</v>
      </c>
      <c r="E83" s="360"/>
      <c r="F83" s="16" t="s">
        <v>500</v>
      </c>
      <c r="G83" s="16" t="s">
        <v>500</v>
      </c>
      <c r="H83" s="16" t="s">
        <v>500</v>
      </c>
      <c r="I83" s="16" t="s">
        <v>500</v>
      </c>
      <c r="J83" s="16" t="s">
        <v>500</v>
      </c>
      <c r="K83" s="16" t="s">
        <v>500</v>
      </c>
      <c r="L83" s="16" t="s">
        <v>500</v>
      </c>
      <c r="M83" s="16" t="s">
        <v>500</v>
      </c>
      <c r="O83" s="2"/>
      <c r="AE83" s="3" t="s">
        <v>55</v>
      </c>
      <c r="AF83" s="3">
        <v>9</v>
      </c>
      <c r="AG83" s="3">
        <f t="shared" si="0"/>
        <v>1</v>
      </c>
      <c r="AH83" s="3">
        <f>+IF(AG83=0,0,IF(AG83=1,(SUM($AG$75:AG83)-1),1))</f>
        <v>7</v>
      </c>
      <c r="AI83" s="3">
        <f t="shared" si="1"/>
        <v>0</v>
      </c>
      <c r="AJ83" s="3">
        <f t="shared" si="2"/>
        <v>0</v>
      </c>
      <c r="AK83" s="3">
        <f t="shared" si="3"/>
        <v>0</v>
      </c>
    </row>
    <row r="84" spans="2:37" x14ac:dyDescent="0.25">
      <c r="B84" s="2"/>
      <c r="D84" s="360" t="s">
        <v>56</v>
      </c>
      <c r="E84" s="360"/>
      <c r="F84" s="16" t="s">
        <v>500</v>
      </c>
      <c r="G84" s="16">
        <v>0.39900000000000002</v>
      </c>
      <c r="H84" s="16">
        <v>0.4</v>
      </c>
      <c r="I84" s="16">
        <v>0.69899999999999995</v>
      </c>
      <c r="J84" s="16">
        <v>0.7</v>
      </c>
      <c r="K84" s="16">
        <v>0.999</v>
      </c>
      <c r="L84" s="16" t="s">
        <v>500</v>
      </c>
      <c r="M84" s="16">
        <v>1</v>
      </c>
      <c r="O84" s="2"/>
      <c r="AE84" s="3" t="s">
        <v>56</v>
      </c>
      <c r="AF84" s="3">
        <v>10</v>
      </c>
      <c r="AG84" s="3">
        <f t="shared" si="0"/>
        <v>1</v>
      </c>
      <c r="AH84" s="3">
        <f>+IF(AG84=0,0,IF(AG84=1,(SUM($AG$75:AG84)-1),1))</f>
        <v>8</v>
      </c>
      <c r="AI84" s="3">
        <f t="shared" si="1"/>
        <v>1</v>
      </c>
      <c r="AJ84" s="3">
        <f t="shared" si="2"/>
        <v>0</v>
      </c>
      <c r="AK84" s="3">
        <f t="shared" si="3"/>
        <v>1</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9</v>
      </c>
      <c r="AI85" s="3">
        <f t="shared" si="1"/>
        <v>0</v>
      </c>
      <c r="AJ85" s="3">
        <f t="shared" si="2"/>
        <v>0</v>
      </c>
      <c r="AK85" s="3">
        <f t="shared" si="3"/>
        <v>0</v>
      </c>
    </row>
    <row r="86" spans="2:37" x14ac:dyDescent="0.25">
      <c r="B86" s="2"/>
      <c r="D86" s="360" t="s">
        <v>58</v>
      </c>
      <c r="E86" s="360"/>
      <c r="F86" s="16" t="s">
        <v>500</v>
      </c>
      <c r="G86" s="16">
        <v>0.39900000000000002</v>
      </c>
      <c r="H86" s="16">
        <v>0.4</v>
      </c>
      <c r="I86" s="16">
        <v>0.69899999999999995</v>
      </c>
      <c r="J86" s="16">
        <v>0.7</v>
      </c>
      <c r="K86" s="16">
        <v>0.999</v>
      </c>
      <c r="L86" s="16" t="s">
        <v>500</v>
      </c>
      <c r="M86" s="16">
        <v>1</v>
      </c>
      <c r="O86" s="2"/>
      <c r="AE86" s="3" t="s">
        <v>58</v>
      </c>
      <c r="AF86" s="65">
        <v>12</v>
      </c>
      <c r="AG86" s="3">
        <f t="shared" si="0"/>
        <v>1</v>
      </c>
      <c r="AH86" s="3">
        <f>+IF(AG86=0,0,IF(AG86=1,(SUM($AG$75:AG86)-1),1))</f>
        <v>10</v>
      </c>
      <c r="AI86" s="3">
        <f t="shared" si="1"/>
        <v>1</v>
      </c>
      <c r="AJ86" s="3">
        <f t="shared" si="2"/>
        <v>0</v>
      </c>
      <c r="AK86" s="3">
        <f t="shared" si="3"/>
        <v>1</v>
      </c>
    </row>
    <row r="87" spans="2:37" ht="3.75" customHeight="1" x14ac:dyDescent="0.25">
      <c r="B87" s="2"/>
      <c r="O87" s="2"/>
    </row>
    <row r="88" spans="2:37" ht="81" customHeight="1" x14ac:dyDescent="0.25">
      <c r="B88" s="2"/>
      <c r="D88" s="338" t="s">
        <v>59</v>
      </c>
      <c r="E88" s="339"/>
      <c r="F88" s="340" t="s">
        <v>1161</v>
      </c>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2" customHeight="1" x14ac:dyDescent="0.25">
      <c r="B97" s="2"/>
      <c r="D97" s="359" t="s">
        <v>35</v>
      </c>
      <c r="E97" s="359"/>
      <c r="F97" s="344" t="s">
        <v>2090</v>
      </c>
      <c r="G97" s="344"/>
      <c r="H97" s="344"/>
      <c r="I97" s="344"/>
      <c r="J97" s="344"/>
      <c r="K97" s="344"/>
      <c r="L97" s="344"/>
      <c r="M97" s="344"/>
      <c r="O97" s="2"/>
    </row>
    <row r="98" spans="2:15" ht="42" customHeight="1" x14ac:dyDescent="0.25">
      <c r="B98" s="2"/>
      <c r="D98" s="359" t="s">
        <v>36</v>
      </c>
      <c r="E98" s="359"/>
      <c r="F98" s="344" t="s">
        <v>2090</v>
      </c>
      <c r="G98" s="344"/>
      <c r="H98" s="344"/>
      <c r="I98" s="344"/>
      <c r="J98" s="344"/>
      <c r="K98" s="344"/>
      <c r="L98" s="344"/>
      <c r="M98" s="344"/>
      <c r="O98" s="2"/>
    </row>
    <row r="99" spans="2:15" ht="3.95" customHeight="1" x14ac:dyDescent="0.25">
      <c r="B99" s="2"/>
      <c r="O99" s="2"/>
    </row>
    <row r="100" spans="2:15" ht="58.5" customHeight="1" x14ac:dyDescent="0.25">
      <c r="B100" s="2"/>
      <c r="D100" s="338" t="s">
        <v>62</v>
      </c>
      <c r="E100" s="339"/>
      <c r="F100" s="333"/>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1</v>
      </c>
      <c r="K102" s="20"/>
      <c r="O102" s="2"/>
    </row>
    <row r="103" spans="2:15" ht="19.5" customHeight="1" x14ac:dyDescent="0.25">
      <c r="B103" s="2"/>
      <c r="D103" s="331"/>
      <c r="E103" s="332"/>
      <c r="F103" s="19" t="s">
        <v>66</v>
      </c>
      <c r="G103" s="4" t="s">
        <v>1162</v>
      </c>
      <c r="K103" s="21"/>
      <c r="O103" s="2"/>
    </row>
    <row r="104" spans="2:15" ht="27.75" customHeight="1" x14ac:dyDescent="0.25">
      <c r="B104" s="2"/>
      <c r="D104" s="331"/>
      <c r="E104" s="332"/>
      <c r="F104" s="19" t="s">
        <v>67</v>
      </c>
      <c r="G104" s="333" t="s">
        <v>1163</v>
      </c>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Director(a) Contratación</v>
      </c>
      <c r="H108" s="334"/>
      <c r="I108" s="334"/>
      <c r="J108" s="334"/>
      <c r="K108" s="334"/>
      <c r="L108" s="334"/>
      <c r="M108" s="335"/>
      <c r="O108" s="2"/>
    </row>
    <row r="109" spans="2:15" ht="17.25" customHeight="1" x14ac:dyDescent="0.25">
      <c r="B109" s="2"/>
      <c r="D109" s="331"/>
      <c r="E109" s="332"/>
      <c r="F109" s="19" t="s">
        <v>2042</v>
      </c>
      <c r="G109" s="333" t="str">
        <f>+IF(M23="Si","Coordinador(a) Planeación y Sistemas","")</f>
        <v>Coordinador(a) Planeación y Sistemas</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182" priority="31">
      <formula>+IF($F$43="no",1,0)</formula>
    </cfRule>
  </conditionalFormatting>
  <conditionalFormatting sqref="F32:M33">
    <cfRule type="expression" dxfId="1181" priority="30">
      <formula>+IF($Q$30="NA",1,0)</formula>
    </cfRule>
  </conditionalFormatting>
  <conditionalFormatting sqref="F33:M33">
    <cfRule type="expression" dxfId="1180" priority="29">
      <formula>+IF($Q$33=0,1,0)</formula>
    </cfRule>
  </conditionalFormatting>
  <conditionalFormatting sqref="F47:M47">
    <cfRule type="expression" dxfId="1179" priority="28">
      <formula>+IF($Q$47=0,1,0)</formula>
    </cfRule>
  </conditionalFormatting>
  <conditionalFormatting sqref="F73:G73">
    <cfRule type="cellIs" dxfId="1178" priority="19" operator="equal">
      <formula>"optimo"</formula>
    </cfRule>
    <cfRule type="cellIs" dxfId="1177" priority="20" operator="equal">
      <formula>"critico"</formula>
    </cfRule>
  </conditionalFormatting>
  <conditionalFormatting sqref="H73:I73">
    <cfRule type="cellIs" dxfId="1176" priority="17" operator="equal">
      <formula>"Adecuado"</formula>
    </cfRule>
    <cfRule type="cellIs" dxfId="1175" priority="18" operator="equal">
      <formula>"en riesgo"</formula>
    </cfRule>
  </conditionalFormatting>
  <conditionalFormatting sqref="J73:K73">
    <cfRule type="cellIs" dxfId="1174" priority="15" operator="equal">
      <formula>"Adecuado"</formula>
    </cfRule>
    <cfRule type="cellIs" dxfId="1173" priority="16" operator="equal">
      <formula>"en riesgo"</formula>
    </cfRule>
  </conditionalFormatting>
  <conditionalFormatting sqref="L73:M73">
    <cfRule type="cellIs" dxfId="1172" priority="13" operator="equal">
      <formula>"optimo"</formula>
    </cfRule>
    <cfRule type="cellIs" dxfId="1171" priority="14" operator="equal">
      <formula>"critico"</formula>
    </cfRule>
  </conditionalFormatting>
  <conditionalFormatting sqref="F75:M86">
    <cfRule type="expression" dxfId="1170" priority="12">
      <formula>+IF($AK75=0,1)</formula>
    </cfRule>
  </conditionalFormatting>
  <conditionalFormatting sqref="F103:G104">
    <cfRule type="expression" dxfId="1169" priority="11">
      <formula>+IF($G$102="No",1,0)</formula>
    </cfRule>
  </conditionalFormatting>
  <conditionalFormatting sqref="F51">
    <cfRule type="expression" dxfId="1168" priority="10">
      <formula>+IF($F$43="no",1,0)</formula>
    </cfRule>
  </conditionalFormatting>
  <conditionalFormatting sqref="I51">
    <cfRule type="expression" dxfId="1167" priority="9">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0">
    <tabColor rgb="FF0070C0"/>
  </sheetPr>
  <dimension ref="B1:AV113"/>
  <sheetViews>
    <sheetView topLeftCell="A37" zoomScale="90" zoomScaleNormal="90" workbookViewId="0">
      <selection activeCell="Q67" sqref="Q67"/>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357</v>
      </c>
      <c r="O10" s="2"/>
    </row>
    <row r="11" spans="2:24" ht="3.95" customHeight="1" x14ac:dyDescent="0.25">
      <c r="B11" s="2"/>
      <c r="D11" s="6"/>
      <c r="O11" s="2"/>
    </row>
    <row r="12" spans="2:24" ht="36" customHeight="1" x14ac:dyDescent="0.25">
      <c r="B12" s="2"/>
      <c r="D12" s="338" t="s">
        <v>5</v>
      </c>
      <c r="E12" s="339"/>
      <c r="F12" s="340" t="s">
        <v>1185</v>
      </c>
      <c r="G12" s="341"/>
      <c r="H12" s="341"/>
      <c r="I12" s="341"/>
      <c r="J12" s="341"/>
      <c r="K12" s="341"/>
      <c r="L12" s="341"/>
      <c r="M12" s="342"/>
      <c r="O12" s="2"/>
      <c r="W12" s="3" t="str">
        <f>+F23</f>
        <v>Cuatrimestral</v>
      </c>
      <c r="X12" s="3" t="str">
        <f>+F71</f>
        <v>Abril</v>
      </c>
    </row>
    <row r="13" spans="2:24" ht="3.95" customHeight="1" x14ac:dyDescent="0.25">
      <c r="B13" s="2"/>
      <c r="O13" s="2"/>
    </row>
    <row r="14" spans="2:24" ht="38.25" customHeight="1" x14ac:dyDescent="0.25">
      <c r="B14" s="2"/>
      <c r="D14" s="338" t="s">
        <v>6</v>
      </c>
      <c r="E14" s="339"/>
      <c r="F14" s="340" t="s">
        <v>1186</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17" t="s">
        <v>512</v>
      </c>
      <c r="G22" s="337" t="s">
        <v>9</v>
      </c>
      <c r="H22" s="337"/>
      <c r="I22" s="17">
        <v>0.5</v>
      </c>
      <c r="K22" s="337" t="s">
        <v>10</v>
      </c>
      <c r="L22" s="337"/>
      <c r="M22" s="9" t="s">
        <v>496</v>
      </c>
      <c r="O22" s="2"/>
    </row>
    <row r="23" spans="2:17" ht="19.5" customHeight="1" x14ac:dyDescent="0.25">
      <c r="B23" s="2"/>
      <c r="D23" s="337" t="s">
        <v>11</v>
      </c>
      <c r="E23" s="337"/>
      <c r="F23" s="4" t="s">
        <v>1069</v>
      </c>
      <c r="G23" s="337" t="s">
        <v>12</v>
      </c>
      <c r="H23" s="337"/>
      <c r="I23" s="4" t="s">
        <v>497</v>
      </c>
      <c r="K23" s="337" t="s">
        <v>13</v>
      </c>
      <c r="L23" s="337"/>
      <c r="M23" s="9" t="s">
        <v>2</v>
      </c>
      <c r="O23" s="2"/>
    </row>
    <row r="24" spans="2:17" ht="20.100000000000001" customHeight="1" x14ac:dyDescent="0.25">
      <c r="B24" s="2"/>
      <c r="D24" s="337" t="s">
        <v>14</v>
      </c>
      <c r="E24" s="337"/>
      <c r="F24" s="4" t="s">
        <v>498</v>
      </c>
      <c r="G24" s="337" t="s">
        <v>15</v>
      </c>
      <c r="H24" s="337"/>
      <c r="I24" s="4" t="s">
        <v>533</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NA</v>
      </c>
    </row>
    <row r="31" spans="2:17" ht="24" customHeight="1" x14ac:dyDescent="0.25">
      <c r="B31" s="2"/>
      <c r="D31" s="347"/>
      <c r="E31" s="348"/>
      <c r="F31" s="4" t="s">
        <v>354</v>
      </c>
      <c r="G31" s="340" t="s">
        <v>355</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500</v>
      </c>
      <c r="G33" s="340"/>
      <c r="H33" s="341"/>
      <c r="I33" s="341"/>
      <c r="J33" s="341"/>
      <c r="K33" s="341"/>
      <c r="L33" s="341"/>
      <c r="M33" s="342"/>
      <c r="O33" s="2"/>
      <c r="Q33" s="3" t="str">
        <f>+IFERROR(IF(VLOOKUP(G33,base!$A$26:$C$40,3,FALSE)=F31,1,0),"")</f>
        <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1716</v>
      </c>
      <c r="G35" s="340" t="s">
        <v>1592</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501</v>
      </c>
      <c r="G45" s="340" t="s">
        <v>515</v>
      </c>
      <c r="H45" s="341"/>
      <c r="I45" s="341"/>
      <c r="J45" s="341"/>
      <c r="K45" s="341"/>
      <c r="L45" s="341"/>
      <c r="M45" s="342"/>
      <c r="O45" s="2"/>
      <c r="Q45" s="3" t="str">
        <f>+IFERROR(VLOOKUP(G45,base!$A$41:$C$45,3,FALSE),"")</f>
        <v>misional</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503</v>
      </c>
      <c r="G47" s="340" t="s">
        <v>995</v>
      </c>
      <c r="H47" s="341"/>
      <c r="I47" s="341"/>
      <c r="J47" s="341"/>
      <c r="K47" s="341"/>
      <c r="L47" s="341"/>
      <c r="M47" s="342"/>
      <c r="O47" s="2"/>
      <c r="Q47" s="3">
        <f>+IF(VLOOKUP(G47,base!$A$46:$C$66,3,FALSE)=F45,1,0)</f>
        <v>1</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920</v>
      </c>
      <c r="G49" s="340" t="s">
        <v>899</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496</v>
      </c>
      <c r="G51" s="337" t="s">
        <v>32</v>
      </c>
      <c r="H51" s="337"/>
      <c r="I51" s="17">
        <v>1</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37" t="s">
        <v>34</v>
      </c>
      <c r="E59" s="337"/>
      <c r="F59" s="344" t="s">
        <v>1187</v>
      </c>
      <c r="G59" s="344"/>
      <c r="H59" s="344"/>
      <c r="I59" s="344"/>
      <c r="J59" s="344"/>
      <c r="K59" s="344"/>
      <c r="L59" s="344"/>
      <c r="M59" s="344"/>
      <c r="O59" s="2"/>
    </row>
    <row r="60" spans="2:15" ht="66" customHeight="1" x14ac:dyDescent="0.25">
      <c r="B60" s="2"/>
      <c r="D60" s="359" t="s">
        <v>35</v>
      </c>
      <c r="E60" s="359"/>
      <c r="F60" s="344" t="s">
        <v>1188</v>
      </c>
      <c r="G60" s="344"/>
      <c r="H60" s="344"/>
      <c r="I60" s="344"/>
      <c r="J60" s="344"/>
      <c r="K60" s="344"/>
      <c r="L60" s="344"/>
      <c r="M60" s="344"/>
      <c r="O60" s="2"/>
    </row>
    <row r="61" spans="2:15" ht="41.25" customHeight="1" x14ac:dyDescent="0.25">
      <c r="B61" s="2"/>
      <c r="D61" s="359" t="s">
        <v>36</v>
      </c>
      <c r="E61" s="359"/>
      <c r="F61" s="340" t="s">
        <v>1189</v>
      </c>
      <c r="G61" s="341"/>
      <c r="H61" s="341"/>
      <c r="I61" s="341"/>
      <c r="J61" s="341"/>
      <c r="K61" s="341"/>
      <c r="L61" s="341"/>
      <c r="M61" s="342"/>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4</v>
      </c>
    </row>
    <row r="70" spans="2:37" ht="3.95" customHeight="1" x14ac:dyDescent="0.25">
      <c r="B70" s="2"/>
      <c r="D70" s="7"/>
      <c r="E70" s="7"/>
      <c r="O70" s="2"/>
    </row>
    <row r="71" spans="2:37" ht="18.75" customHeight="1" x14ac:dyDescent="0.25">
      <c r="B71" s="2"/>
      <c r="D71" s="343" t="s">
        <v>39</v>
      </c>
      <c r="E71" s="343"/>
      <c r="F71" s="4" t="s">
        <v>48</v>
      </c>
      <c r="G71" s="3">
        <v>4</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60" t="s">
        <v>48</v>
      </c>
      <c r="E78" s="360"/>
      <c r="F78" s="16" t="s">
        <v>500</v>
      </c>
      <c r="G78" s="16">
        <v>9.9000000000000005E-2</v>
      </c>
      <c r="H78" s="16">
        <v>0.1</v>
      </c>
      <c r="I78" s="16">
        <v>0.19900000000000001</v>
      </c>
      <c r="J78" s="16">
        <v>0.2</v>
      </c>
      <c r="K78" s="16">
        <v>0.29899999999999999</v>
      </c>
      <c r="L78" s="16">
        <v>0.3</v>
      </c>
      <c r="M78" s="16" t="s">
        <v>500</v>
      </c>
      <c r="O78" s="2"/>
      <c r="AE78" s="3" t="s">
        <v>48</v>
      </c>
      <c r="AF78" s="3">
        <v>4</v>
      </c>
      <c r="AG78" s="3">
        <f t="shared" si="0"/>
        <v>1</v>
      </c>
      <c r="AH78" s="3">
        <f>+IF(AG78=0,0,IF(AG78=1,(SUM($AG$75:AG78)-1),1))</f>
        <v>0</v>
      </c>
      <c r="AI78" s="3">
        <f t="shared" si="1"/>
        <v>0</v>
      </c>
      <c r="AJ78" s="3">
        <f t="shared" si="2"/>
        <v>1</v>
      </c>
      <c r="AK78" s="3">
        <f t="shared" si="3"/>
        <v>1</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1</v>
      </c>
      <c r="AI79" s="3">
        <f t="shared" si="1"/>
        <v>0</v>
      </c>
      <c r="AJ79" s="3">
        <f t="shared" si="2"/>
        <v>0</v>
      </c>
      <c r="AK79" s="3">
        <f t="shared" si="3"/>
        <v>0</v>
      </c>
    </row>
    <row r="80" spans="2:37" x14ac:dyDescent="0.25">
      <c r="B80" s="2"/>
      <c r="D80" s="360" t="s">
        <v>50</v>
      </c>
      <c r="E80" s="360"/>
      <c r="F80" s="16" t="s">
        <v>500</v>
      </c>
      <c r="G80" s="16" t="s">
        <v>500</v>
      </c>
      <c r="H80" s="16" t="s">
        <v>500</v>
      </c>
      <c r="I80" s="16" t="s">
        <v>500</v>
      </c>
      <c r="J80" s="16" t="s">
        <v>500</v>
      </c>
      <c r="K80" s="16" t="s">
        <v>500</v>
      </c>
      <c r="L80" s="16" t="s">
        <v>500</v>
      </c>
      <c r="M80" s="16" t="s">
        <v>500</v>
      </c>
      <c r="O80" s="2"/>
      <c r="AE80" s="3" t="s">
        <v>50</v>
      </c>
      <c r="AF80" s="3">
        <v>6</v>
      </c>
      <c r="AG80" s="3">
        <f t="shared" si="0"/>
        <v>1</v>
      </c>
      <c r="AH80" s="3">
        <f>+IF(AG80=0,0,IF(AG80=1,(SUM($AG$75:AG80)-1),1))</f>
        <v>2</v>
      </c>
      <c r="AI80" s="3">
        <f t="shared" si="1"/>
        <v>0</v>
      </c>
      <c r="AJ80" s="3">
        <f t="shared" si="2"/>
        <v>0</v>
      </c>
      <c r="AK80" s="3">
        <f t="shared" si="3"/>
        <v>0</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3</v>
      </c>
      <c r="AI81" s="3">
        <f t="shared" si="1"/>
        <v>0</v>
      </c>
      <c r="AJ81" s="3">
        <f t="shared" si="2"/>
        <v>0</v>
      </c>
      <c r="AK81" s="3">
        <f t="shared" si="3"/>
        <v>0</v>
      </c>
    </row>
    <row r="82" spans="2:37" x14ac:dyDescent="0.25">
      <c r="B82" s="2"/>
      <c r="D82" s="360" t="s">
        <v>54</v>
      </c>
      <c r="E82" s="360"/>
      <c r="F82" s="16" t="s">
        <v>500</v>
      </c>
      <c r="G82" s="16">
        <v>0.39900000000000002</v>
      </c>
      <c r="H82" s="16">
        <v>0.4</v>
      </c>
      <c r="I82" s="16">
        <v>0.499</v>
      </c>
      <c r="J82" s="16">
        <v>0.5</v>
      </c>
      <c r="K82" s="16">
        <v>0.59899999999999998</v>
      </c>
      <c r="L82" s="16">
        <v>0.6</v>
      </c>
      <c r="M82" s="16" t="s">
        <v>500</v>
      </c>
      <c r="O82" s="2"/>
      <c r="AE82" s="3" t="s">
        <v>54</v>
      </c>
      <c r="AF82" s="3">
        <v>8</v>
      </c>
      <c r="AG82" s="3">
        <f t="shared" si="0"/>
        <v>1</v>
      </c>
      <c r="AH82" s="3">
        <f>+IF(AG82=0,0,IF(AG82=1,(SUM($AG$75:AG82)-1),1))</f>
        <v>4</v>
      </c>
      <c r="AI82" s="3">
        <f t="shared" si="1"/>
        <v>1</v>
      </c>
      <c r="AJ82" s="3">
        <f t="shared" si="2"/>
        <v>0</v>
      </c>
      <c r="AK82" s="3">
        <f t="shared" si="3"/>
        <v>1</v>
      </c>
    </row>
    <row r="83" spans="2:37" x14ac:dyDescent="0.25">
      <c r="B83" s="2"/>
      <c r="D83" s="360" t="s">
        <v>55</v>
      </c>
      <c r="E83" s="360"/>
      <c r="F83" s="16" t="s">
        <v>500</v>
      </c>
      <c r="G83" s="16" t="s">
        <v>500</v>
      </c>
      <c r="H83" s="16" t="s">
        <v>500</v>
      </c>
      <c r="I83" s="16" t="s">
        <v>500</v>
      </c>
      <c r="J83" s="16" t="s">
        <v>500</v>
      </c>
      <c r="K83" s="16" t="s">
        <v>500</v>
      </c>
      <c r="L83" s="16" t="s">
        <v>500</v>
      </c>
      <c r="M83" s="16" t="s">
        <v>500</v>
      </c>
      <c r="O83" s="2"/>
      <c r="AE83" s="3" t="s">
        <v>55</v>
      </c>
      <c r="AF83" s="3">
        <v>9</v>
      </c>
      <c r="AG83" s="3">
        <f t="shared" si="0"/>
        <v>1</v>
      </c>
      <c r="AH83" s="3">
        <f>+IF(AG83=0,0,IF(AG83=1,(SUM($AG$75:AG83)-1),1))</f>
        <v>5</v>
      </c>
      <c r="AI83" s="3">
        <f t="shared" si="1"/>
        <v>0</v>
      </c>
      <c r="AJ83" s="3">
        <f t="shared" si="2"/>
        <v>0</v>
      </c>
      <c r="AK83" s="3">
        <f t="shared" si="3"/>
        <v>0</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6</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7</v>
      </c>
      <c r="AI85" s="3">
        <f t="shared" si="1"/>
        <v>0</v>
      </c>
      <c r="AJ85" s="3">
        <f t="shared" si="2"/>
        <v>0</v>
      </c>
      <c r="AK85" s="3">
        <f t="shared" si="3"/>
        <v>0</v>
      </c>
    </row>
    <row r="86" spans="2:37" x14ac:dyDescent="0.25">
      <c r="B86" s="2"/>
      <c r="D86" s="360" t="s">
        <v>58</v>
      </c>
      <c r="E86" s="360"/>
      <c r="F86" s="16" t="s">
        <v>500</v>
      </c>
      <c r="G86" s="16">
        <v>0.69899999999999995</v>
      </c>
      <c r="H86" s="16">
        <v>0.7</v>
      </c>
      <c r="I86" s="16">
        <v>0.79900000000000004</v>
      </c>
      <c r="J86" s="16">
        <v>0.8</v>
      </c>
      <c r="K86" s="16">
        <v>0.999</v>
      </c>
      <c r="L86" s="16" t="s">
        <v>500</v>
      </c>
      <c r="M86" s="16">
        <v>1</v>
      </c>
      <c r="O86" s="2"/>
      <c r="AE86" s="3" t="s">
        <v>58</v>
      </c>
      <c r="AF86" s="65">
        <v>12</v>
      </c>
      <c r="AG86" s="3">
        <f t="shared" si="0"/>
        <v>1</v>
      </c>
      <c r="AH86" s="3">
        <f>+IF(AG86=0,0,IF(AG86=1,(SUM($AG$75:AG86)-1),1))</f>
        <v>8</v>
      </c>
      <c r="AI86" s="3">
        <f t="shared" si="1"/>
        <v>1</v>
      </c>
      <c r="AJ86" s="3">
        <f t="shared" si="2"/>
        <v>0</v>
      </c>
      <c r="AK86" s="3">
        <f t="shared" si="3"/>
        <v>1</v>
      </c>
    </row>
    <row r="87" spans="2:37" ht="3.75" customHeight="1" x14ac:dyDescent="0.25">
      <c r="B87" s="2"/>
      <c r="O87" s="2"/>
    </row>
    <row r="88" spans="2:37" ht="66" customHeight="1" x14ac:dyDescent="0.25">
      <c r="B88" s="2"/>
      <c r="D88" s="338" t="s">
        <v>59</v>
      </c>
      <c r="E88" s="339"/>
      <c r="F88" s="340" t="s">
        <v>1180</v>
      </c>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2" customHeight="1" x14ac:dyDescent="0.25">
      <c r="B97" s="2"/>
      <c r="D97" s="359" t="s">
        <v>35</v>
      </c>
      <c r="E97" s="359"/>
      <c r="F97" s="471" t="s">
        <v>1182</v>
      </c>
      <c r="G97" s="471"/>
      <c r="H97" s="471"/>
      <c r="I97" s="471"/>
      <c r="J97" s="471"/>
      <c r="K97" s="471"/>
      <c r="L97" s="471"/>
      <c r="M97" s="471"/>
      <c r="O97" s="2"/>
    </row>
    <row r="98" spans="2:15" ht="42" customHeight="1" x14ac:dyDescent="0.25">
      <c r="B98" s="2"/>
      <c r="D98" s="359" t="s">
        <v>36</v>
      </c>
      <c r="E98" s="359"/>
      <c r="F98" s="471" t="s">
        <v>1182</v>
      </c>
      <c r="G98" s="471"/>
      <c r="H98" s="471"/>
      <c r="I98" s="471"/>
      <c r="J98" s="471"/>
      <c r="K98" s="471"/>
      <c r="L98" s="471"/>
      <c r="M98" s="471"/>
      <c r="O98" s="2"/>
    </row>
    <row r="99" spans="2:15" ht="3.95" customHeight="1" x14ac:dyDescent="0.25">
      <c r="B99" s="2"/>
      <c r="O99" s="2"/>
    </row>
    <row r="100" spans="2:15" ht="108" customHeight="1" x14ac:dyDescent="0.25">
      <c r="B100" s="2"/>
      <c r="D100" s="338" t="s">
        <v>62</v>
      </c>
      <c r="E100" s="339"/>
      <c r="F100" s="340" t="s">
        <v>1181</v>
      </c>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2</v>
      </c>
      <c r="K102" s="20"/>
      <c r="O102" s="2"/>
    </row>
    <row r="103" spans="2:15" ht="19.5" customHeight="1" x14ac:dyDescent="0.25">
      <c r="B103" s="2"/>
      <c r="D103" s="331"/>
      <c r="E103" s="332"/>
      <c r="F103" s="19" t="s">
        <v>66</v>
      </c>
      <c r="G103" s="4"/>
      <c r="K103" s="21"/>
      <c r="O103" s="2"/>
    </row>
    <row r="104" spans="2:15" ht="27.75" customHeight="1" x14ac:dyDescent="0.25">
      <c r="B104" s="2"/>
      <c r="D104" s="331"/>
      <c r="E104" s="332"/>
      <c r="F104" s="19" t="s">
        <v>67</v>
      </c>
      <c r="G104" s="333"/>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Jefe Oficina Asesora Jurídica</v>
      </c>
      <c r="H108" s="334"/>
      <c r="I108" s="334"/>
      <c r="J108" s="334"/>
      <c r="K108" s="334"/>
      <c r="L108" s="334"/>
      <c r="M108" s="335"/>
      <c r="O108" s="2"/>
    </row>
    <row r="109" spans="2:15" ht="17.25" customHeight="1" x14ac:dyDescent="0.25">
      <c r="B109" s="2"/>
      <c r="D109" s="331"/>
      <c r="E109" s="332"/>
      <c r="F109" s="19" t="s">
        <v>2042</v>
      </c>
      <c r="G109" s="333" t="str">
        <f>+IF(M23="Si","Coordinador(a) Planeación y Sistemas","")</f>
        <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166" priority="31">
      <formula>+IF($F$43="no",1,0)</formula>
    </cfRule>
  </conditionalFormatting>
  <conditionalFormatting sqref="F32:M33">
    <cfRule type="expression" dxfId="1165" priority="30">
      <formula>+IF($Q$30="NA",1,0)</formula>
    </cfRule>
  </conditionalFormatting>
  <conditionalFormatting sqref="F33:M33">
    <cfRule type="expression" dxfId="1164" priority="29">
      <formula>+IF($Q$33=0,1,0)</formula>
    </cfRule>
  </conditionalFormatting>
  <conditionalFormatting sqref="F47:M47">
    <cfRule type="expression" dxfId="1163" priority="28">
      <formula>+IF($Q$47=0,1,0)</formula>
    </cfRule>
  </conditionalFormatting>
  <conditionalFormatting sqref="F73:G73">
    <cfRule type="cellIs" dxfId="1162" priority="14" operator="equal">
      <formula>"optimo"</formula>
    </cfRule>
    <cfRule type="cellIs" dxfId="1161" priority="15" operator="equal">
      <formula>"critico"</formula>
    </cfRule>
  </conditionalFormatting>
  <conditionalFormatting sqref="H73:I73">
    <cfRule type="cellIs" dxfId="1160" priority="12" operator="equal">
      <formula>"Adecuado"</formula>
    </cfRule>
    <cfRule type="cellIs" dxfId="1159" priority="13" operator="equal">
      <formula>"en riesgo"</formula>
    </cfRule>
  </conditionalFormatting>
  <conditionalFormatting sqref="J73:K73">
    <cfRule type="cellIs" dxfId="1158" priority="10" operator="equal">
      <formula>"Adecuado"</formula>
    </cfRule>
    <cfRule type="cellIs" dxfId="1157" priority="11" operator="equal">
      <formula>"en riesgo"</formula>
    </cfRule>
  </conditionalFormatting>
  <conditionalFormatting sqref="L73:M73">
    <cfRule type="cellIs" dxfId="1156" priority="8" operator="equal">
      <formula>"optimo"</formula>
    </cfRule>
    <cfRule type="cellIs" dxfId="1155" priority="9" operator="equal">
      <formula>"critico"</formula>
    </cfRule>
  </conditionalFormatting>
  <conditionalFormatting sqref="F75:M86">
    <cfRule type="expression" dxfId="1154" priority="7">
      <formula>+IF($AK75=0,1)</formula>
    </cfRule>
  </conditionalFormatting>
  <conditionalFormatting sqref="F103:G104">
    <cfRule type="expression" dxfId="1153" priority="6">
      <formula>+IF($G$102="No",1,0)</formula>
    </cfRule>
  </conditionalFormatting>
  <conditionalFormatting sqref="F51">
    <cfRule type="expression" dxfId="1152" priority="5">
      <formula>+IF($F$43="no",1,0)</formula>
    </cfRule>
  </conditionalFormatting>
  <conditionalFormatting sqref="I51">
    <cfRule type="expression" dxfId="1151"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1">
    <tabColor rgb="FF0070C0"/>
  </sheetPr>
  <dimension ref="B1:AV113"/>
  <sheetViews>
    <sheetView topLeftCell="A37" zoomScale="90" zoomScaleNormal="90" workbookViewId="0"/>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358</v>
      </c>
      <c r="O10" s="2"/>
    </row>
    <row r="11" spans="2:24" ht="3.95" customHeight="1" x14ac:dyDescent="0.25">
      <c r="B11" s="2"/>
      <c r="D11" s="6"/>
      <c r="O11" s="2"/>
    </row>
    <row r="12" spans="2:24" ht="36" customHeight="1" x14ac:dyDescent="0.25">
      <c r="B12" s="2"/>
      <c r="D12" s="338" t="s">
        <v>5</v>
      </c>
      <c r="E12" s="339"/>
      <c r="F12" s="340" t="s">
        <v>359</v>
      </c>
      <c r="G12" s="341"/>
      <c r="H12" s="341"/>
      <c r="I12" s="341"/>
      <c r="J12" s="341"/>
      <c r="K12" s="341"/>
      <c r="L12" s="341"/>
      <c r="M12" s="342"/>
      <c r="O12" s="2"/>
      <c r="W12" s="3" t="str">
        <f>+F23</f>
        <v>Trimestral</v>
      </c>
      <c r="X12" s="3" t="str">
        <f>+F71</f>
        <v>Junio</v>
      </c>
    </row>
    <row r="13" spans="2:24" ht="3.95" customHeight="1" x14ac:dyDescent="0.25">
      <c r="B13" s="2"/>
      <c r="O13" s="2"/>
    </row>
    <row r="14" spans="2:24" ht="38.25" customHeight="1" x14ac:dyDescent="0.25">
      <c r="B14" s="2"/>
      <c r="D14" s="338" t="s">
        <v>6</v>
      </c>
      <c r="E14" s="339"/>
      <c r="F14" s="340" t="s">
        <v>1204</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17">
        <v>0</v>
      </c>
      <c r="G22" s="337" t="s">
        <v>9</v>
      </c>
      <c r="H22" s="337"/>
      <c r="I22" s="17">
        <v>1</v>
      </c>
      <c r="K22" s="337" t="s">
        <v>10</v>
      </c>
      <c r="L22" s="337"/>
      <c r="M22" s="9" t="s">
        <v>496</v>
      </c>
      <c r="O22" s="2"/>
    </row>
    <row r="23" spans="2:17" ht="19.5" customHeight="1" x14ac:dyDescent="0.25">
      <c r="B23" s="2"/>
      <c r="D23" s="337" t="s">
        <v>11</v>
      </c>
      <c r="E23" s="337"/>
      <c r="F23" s="4" t="s">
        <v>71</v>
      </c>
      <c r="G23" s="337" t="s">
        <v>12</v>
      </c>
      <c r="H23" s="337"/>
      <c r="I23" s="4" t="s">
        <v>497</v>
      </c>
      <c r="K23" s="337" t="s">
        <v>13</v>
      </c>
      <c r="L23" s="337"/>
      <c r="M23" s="9" t="s">
        <v>496</v>
      </c>
      <c r="O23" s="2"/>
    </row>
    <row r="24" spans="2:17" ht="20.100000000000001" customHeight="1" x14ac:dyDescent="0.25">
      <c r="B24" s="2"/>
      <c r="D24" s="337" t="s">
        <v>14</v>
      </c>
      <c r="E24" s="337"/>
      <c r="F24" s="4" t="s">
        <v>81</v>
      </c>
      <c r="G24" s="337" t="s">
        <v>15</v>
      </c>
      <c r="H24" s="337"/>
      <c r="I24" s="4" t="s">
        <v>533</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NA</v>
      </c>
    </row>
    <row r="31" spans="2:17" ht="24" customHeight="1" x14ac:dyDescent="0.25">
      <c r="B31" s="2"/>
      <c r="D31" s="347"/>
      <c r="E31" s="348"/>
      <c r="F31" s="4" t="s">
        <v>354</v>
      </c>
      <c r="G31" s="340" t="s">
        <v>355</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500</v>
      </c>
      <c r="G33" s="340"/>
      <c r="H33" s="341"/>
      <c r="I33" s="341"/>
      <c r="J33" s="341"/>
      <c r="K33" s="341"/>
      <c r="L33" s="341"/>
      <c r="M33" s="342"/>
      <c r="O33" s="2"/>
      <c r="Q33" s="3" t="str">
        <f>+IFERROR(IF(VLOOKUP(G33,base!$A$26:$C$40,3,FALSE)=F31,1,0),"")</f>
        <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1716</v>
      </c>
      <c r="G35" s="340" t="s">
        <v>1592</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2</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500</v>
      </c>
      <c r="G45" s="340" t="s">
        <v>512</v>
      </c>
      <c r="H45" s="341"/>
      <c r="I45" s="341"/>
      <c r="J45" s="341"/>
      <c r="K45" s="341"/>
      <c r="L45" s="341"/>
      <c r="M45" s="342"/>
      <c r="O45" s="2"/>
      <c r="Q45" s="3" t="str">
        <f>+IFERROR(VLOOKUP(G45,base!$A$41:$C$45,3,FALSE),"")</f>
        <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500</v>
      </c>
      <c r="G47" s="340"/>
      <c r="H47" s="341"/>
      <c r="I47" s="341"/>
      <c r="J47" s="341"/>
      <c r="K47" s="341"/>
      <c r="L47" s="341"/>
      <c r="M47" s="342"/>
      <c r="O47" s="2"/>
      <c r="Q47" s="3" t="e">
        <f>+IF(VLOOKUP(G47,base!$A$46:$C$66,3,FALSE)=F45,1,0)</f>
        <v>#N/A</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920</v>
      </c>
      <c r="G49" s="340" t="s">
        <v>899</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29"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37" t="s">
        <v>34</v>
      </c>
      <c r="E59" s="337"/>
      <c r="F59" s="344" t="s">
        <v>1205</v>
      </c>
      <c r="G59" s="344"/>
      <c r="H59" s="344"/>
      <c r="I59" s="344"/>
      <c r="J59" s="344"/>
      <c r="K59" s="344"/>
      <c r="L59" s="344"/>
      <c r="M59" s="344"/>
      <c r="O59" s="2"/>
    </row>
    <row r="60" spans="2:15" x14ac:dyDescent="0.25">
      <c r="B60" s="2"/>
      <c r="D60" s="359" t="s">
        <v>35</v>
      </c>
      <c r="E60" s="359"/>
      <c r="F60" s="344" t="s">
        <v>1206</v>
      </c>
      <c r="G60" s="344"/>
      <c r="H60" s="344"/>
      <c r="I60" s="344"/>
      <c r="J60" s="344"/>
      <c r="K60" s="344"/>
      <c r="L60" s="344"/>
      <c r="M60" s="344"/>
      <c r="O60" s="2"/>
    </row>
    <row r="61" spans="2:15" x14ac:dyDescent="0.25">
      <c r="B61" s="2"/>
      <c r="D61" s="359" t="s">
        <v>36</v>
      </c>
      <c r="E61" s="359"/>
      <c r="F61" s="340" t="s">
        <v>1207</v>
      </c>
      <c r="G61" s="341"/>
      <c r="H61" s="341"/>
      <c r="I61" s="341"/>
      <c r="J61" s="341"/>
      <c r="K61" s="341"/>
      <c r="L61" s="341"/>
      <c r="M61" s="342"/>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43" t="s">
        <v>39</v>
      </c>
      <c r="E71" s="343"/>
      <c r="F71" s="4" t="s">
        <v>50</v>
      </c>
      <c r="G71" s="3">
        <v>3</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c r="H77" s="16"/>
      <c r="I77" s="16"/>
      <c r="J77" s="16"/>
      <c r="K77" s="16"/>
      <c r="L77" s="16"/>
      <c r="M77" s="16"/>
      <c r="O77" s="2"/>
      <c r="AE77" s="3" t="s">
        <v>47</v>
      </c>
      <c r="AF77" s="3">
        <v>3</v>
      </c>
      <c r="AG77" s="3">
        <f t="shared" si="0"/>
        <v>1</v>
      </c>
      <c r="AH77" s="3">
        <f>+IF(AG77=0,0,IF(AG77=1,(SUM($AG$75:AG77)-1),1))</f>
        <v>0</v>
      </c>
      <c r="AI77" s="3">
        <f t="shared" si="1"/>
        <v>0</v>
      </c>
      <c r="AJ77" s="3">
        <f t="shared" si="2"/>
        <v>0</v>
      </c>
      <c r="AK77" s="3">
        <f t="shared" si="3"/>
        <v>0</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2</v>
      </c>
      <c r="AI79" s="3">
        <f t="shared" si="1"/>
        <v>0</v>
      </c>
      <c r="AJ79" s="3">
        <f t="shared" si="2"/>
        <v>0</v>
      </c>
      <c r="AK79" s="3">
        <f t="shared" si="3"/>
        <v>0</v>
      </c>
    </row>
    <row r="80" spans="2:37" x14ac:dyDescent="0.25">
      <c r="B80" s="2"/>
      <c r="D80" s="360" t="s">
        <v>50</v>
      </c>
      <c r="E80" s="360"/>
      <c r="F80" s="16" t="s">
        <v>500</v>
      </c>
      <c r="G80" s="16">
        <v>0.79900000000000004</v>
      </c>
      <c r="H80" s="16">
        <v>0.8</v>
      </c>
      <c r="I80" s="16">
        <v>0.94899999999999995</v>
      </c>
      <c r="J80" s="16">
        <v>0.95</v>
      </c>
      <c r="K80" s="16">
        <v>0.999</v>
      </c>
      <c r="L80" s="16" t="s">
        <v>500</v>
      </c>
      <c r="M80" s="16">
        <v>1</v>
      </c>
      <c r="O80" s="2"/>
      <c r="AE80" s="3" t="s">
        <v>50</v>
      </c>
      <c r="AF80" s="3">
        <v>6</v>
      </c>
      <c r="AG80" s="3">
        <f t="shared" si="0"/>
        <v>1</v>
      </c>
      <c r="AH80" s="3">
        <f>+IF(AG80=0,0,IF(AG80=1,(SUM($AG$75:AG80)-1),1))</f>
        <v>3</v>
      </c>
      <c r="AI80" s="3">
        <f t="shared" si="1"/>
        <v>1</v>
      </c>
      <c r="AJ80" s="3">
        <f t="shared" si="2"/>
        <v>1</v>
      </c>
      <c r="AK80" s="3">
        <f t="shared" si="3"/>
        <v>1</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4</v>
      </c>
      <c r="AI81" s="3">
        <f t="shared" si="1"/>
        <v>0</v>
      </c>
      <c r="AJ81" s="3">
        <f t="shared" si="2"/>
        <v>0</v>
      </c>
      <c r="AK81" s="3">
        <f t="shared" si="3"/>
        <v>0</v>
      </c>
    </row>
    <row r="82" spans="2:37" x14ac:dyDescent="0.25">
      <c r="B82" s="2"/>
      <c r="D82" s="360" t="s">
        <v>54</v>
      </c>
      <c r="E82" s="360"/>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60" t="s">
        <v>55</v>
      </c>
      <c r="E83" s="360"/>
      <c r="F83" s="16" t="s">
        <v>500</v>
      </c>
      <c r="G83" s="16">
        <v>0.79900000000000004</v>
      </c>
      <c r="H83" s="16">
        <v>0.8</v>
      </c>
      <c r="I83" s="16">
        <v>0.94899999999999995</v>
      </c>
      <c r="J83" s="16">
        <v>0.95</v>
      </c>
      <c r="K83" s="16">
        <v>0.999</v>
      </c>
      <c r="L83" s="16" t="s">
        <v>500</v>
      </c>
      <c r="M83" s="16">
        <v>1</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60" t="s">
        <v>58</v>
      </c>
      <c r="E86" s="360"/>
      <c r="F86" s="16" t="s">
        <v>500</v>
      </c>
      <c r="G86" s="16">
        <v>0.79900000000000004</v>
      </c>
      <c r="H86" s="16">
        <v>0.8</v>
      </c>
      <c r="I86" s="16">
        <v>0.94899999999999995</v>
      </c>
      <c r="J86" s="16">
        <v>0.95</v>
      </c>
      <c r="K86" s="16">
        <v>0.999</v>
      </c>
      <c r="L86" s="16" t="s">
        <v>500</v>
      </c>
      <c r="M86" s="16">
        <v>1</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66" customHeight="1" x14ac:dyDescent="0.25">
      <c r="B88" s="2"/>
      <c r="D88" s="338" t="s">
        <v>59</v>
      </c>
      <c r="E88" s="339"/>
      <c r="F88" s="340" t="s">
        <v>1184</v>
      </c>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2" customHeight="1" x14ac:dyDescent="0.25">
      <c r="B97" s="2"/>
      <c r="D97" s="359" t="s">
        <v>35</v>
      </c>
      <c r="E97" s="359"/>
      <c r="F97" s="471" t="s">
        <v>1183</v>
      </c>
      <c r="G97" s="471"/>
      <c r="H97" s="471"/>
      <c r="I97" s="471"/>
      <c r="J97" s="471"/>
      <c r="K97" s="471"/>
      <c r="L97" s="471"/>
      <c r="M97" s="471"/>
      <c r="O97" s="2"/>
    </row>
    <row r="98" spans="2:15" ht="42" customHeight="1" x14ac:dyDescent="0.25">
      <c r="B98" s="2"/>
      <c r="D98" s="359" t="s">
        <v>36</v>
      </c>
      <c r="E98" s="359"/>
      <c r="F98" s="471" t="s">
        <v>1183</v>
      </c>
      <c r="G98" s="471"/>
      <c r="H98" s="471"/>
      <c r="I98" s="471"/>
      <c r="J98" s="471"/>
      <c r="K98" s="471"/>
      <c r="L98" s="471"/>
      <c r="M98" s="471"/>
      <c r="O98" s="2"/>
    </row>
    <row r="99" spans="2:15" ht="3.95" customHeight="1" x14ac:dyDescent="0.25">
      <c r="B99" s="2"/>
      <c r="O99" s="2"/>
    </row>
    <row r="100" spans="2:15" ht="153.75" customHeight="1" x14ac:dyDescent="0.25">
      <c r="B100" s="2"/>
      <c r="D100" s="338" t="s">
        <v>62</v>
      </c>
      <c r="E100" s="339"/>
      <c r="F100" s="340" t="s">
        <v>1175</v>
      </c>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2</v>
      </c>
      <c r="K102" s="20"/>
      <c r="O102" s="2"/>
    </row>
    <row r="103" spans="2:15" ht="19.5" customHeight="1" x14ac:dyDescent="0.25">
      <c r="B103" s="2"/>
      <c r="D103" s="331"/>
      <c r="E103" s="332"/>
      <c r="F103" s="19" t="s">
        <v>66</v>
      </c>
      <c r="G103" s="4"/>
      <c r="K103" s="21"/>
      <c r="O103" s="2"/>
    </row>
    <row r="104" spans="2:15" ht="27.75" customHeight="1" x14ac:dyDescent="0.25">
      <c r="B104" s="2"/>
      <c r="D104" s="331"/>
      <c r="E104" s="332"/>
      <c r="F104" s="19" t="s">
        <v>67</v>
      </c>
      <c r="G104" s="333"/>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Jefe Oficina Asesora Jurídica</v>
      </c>
      <c r="H108" s="334"/>
      <c r="I108" s="334"/>
      <c r="J108" s="334"/>
      <c r="K108" s="334"/>
      <c r="L108" s="334"/>
      <c r="M108" s="335"/>
      <c r="O108" s="2"/>
    </row>
    <row r="109" spans="2:15" ht="17.25" customHeight="1" x14ac:dyDescent="0.25">
      <c r="B109" s="2"/>
      <c r="D109" s="331"/>
      <c r="E109" s="332"/>
      <c r="F109" s="19" t="s">
        <v>2042</v>
      </c>
      <c r="G109" s="333" t="str">
        <f>+IF(M23="Si","Coordinador(a) Planeación y Sistemas","")</f>
        <v>Coordinador(a) Planeación y Sistemas</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150" priority="31">
      <formula>+IF($F$43="no",1,0)</formula>
    </cfRule>
  </conditionalFormatting>
  <conditionalFormatting sqref="F32:M33">
    <cfRule type="expression" dxfId="1149" priority="30">
      <formula>+IF($Q$30="NA",1,0)</formula>
    </cfRule>
  </conditionalFormatting>
  <conditionalFormatting sqref="F33:M33">
    <cfRule type="expression" dxfId="1148" priority="29">
      <formula>+IF($Q$33=0,1,0)</formula>
    </cfRule>
  </conditionalFormatting>
  <conditionalFormatting sqref="F47:M47">
    <cfRule type="expression" dxfId="1147" priority="28">
      <formula>+IF($Q$47=0,1,0)</formula>
    </cfRule>
  </conditionalFormatting>
  <conditionalFormatting sqref="F73:G73">
    <cfRule type="cellIs" dxfId="1146" priority="17" operator="equal">
      <formula>"optimo"</formula>
    </cfRule>
    <cfRule type="cellIs" dxfId="1145" priority="18" operator="equal">
      <formula>"critico"</formula>
    </cfRule>
  </conditionalFormatting>
  <conditionalFormatting sqref="H73:I73">
    <cfRule type="cellIs" dxfId="1144" priority="15" operator="equal">
      <formula>"Adecuado"</formula>
    </cfRule>
    <cfRule type="cellIs" dxfId="1143" priority="16" operator="equal">
      <formula>"en riesgo"</formula>
    </cfRule>
  </conditionalFormatting>
  <conditionalFormatting sqref="J73:K73">
    <cfRule type="cellIs" dxfId="1142" priority="13" operator="equal">
      <formula>"Adecuado"</formula>
    </cfRule>
    <cfRule type="cellIs" dxfId="1141" priority="14" operator="equal">
      <formula>"en riesgo"</formula>
    </cfRule>
  </conditionalFormatting>
  <conditionalFormatting sqref="L73:M73">
    <cfRule type="cellIs" dxfId="1140" priority="11" operator="equal">
      <formula>"optimo"</formula>
    </cfRule>
    <cfRule type="cellIs" dxfId="1139" priority="12" operator="equal">
      <formula>"critico"</formula>
    </cfRule>
  </conditionalFormatting>
  <conditionalFormatting sqref="F75:M86">
    <cfRule type="expression" dxfId="1138" priority="10">
      <formula>+IF($AK75=0,1)</formula>
    </cfRule>
  </conditionalFormatting>
  <conditionalFormatting sqref="F103:G104">
    <cfRule type="expression" dxfId="1137" priority="9">
      <formula>+IF($G$102="No",1,0)</formula>
    </cfRule>
  </conditionalFormatting>
  <conditionalFormatting sqref="F51">
    <cfRule type="expression" dxfId="1136" priority="8">
      <formula>+IF($F$43="no",1,0)</formula>
    </cfRule>
  </conditionalFormatting>
  <conditionalFormatting sqref="I51">
    <cfRule type="expression" dxfId="1135" priority="7">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2">
    <tabColor rgb="FF0070C0"/>
  </sheetPr>
  <dimension ref="B1:AV113"/>
  <sheetViews>
    <sheetView topLeftCell="A58" zoomScale="90" zoomScaleNormal="90" workbookViewId="0">
      <selection activeCell="G77" sqref="G77"/>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360</v>
      </c>
      <c r="O10" s="2"/>
    </row>
    <row r="11" spans="2:24" ht="3.95" customHeight="1" x14ac:dyDescent="0.25">
      <c r="B11" s="2"/>
      <c r="D11" s="6"/>
      <c r="O11" s="2"/>
    </row>
    <row r="12" spans="2:24" ht="36" customHeight="1" x14ac:dyDescent="0.25">
      <c r="B12" s="2"/>
      <c r="D12" s="338" t="s">
        <v>5</v>
      </c>
      <c r="E12" s="339"/>
      <c r="F12" s="340" t="s">
        <v>1197</v>
      </c>
      <c r="G12" s="341"/>
      <c r="H12" s="341"/>
      <c r="I12" s="341"/>
      <c r="J12" s="341"/>
      <c r="K12" s="341"/>
      <c r="L12" s="341"/>
      <c r="M12" s="342"/>
      <c r="O12" s="2"/>
      <c r="W12" s="3" t="str">
        <f>+F23</f>
        <v>Trimestral</v>
      </c>
      <c r="X12" s="3" t="str">
        <f>+F71</f>
        <v>Marzo</v>
      </c>
    </row>
    <row r="13" spans="2:24" ht="3.95" customHeight="1" x14ac:dyDescent="0.25">
      <c r="B13" s="2"/>
      <c r="O13" s="2"/>
    </row>
    <row r="14" spans="2:24" ht="38.25" customHeight="1" x14ac:dyDescent="0.25">
      <c r="B14" s="2"/>
      <c r="D14" s="338" t="s">
        <v>6</v>
      </c>
      <c r="E14" s="339"/>
      <c r="F14" s="340" t="s">
        <v>1198</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17">
        <v>1</v>
      </c>
      <c r="G22" s="337" t="s">
        <v>9</v>
      </c>
      <c r="H22" s="337"/>
      <c r="I22" s="17">
        <v>1</v>
      </c>
      <c r="K22" s="337" t="s">
        <v>10</v>
      </c>
      <c r="L22" s="337"/>
      <c r="M22" s="9" t="s">
        <v>496</v>
      </c>
      <c r="O22" s="2"/>
    </row>
    <row r="23" spans="2:17" ht="19.5" customHeight="1" x14ac:dyDescent="0.25">
      <c r="B23" s="2"/>
      <c r="D23" s="337" t="s">
        <v>11</v>
      </c>
      <c r="E23" s="337"/>
      <c r="F23" s="4" t="s">
        <v>71</v>
      </c>
      <c r="G23" s="337" t="s">
        <v>12</v>
      </c>
      <c r="H23" s="337"/>
      <c r="I23" s="4" t="s">
        <v>497</v>
      </c>
      <c r="K23" s="337" t="s">
        <v>13</v>
      </c>
      <c r="L23" s="337"/>
      <c r="M23" s="9" t="s">
        <v>2</v>
      </c>
      <c r="O23" s="2"/>
    </row>
    <row r="24" spans="2:17" ht="20.100000000000001" customHeight="1" x14ac:dyDescent="0.25">
      <c r="B24" s="2"/>
      <c r="D24" s="337" t="s">
        <v>14</v>
      </c>
      <c r="E24" s="337"/>
      <c r="F24" s="4" t="s">
        <v>1191</v>
      </c>
      <c r="G24" s="337" t="s">
        <v>15</v>
      </c>
      <c r="H24" s="337"/>
      <c r="I24" s="4" t="s">
        <v>533</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45.75"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NA</v>
      </c>
    </row>
    <row r="31" spans="2:17" ht="24" customHeight="1" x14ac:dyDescent="0.25">
      <c r="B31" s="2"/>
      <c r="D31" s="347"/>
      <c r="E31" s="348"/>
      <c r="F31" s="4" t="s">
        <v>354</v>
      </c>
      <c r="G31" s="340" t="s">
        <v>355</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500</v>
      </c>
      <c r="G33" s="340"/>
      <c r="H33" s="341"/>
      <c r="I33" s="341"/>
      <c r="J33" s="341"/>
      <c r="K33" s="341"/>
      <c r="L33" s="341"/>
      <c r="M33" s="342"/>
      <c r="O33" s="2"/>
      <c r="Q33" s="3" t="str">
        <f>+IFERROR(IF(VLOOKUP(G33,base!$A$26:$C$40,3,FALSE)=F31,1,0),"")</f>
        <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1716</v>
      </c>
      <c r="G35" s="340" t="s">
        <v>1592</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2</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500</v>
      </c>
      <c r="G45" s="340" t="s">
        <v>512</v>
      </c>
      <c r="H45" s="341"/>
      <c r="I45" s="341"/>
      <c r="J45" s="341"/>
      <c r="K45" s="341"/>
      <c r="L45" s="341"/>
      <c r="M45" s="342"/>
      <c r="O45" s="2"/>
      <c r="Q45" s="3" t="str">
        <f>+IFERROR(VLOOKUP(G45,base!$A$41:$C$45,3,FALSE),"")</f>
        <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500</v>
      </c>
      <c r="G47" s="340"/>
      <c r="H47" s="341"/>
      <c r="I47" s="341"/>
      <c r="J47" s="341"/>
      <c r="K47" s="341"/>
      <c r="L47" s="341"/>
      <c r="M47" s="342"/>
      <c r="O47" s="2"/>
      <c r="Q47" s="3" t="e">
        <f>+IF(VLOOKUP(G47,base!$A$46:$C$66,3,FALSE)=F45,1,0)</f>
        <v>#N/A</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920</v>
      </c>
      <c r="G49" s="340" t="s">
        <v>899</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29"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37" t="s">
        <v>34</v>
      </c>
      <c r="E59" s="337"/>
      <c r="F59" s="344" t="s">
        <v>1199</v>
      </c>
      <c r="G59" s="344"/>
      <c r="H59" s="344"/>
      <c r="I59" s="344"/>
      <c r="J59" s="344"/>
      <c r="K59" s="344"/>
      <c r="L59" s="344"/>
      <c r="M59" s="344"/>
      <c r="O59" s="2"/>
    </row>
    <row r="60" spans="2:15" ht="66" customHeight="1" x14ac:dyDescent="0.25">
      <c r="B60" s="2"/>
      <c r="D60" s="359" t="s">
        <v>35</v>
      </c>
      <c r="E60" s="359"/>
      <c r="F60" s="344" t="s">
        <v>1200</v>
      </c>
      <c r="G60" s="344"/>
      <c r="H60" s="344"/>
      <c r="I60" s="344"/>
      <c r="J60" s="344"/>
      <c r="K60" s="344"/>
      <c r="L60" s="344"/>
      <c r="M60" s="344"/>
      <c r="O60" s="2"/>
    </row>
    <row r="61" spans="2:15" ht="41.25" customHeight="1" x14ac:dyDescent="0.25">
      <c r="B61" s="2"/>
      <c r="D61" s="359" t="s">
        <v>36</v>
      </c>
      <c r="E61" s="359"/>
      <c r="F61" s="340" t="s">
        <v>1201</v>
      </c>
      <c r="G61" s="341"/>
      <c r="H61" s="341"/>
      <c r="I61" s="341"/>
      <c r="J61" s="341"/>
      <c r="K61" s="341"/>
      <c r="L61" s="341"/>
      <c r="M61" s="342"/>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43" t="s">
        <v>39</v>
      </c>
      <c r="E71" s="343"/>
      <c r="F71" s="4" t="s">
        <v>47</v>
      </c>
      <c r="G71" s="3">
        <v>3</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v>0.94899999999999995</v>
      </c>
      <c r="H77" s="16">
        <v>0.95</v>
      </c>
      <c r="I77" s="16">
        <v>0.999</v>
      </c>
      <c r="J77" s="16" t="s">
        <v>500</v>
      </c>
      <c r="K77" s="16" t="s">
        <v>500</v>
      </c>
      <c r="L77" s="16" t="s">
        <v>500</v>
      </c>
      <c r="M77" s="16">
        <v>1</v>
      </c>
      <c r="O77" s="2"/>
      <c r="AE77" s="3" t="s">
        <v>47</v>
      </c>
      <c r="AF77" s="3">
        <v>3</v>
      </c>
      <c r="AG77" s="3">
        <f t="shared" si="0"/>
        <v>1</v>
      </c>
      <c r="AH77" s="3">
        <f>+IF(AG77=0,0,IF(AG77=1,(SUM($AG$75:AG77)-1),1))</f>
        <v>0</v>
      </c>
      <c r="AI77" s="3">
        <f t="shared" si="1"/>
        <v>0</v>
      </c>
      <c r="AJ77" s="3">
        <f t="shared" si="2"/>
        <v>1</v>
      </c>
      <c r="AK77" s="3">
        <f t="shared" si="3"/>
        <v>1</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2</v>
      </c>
      <c r="AI79" s="3">
        <f t="shared" si="1"/>
        <v>0</v>
      </c>
      <c r="AJ79" s="3">
        <f t="shared" si="2"/>
        <v>0</v>
      </c>
      <c r="AK79" s="3">
        <f t="shared" si="3"/>
        <v>0</v>
      </c>
    </row>
    <row r="80" spans="2:37" x14ac:dyDescent="0.25">
      <c r="B80" s="2"/>
      <c r="D80" s="360" t="s">
        <v>50</v>
      </c>
      <c r="E80" s="360"/>
      <c r="F80" s="16" t="s">
        <v>500</v>
      </c>
      <c r="G80" s="16">
        <v>0.94899999999999995</v>
      </c>
      <c r="H80" s="16">
        <v>0.95</v>
      </c>
      <c r="I80" s="16">
        <v>0.999</v>
      </c>
      <c r="J80" s="16" t="s">
        <v>500</v>
      </c>
      <c r="K80" s="16" t="s">
        <v>500</v>
      </c>
      <c r="L80" s="16" t="s">
        <v>500</v>
      </c>
      <c r="M80" s="16">
        <v>1</v>
      </c>
      <c r="O80" s="2"/>
      <c r="AE80" s="3" t="s">
        <v>50</v>
      </c>
      <c r="AF80" s="3">
        <v>6</v>
      </c>
      <c r="AG80" s="3">
        <f t="shared" si="0"/>
        <v>1</v>
      </c>
      <c r="AH80" s="3">
        <f>+IF(AG80=0,0,IF(AG80=1,(SUM($AG$75:AG80)-1),1))</f>
        <v>3</v>
      </c>
      <c r="AI80" s="3">
        <f t="shared" si="1"/>
        <v>1</v>
      </c>
      <c r="AJ80" s="3">
        <f t="shared" si="2"/>
        <v>0</v>
      </c>
      <c r="AK80" s="3">
        <f t="shared" si="3"/>
        <v>1</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4</v>
      </c>
      <c r="AI81" s="3">
        <f t="shared" si="1"/>
        <v>0</v>
      </c>
      <c r="AJ81" s="3">
        <f t="shared" si="2"/>
        <v>0</v>
      </c>
      <c r="AK81" s="3">
        <f t="shared" si="3"/>
        <v>0</v>
      </c>
    </row>
    <row r="82" spans="2:37" x14ac:dyDescent="0.25">
      <c r="B82" s="2"/>
      <c r="D82" s="360" t="s">
        <v>54</v>
      </c>
      <c r="E82" s="360"/>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60" t="s">
        <v>55</v>
      </c>
      <c r="E83" s="360"/>
      <c r="F83" s="16" t="s">
        <v>500</v>
      </c>
      <c r="G83" s="16">
        <v>0.94899999999999995</v>
      </c>
      <c r="H83" s="16">
        <v>0.95</v>
      </c>
      <c r="I83" s="16">
        <v>0.999</v>
      </c>
      <c r="J83" s="16" t="s">
        <v>500</v>
      </c>
      <c r="K83" s="16" t="s">
        <v>500</v>
      </c>
      <c r="L83" s="16" t="s">
        <v>500</v>
      </c>
      <c r="M83" s="16">
        <v>1</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60" t="s">
        <v>58</v>
      </c>
      <c r="E86" s="360"/>
      <c r="F86" s="16" t="s">
        <v>500</v>
      </c>
      <c r="G86" s="16">
        <v>0.94899999999999995</v>
      </c>
      <c r="H86" s="16">
        <v>0.95</v>
      </c>
      <c r="I86" s="16">
        <v>0.999</v>
      </c>
      <c r="J86" s="16" t="s">
        <v>500</v>
      </c>
      <c r="K86" s="16" t="s">
        <v>500</v>
      </c>
      <c r="L86" s="16" t="s">
        <v>500</v>
      </c>
      <c r="M86" s="16">
        <v>1</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94.5" customHeight="1" x14ac:dyDescent="0.25">
      <c r="B88" s="2"/>
      <c r="D88" s="338" t="s">
        <v>59</v>
      </c>
      <c r="E88" s="339"/>
      <c r="F88" s="340" t="s">
        <v>1176</v>
      </c>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2" customHeight="1" x14ac:dyDescent="0.25">
      <c r="B97" s="2"/>
      <c r="D97" s="359" t="s">
        <v>35</v>
      </c>
      <c r="E97" s="359"/>
      <c r="F97" s="344" t="s">
        <v>1202</v>
      </c>
      <c r="G97" s="344"/>
      <c r="H97" s="344"/>
      <c r="I97" s="344"/>
      <c r="J97" s="344"/>
      <c r="K97" s="344"/>
      <c r="L97" s="344"/>
      <c r="M97" s="344"/>
      <c r="O97" s="2"/>
    </row>
    <row r="98" spans="2:15" ht="42" customHeight="1" x14ac:dyDescent="0.25">
      <c r="B98" s="2"/>
      <c r="D98" s="359" t="s">
        <v>36</v>
      </c>
      <c r="E98" s="359"/>
      <c r="F98" s="344" t="s">
        <v>1203</v>
      </c>
      <c r="G98" s="344"/>
      <c r="H98" s="344"/>
      <c r="I98" s="344"/>
      <c r="J98" s="344"/>
      <c r="K98" s="344"/>
      <c r="L98" s="344"/>
      <c r="M98" s="344"/>
      <c r="O98" s="2"/>
    </row>
    <row r="99" spans="2:15" ht="3.95" customHeight="1" x14ac:dyDescent="0.25">
      <c r="B99" s="2"/>
      <c r="O99" s="2"/>
    </row>
    <row r="100" spans="2:15" ht="78" customHeight="1" x14ac:dyDescent="0.25">
      <c r="B100" s="2"/>
      <c r="D100" s="338" t="s">
        <v>62</v>
      </c>
      <c r="E100" s="339"/>
      <c r="F100" s="340" t="s">
        <v>1177</v>
      </c>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496</v>
      </c>
      <c r="K102" s="20"/>
      <c r="O102" s="2"/>
    </row>
    <row r="103" spans="2:15" ht="19.5" customHeight="1" x14ac:dyDescent="0.25">
      <c r="B103" s="2"/>
      <c r="D103" s="331"/>
      <c r="E103" s="332"/>
      <c r="F103" s="19" t="s">
        <v>66</v>
      </c>
      <c r="G103" s="4" t="s">
        <v>361</v>
      </c>
      <c r="K103" s="21"/>
      <c r="O103" s="2"/>
    </row>
    <row r="104" spans="2:15" ht="27.75" customHeight="1" x14ac:dyDescent="0.25">
      <c r="B104" s="2"/>
      <c r="D104" s="331"/>
      <c r="E104" s="332"/>
      <c r="F104" s="19" t="s">
        <v>67</v>
      </c>
      <c r="G104" s="333" t="s">
        <v>1837</v>
      </c>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Jefe Oficina Asesora Jurídica</v>
      </c>
      <c r="H108" s="334"/>
      <c r="I108" s="334"/>
      <c r="J108" s="334"/>
      <c r="K108" s="334"/>
      <c r="L108" s="334"/>
      <c r="M108" s="335"/>
      <c r="O108" s="2"/>
    </row>
    <row r="109" spans="2:15" ht="17.25" customHeight="1" x14ac:dyDescent="0.25">
      <c r="B109" s="2"/>
      <c r="D109" s="331"/>
      <c r="E109" s="332"/>
      <c r="F109" s="19" t="s">
        <v>2042</v>
      </c>
      <c r="G109" s="333" t="str">
        <f>+IF(M23="Si","Coordinador(a) Planeación y Sistemas","")</f>
        <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134" priority="31">
      <formula>+IF($F$43="no",1,0)</formula>
    </cfRule>
  </conditionalFormatting>
  <conditionalFormatting sqref="F32:M33">
    <cfRule type="expression" dxfId="1133" priority="30">
      <formula>+IF($Q$30="NA",1,0)</formula>
    </cfRule>
  </conditionalFormatting>
  <conditionalFormatting sqref="F33:M33">
    <cfRule type="expression" dxfId="1132" priority="29">
      <formula>+IF($Q$33=0,1,0)</formula>
    </cfRule>
  </conditionalFormatting>
  <conditionalFormatting sqref="F47:M47">
    <cfRule type="expression" dxfId="1131" priority="28">
      <formula>+IF($Q$47=0,1,0)</formula>
    </cfRule>
  </conditionalFormatting>
  <conditionalFormatting sqref="F73:G73">
    <cfRule type="cellIs" dxfId="1130" priority="17" operator="equal">
      <formula>"optimo"</formula>
    </cfRule>
    <cfRule type="cellIs" dxfId="1129" priority="18" operator="equal">
      <formula>"critico"</formula>
    </cfRule>
  </conditionalFormatting>
  <conditionalFormatting sqref="H73:I73">
    <cfRule type="cellIs" dxfId="1128" priority="15" operator="equal">
      <formula>"Adecuado"</formula>
    </cfRule>
    <cfRule type="cellIs" dxfId="1127" priority="16" operator="equal">
      <formula>"en riesgo"</formula>
    </cfRule>
  </conditionalFormatting>
  <conditionalFormatting sqref="J73:K73">
    <cfRule type="cellIs" dxfId="1126" priority="13" operator="equal">
      <formula>"Adecuado"</formula>
    </cfRule>
    <cfRule type="cellIs" dxfId="1125" priority="14" operator="equal">
      <formula>"en riesgo"</formula>
    </cfRule>
  </conditionalFormatting>
  <conditionalFormatting sqref="L73:M73">
    <cfRule type="cellIs" dxfId="1124" priority="11" operator="equal">
      <formula>"optimo"</formula>
    </cfRule>
    <cfRule type="cellIs" dxfId="1123" priority="12" operator="equal">
      <formula>"critico"</formula>
    </cfRule>
  </conditionalFormatting>
  <conditionalFormatting sqref="F75:M86">
    <cfRule type="expression" dxfId="1122" priority="10">
      <formula>+IF($AK75=0,1)</formula>
    </cfRule>
  </conditionalFormatting>
  <conditionalFormatting sqref="F103:G104">
    <cfRule type="expression" dxfId="1121" priority="9">
      <formula>+IF($G$102="No",1,0)</formula>
    </cfRule>
  </conditionalFormatting>
  <conditionalFormatting sqref="F51">
    <cfRule type="expression" dxfId="1120" priority="8">
      <formula>+IF($F$43="no",1,0)</formula>
    </cfRule>
  </conditionalFormatting>
  <conditionalFormatting sqref="I51">
    <cfRule type="expression" dxfId="1119" priority="7">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3">
    <tabColor rgb="FF0070C0"/>
  </sheetPr>
  <dimension ref="B1:AV113"/>
  <sheetViews>
    <sheetView topLeftCell="A49" zoomScale="90" zoomScaleNormal="90" workbookViewId="0">
      <selection activeCell="F108" sqref="F108:M11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361</v>
      </c>
      <c r="O10" s="2"/>
    </row>
    <row r="11" spans="2:24" ht="3.95" customHeight="1" x14ac:dyDescent="0.25">
      <c r="B11" s="2"/>
      <c r="D11" s="6"/>
      <c r="O11" s="2"/>
    </row>
    <row r="12" spans="2:24" ht="36" customHeight="1" x14ac:dyDescent="0.25">
      <c r="B12" s="2"/>
      <c r="D12" s="338" t="s">
        <v>5</v>
      </c>
      <c r="E12" s="339"/>
      <c r="F12" s="340" t="s">
        <v>362</v>
      </c>
      <c r="G12" s="341"/>
      <c r="H12" s="341"/>
      <c r="I12" s="341"/>
      <c r="J12" s="341"/>
      <c r="K12" s="341"/>
      <c r="L12" s="341"/>
      <c r="M12" s="342"/>
      <c r="O12" s="2"/>
      <c r="W12" s="3" t="str">
        <f>+F23</f>
        <v>Trimestral</v>
      </c>
      <c r="X12" s="3" t="str">
        <f>+F71</f>
        <v>Marzo</v>
      </c>
    </row>
    <row r="13" spans="2:24" ht="3.95" customHeight="1" x14ac:dyDescent="0.25">
      <c r="B13" s="2"/>
      <c r="O13" s="2"/>
    </row>
    <row r="14" spans="2:24" ht="38.25" customHeight="1" x14ac:dyDescent="0.25">
      <c r="B14" s="2"/>
      <c r="D14" s="338" t="s">
        <v>6</v>
      </c>
      <c r="E14" s="339"/>
      <c r="F14" s="340" t="s">
        <v>1190</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17">
        <v>1</v>
      </c>
      <c r="G22" s="337" t="s">
        <v>9</v>
      </c>
      <c r="H22" s="337"/>
      <c r="I22" s="17">
        <v>1</v>
      </c>
      <c r="K22" s="337" t="s">
        <v>10</v>
      </c>
      <c r="L22" s="337"/>
      <c r="M22" s="9" t="s">
        <v>496</v>
      </c>
      <c r="O22" s="2"/>
    </row>
    <row r="23" spans="2:17" ht="19.5" customHeight="1" x14ac:dyDescent="0.25">
      <c r="B23" s="2"/>
      <c r="D23" s="337" t="s">
        <v>11</v>
      </c>
      <c r="E23" s="337"/>
      <c r="F23" s="4" t="s">
        <v>71</v>
      </c>
      <c r="G23" s="337" t="s">
        <v>12</v>
      </c>
      <c r="H23" s="337"/>
      <c r="I23" s="4" t="s">
        <v>497</v>
      </c>
      <c r="K23" s="337" t="s">
        <v>13</v>
      </c>
      <c r="L23" s="337"/>
      <c r="M23" s="9" t="s">
        <v>2</v>
      </c>
      <c r="O23" s="2"/>
    </row>
    <row r="24" spans="2:17" ht="20.100000000000001" customHeight="1" x14ac:dyDescent="0.25">
      <c r="B24" s="2"/>
      <c r="D24" s="337" t="s">
        <v>14</v>
      </c>
      <c r="E24" s="337"/>
      <c r="F24" s="4" t="s">
        <v>1191</v>
      </c>
      <c r="G24" s="337" t="s">
        <v>15</v>
      </c>
      <c r="H24" s="337"/>
      <c r="I24" s="4" t="s">
        <v>533</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NA</v>
      </c>
    </row>
    <row r="31" spans="2:17" ht="24" customHeight="1" x14ac:dyDescent="0.25">
      <c r="B31" s="2"/>
      <c r="D31" s="347"/>
      <c r="E31" s="348"/>
      <c r="F31" s="4" t="s">
        <v>354</v>
      </c>
      <c r="G31" s="340" t="s">
        <v>355</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500</v>
      </c>
      <c r="G33" s="340"/>
      <c r="H33" s="341"/>
      <c r="I33" s="341"/>
      <c r="J33" s="341"/>
      <c r="K33" s="341"/>
      <c r="L33" s="341"/>
      <c r="M33" s="342"/>
      <c r="O33" s="2"/>
      <c r="Q33" s="3" t="str">
        <f>+IFERROR(IF(VLOOKUP(G33,base!$A$26:$C$40,3,FALSE)=F31,1,0),"")</f>
        <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1716</v>
      </c>
      <c r="G35" s="340" t="s">
        <v>1592</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2</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500</v>
      </c>
      <c r="G45" s="340" t="s">
        <v>512</v>
      </c>
      <c r="H45" s="341"/>
      <c r="I45" s="341"/>
      <c r="J45" s="341"/>
      <c r="K45" s="341"/>
      <c r="L45" s="341"/>
      <c r="M45" s="342"/>
      <c r="O45" s="2"/>
      <c r="Q45" s="3" t="str">
        <f>+IFERROR(VLOOKUP(G45,base!$A$41:$C$45,3,FALSE),"")</f>
        <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500</v>
      </c>
      <c r="G47" s="340"/>
      <c r="H47" s="341"/>
      <c r="I47" s="341"/>
      <c r="J47" s="341"/>
      <c r="K47" s="341"/>
      <c r="L47" s="341"/>
      <c r="M47" s="342"/>
      <c r="O47" s="2"/>
      <c r="Q47" s="3" t="e">
        <f>+IF(VLOOKUP(G47,base!$A$46:$C$66,3,FALSE)=F45,1,0)</f>
        <v>#N/A</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920</v>
      </c>
      <c r="G49" s="340" t="s">
        <v>899</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29"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37" t="s">
        <v>34</v>
      </c>
      <c r="E59" s="337"/>
      <c r="F59" s="344" t="s">
        <v>1192</v>
      </c>
      <c r="G59" s="344"/>
      <c r="H59" s="344"/>
      <c r="I59" s="344"/>
      <c r="J59" s="344"/>
      <c r="K59" s="344"/>
      <c r="L59" s="344"/>
      <c r="M59" s="344"/>
      <c r="O59" s="2"/>
    </row>
    <row r="60" spans="2:15" ht="42" customHeight="1" x14ac:dyDescent="0.25">
      <c r="B60" s="2"/>
      <c r="D60" s="359" t="s">
        <v>35</v>
      </c>
      <c r="E60" s="359"/>
      <c r="F60" s="344" t="s">
        <v>1193</v>
      </c>
      <c r="G60" s="344"/>
      <c r="H60" s="344"/>
      <c r="I60" s="344"/>
      <c r="J60" s="344"/>
      <c r="K60" s="344"/>
      <c r="L60" s="344"/>
      <c r="M60" s="344"/>
      <c r="O60" s="2"/>
    </row>
    <row r="61" spans="2:15" ht="42" customHeight="1" x14ac:dyDescent="0.25">
      <c r="B61" s="2"/>
      <c r="D61" s="359" t="s">
        <v>36</v>
      </c>
      <c r="E61" s="359"/>
      <c r="F61" s="340" t="s">
        <v>1194</v>
      </c>
      <c r="G61" s="341"/>
      <c r="H61" s="341"/>
      <c r="I61" s="341"/>
      <c r="J61" s="341"/>
      <c r="K61" s="341"/>
      <c r="L61" s="341"/>
      <c r="M61" s="342"/>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43" t="s">
        <v>39</v>
      </c>
      <c r="E71" s="343"/>
      <c r="F71" s="4" t="s">
        <v>47</v>
      </c>
      <c r="G71" s="3">
        <v>3</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v>0.89900000000000002</v>
      </c>
      <c r="H77" s="16">
        <v>0.9</v>
      </c>
      <c r="I77" s="16">
        <v>0.94899999999999995</v>
      </c>
      <c r="J77" s="16">
        <v>0.95</v>
      </c>
      <c r="K77" s="16">
        <v>0.999</v>
      </c>
      <c r="L77" s="16" t="s">
        <v>500</v>
      </c>
      <c r="M77" s="16">
        <v>1</v>
      </c>
      <c r="O77" s="2"/>
      <c r="AE77" s="3" t="s">
        <v>47</v>
      </c>
      <c r="AF77" s="3">
        <v>3</v>
      </c>
      <c r="AG77" s="3">
        <f t="shared" si="0"/>
        <v>1</v>
      </c>
      <c r="AH77" s="3">
        <f>+IF(AG77=0,0,IF(AG77=1,(SUM($AG$75:AG77)-1),1))</f>
        <v>0</v>
      </c>
      <c r="AI77" s="3">
        <f t="shared" si="1"/>
        <v>0</v>
      </c>
      <c r="AJ77" s="3">
        <f t="shared" si="2"/>
        <v>1</v>
      </c>
      <c r="AK77" s="3">
        <f t="shared" si="3"/>
        <v>1</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2</v>
      </c>
      <c r="AI79" s="3">
        <f t="shared" si="1"/>
        <v>0</v>
      </c>
      <c r="AJ79" s="3">
        <f t="shared" si="2"/>
        <v>0</v>
      </c>
      <c r="AK79" s="3">
        <f t="shared" si="3"/>
        <v>0</v>
      </c>
    </row>
    <row r="80" spans="2:37" x14ac:dyDescent="0.25">
      <c r="B80" s="2"/>
      <c r="D80" s="360" t="s">
        <v>50</v>
      </c>
      <c r="E80" s="360"/>
      <c r="F80" s="16" t="s">
        <v>500</v>
      </c>
      <c r="G80" s="16">
        <v>0.89900000000000002</v>
      </c>
      <c r="H80" s="16">
        <v>0.9</v>
      </c>
      <c r="I80" s="16">
        <v>0.94899999999999995</v>
      </c>
      <c r="J80" s="16">
        <v>0.95</v>
      </c>
      <c r="K80" s="16">
        <v>0.999</v>
      </c>
      <c r="L80" s="16" t="s">
        <v>500</v>
      </c>
      <c r="M80" s="16">
        <v>1</v>
      </c>
      <c r="O80" s="2"/>
      <c r="AE80" s="3" t="s">
        <v>50</v>
      </c>
      <c r="AF80" s="3">
        <v>6</v>
      </c>
      <c r="AG80" s="3">
        <f t="shared" si="0"/>
        <v>1</v>
      </c>
      <c r="AH80" s="3">
        <f>+IF(AG80=0,0,IF(AG80=1,(SUM($AG$75:AG80)-1),1))</f>
        <v>3</v>
      </c>
      <c r="AI80" s="3">
        <f t="shared" si="1"/>
        <v>1</v>
      </c>
      <c r="AJ80" s="3">
        <f t="shared" si="2"/>
        <v>0</v>
      </c>
      <c r="AK80" s="3">
        <f t="shared" si="3"/>
        <v>1</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4</v>
      </c>
      <c r="AI81" s="3">
        <f t="shared" si="1"/>
        <v>0</v>
      </c>
      <c r="AJ81" s="3">
        <f t="shared" si="2"/>
        <v>0</v>
      </c>
      <c r="AK81" s="3">
        <f t="shared" si="3"/>
        <v>0</v>
      </c>
    </row>
    <row r="82" spans="2:37" x14ac:dyDescent="0.25">
      <c r="B82" s="2"/>
      <c r="D82" s="360" t="s">
        <v>54</v>
      </c>
      <c r="E82" s="360"/>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60" t="s">
        <v>55</v>
      </c>
      <c r="E83" s="360"/>
      <c r="F83" s="16" t="s">
        <v>500</v>
      </c>
      <c r="G83" s="16">
        <v>0.89900000000000002</v>
      </c>
      <c r="H83" s="16">
        <v>0.9</v>
      </c>
      <c r="I83" s="16">
        <v>0.94899999999999995</v>
      </c>
      <c r="J83" s="16">
        <v>0.95</v>
      </c>
      <c r="K83" s="16">
        <v>0.999</v>
      </c>
      <c r="L83" s="16" t="s">
        <v>500</v>
      </c>
      <c r="M83" s="16">
        <v>1</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60" t="s">
        <v>58</v>
      </c>
      <c r="E86" s="360"/>
      <c r="F86" s="16" t="s">
        <v>500</v>
      </c>
      <c r="G86" s="16">
        <v>0.89900000000000002</v>
      </c>
      <c r="H86" s="16">
        <v>0.9</v>
      </c>
      <c r="I86" s="16">
        <v>0.94899999999999995</v>
      </c>
      <c r="J86" s="16">
        <v>0.95</v>
      </c>
      <c r="K86" s="16">
        <v>0.999</v>
      </c>
      <c r="L86" s="16" t="s">
        <v>500</v>
      </c>
      <c r="M86" s="16">
        <v>1</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66" customHeight="1" x14ac:dyDescent="0.25">
      <c r="B88" s="2"/>
      <c r="D88" s="338" t="s">
        <v>59</v>
      </c>
      <c r="E88" s="339"/>
      <c r="F88" s="340" t="s">
        <v>1178</v>
      </c>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2" customHeight="1" x14ac:dyDescent="0.25">
      <c r="B97" s="2"/>
      <c r="D97" s="359" t="s">
        <v>35</v>
      </c>
      <c r="E97" s="359"/>
      <c r="F97" s="344" t="s">
        <v>1195</v>
      </c>
      <c r="G97" s="344"/>
      <c r="H97" s="344"/>
      <c r="I97" s="344"/>
      <c r="J97" s="344"/>
      <c r="K97" s="344"/>
      <c r="L97" s="344"/>
      <c r="M97" s="344"/>
      <c r="O97" s="2"/>
    </row>
    <row r="98" spans="2:15" ht="42" customHeight="1" x14ac:dyDescent="0.25">
      <c r="B98" s="2"/>
      <c r="D98" s="359" t="s">
        <v>36</v>
      </c>
      <c r="E98" s="359"/>
      <c r="F98" s="344" t="s">
        <v>1196</v>
      </c>
      <c r="G98" s="344"/>
      <c r="H98" s="344"/>
      <c r="I98" s="344"/>
      <c r="J98" s="344"/>
      <c r="K98" s="344"/>
      <c r="L98" s="344"/>
      <c r="M98" s="344"/>
      <c r="O98" s="2"/>
    </row>
    <row r="99" spans="2:15" ht="3.95" customHeight="1" x14ac:dyDescent="0.25">
      <c r="B99" s="2"/>
      <c r="O99" s="2"/>
    </row>
    <row r="100" spans="2:15" ht="101.25" customHeight="1" x14ac:dyDescent="0.25">
      <c r="B100" s="2"/>
      <c r="D100" s="338" t="s">
        <v>62</v>
      </c>
      <c r="E100" s="339"/>
      <c r="F100" s="340" t="s">
        <v>1179</v>
      </c>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1</v>
      </c>
      <c r="K102" s="20"/>
      <c r="O102" s="2"/>
    </row>
    <row r="103" spans="2:15" ht="19.5" customHeight="1" x14ac:dyDescent="0.25">
      <c r="B103" s="2"/>
      <c r="D103" s="331"/>
      <c r="E103" s="332"/>
      <c r="F103" s="19" t="s">
        <v>66</v>
      </c>
      <c r="G103" s="4" t="s">
        <v>1838</v>
      </c>
      <c r="K103" s="21"/>
      <c r="O103" s="2"/>
    </row>
    <row r="104" spans="2:15" ht="27.75" customHeight="1" x14ac:dyDescent="0.25">
      <c r="B104" s="2"/>
      <c r="D104" s="331"/>
      <c r="E104" s="332"/>
      <c r="F104" s="19" t="s">
        <v>67</v>
      </c>
      <c r="G104" s="340" t="s">
        <v>1839</v>
      </c>
      <c r="H104" s="341"/>
      <c r="I104" s="341"/>
      <c r="J104" s="341"/>
      <c r="K104" s="341"/>
      <c r="L104" s="341"/>
      <c r="M104" s="342"/>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40" t="str">
        <f>+VLOOKUP(H10,tablero!$P$5:$R$201,3,FALSE)</f>
        <v>Jefe Oficina Asesora Jurídica</v>
      </c>
      <c r="H108" s="341"/>
      <c r="I108" s="341"/>
      <c r="J108" s="341"/>
      <c r="K108" s="341"/>
      <c r="L108" s="341"/>
      <c r="M108" s="342"/>
      <c r="O108" s="2"/>
    </row>
    <row r="109" spans="2:15" ht="17.25" customHeight="1" x14ac:dyDescent="0.25">
      <c r="B109" s="2"/>
      <c r="D109" s="331"/>
      <c r="E109" s="332"/>
      <c r="F109" s="19" t="s">
        <v>2042</v>
      </c>
      <c r="G109" s="340" t="str">
        <f>+IF(M23="Si","Coordinador(a) Planeación y Sistemas","")</f>
        <v/>
      </c>
      <c r="H109" s="341"/>
      <c r="I109" s="341"/>
      <c r="J109" s="341"/>
      <c r="K109" s="341"/>
      <c r="L109" s="341"/>
      <c r="M109" s="342"/>
      <c r="O109" s="2"/>
    </row>
    <row r="110" spans="2:15" ht="17.25" customHeight="1" x14ac:dyDescent="0.25">
      <c r="B110" s="2"/>
      <c r="D110" s="331"/>
      <c r="E110" s="332"/>
      <c r="F110" s="19" t="s">
        <v>2043</v>
      </c>
      <c r="G110" s="340" t="str">
        <f>+IF(M24="Si","Coordinador(a) Centro Zonal","")</f>
        <v/>
      </c>
      <c r="H110" s="341"/>
      <c r="I110" s="341"/>
      <c r="J110" s="341"/>
      <c r="K110" s="341"/>
      <c r="L110" s="341"/>
      <c r="M110" s="342"/>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118" priority="31">
      <formula>+IF($F$43="no",1,0)</formula>
    </cfRule>
  </conditionalFormatting>
  <conditionalFormatting sqref="F32:M33">
    <cfRule type="expression" dxfId="1117" priority="30">
      <formula>+IF($Q$30="NA",1,0)</formula>
    </cfRule>
  </conditionalFormatting>
  <conditionalFormatting sqref="F33:M33">
    <cfRule type="expression" dxfId="1116" priority="29">
      <formula>+IF($Q$33=0,1,0)</formula>
    </cfRule>
  </conditionalFormatting>
  <conditionalFormatting sqref="F47:M47">
    <cfRule type="expression" dxfId="1115" priority="28">
      <formula>+IF($Q$47=0,1,0)</formula>
    </cfRule>
  </conditionalFormatting>
  <conditionalFormatting sqref="F73:G73">
    <cfRule type="cellIs" dxfId="1114" priority="17" operator="equal">
      <formula>"optimo"</formula>
    </cfRule>
    <cfRule type="cellIs" dxfId="1113" priority="18" operator="equal">
      <formula>"critico"</formula>
    </cfRule>
  </conditionalFormatting>
  <conditionalFormatting sqref="H73:I73">
    <cfRule type="cellIs" dxfId="1112" priority="15" operator="equal">
      <formula>"Adecuado"</formula>
    </cfRule>
    <cfRule type="cellIs" dxfId="1111" priority="16" operator="equal">
      <formula>"en riesgo"</formula>
    </cfRule>
  </conditionalFormatting>
  <conditionalFormatting sqref="J73:K73">
    <cfRule type="cellIs" dxfId="1110" priority="13" operator="equal">
      <formula>"Adecuado"</formula>
    </cfRule>
    <cfRule type="cellIs" dxfId="1109" priority="14" operator="equal">
      <formula>"en riesgo"</formula>
    </cfRule>
  </conditionalFormatting>
  <conditionalFormatting sqref="L73:M73">
    <cfRule type="cellIs" dxfId="1108" priority="11" operator="equal">
      <formula>"optimo"</formula>
    </cfRule>
    <cfRule type="cellIs" dxfId="1107" priority="12" operator="equal">
      <formula>"critico"</formula>
    </cfRule>
  </conditionalFormatting>
  <conditionalFormatting sqref="F75:M86">
    <cfRule type="expression" dxfId="1106" priority="10">
      <formula>+IF($AK75=0,1)</formula>
    </cfRule>
  </conditionalFormatting>
  <conditionalFormatting sqref="F103:G104">
    <cfRule type="expression" dxfId="1105" priority="9">
      <formula>+IF($G$102="No",1,0)</formula>
    </cfRule>
  </conditionalFormatting>
  <conditionalFormatting sqref="F51">
    <cfRule type="expression" dxfId="1104" priority="8">
      <formula>+IF($F$43="no",1,0)</formula>
    </cfRule>
  </conditionalFormatting>
  <conditionalFormatting sqref="I51">
    <cfRule type="expression" dxfId="1103" priority="7">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4">
    <tabColor rgb="FF0070C0"/>
  </sheetPr>
  <dimension ref="B1:AV113"/>
  <sheetViews>
    <sheetView topLeftCell="A49" zoomScale="90" zoomScaleNormal="90" workbookViewId="0">
      <selection activeCell="F108" sqref="F108:M11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366</v>
      </c>
      <c r="O10" s="2"/>
    </row>
    <row r="11" spans="2:24" ht="3.95" customHeight="1" x14ac:dyDescent="0.25">
      <c r="B11" s="2"/>
      <c r="D11" s="6"/>
      <c r="O11" s="2"/>
    </row>
    <row r="12" spans="2:24" ht="36" customHeight="1" x14ac:dyDescent="0.25">
      <c r="B12" s="2"/>
      <c r="D12" s="338" t="s">
        <v>5</v>
      </c>
      <c r="E12" s="339"/>
      <c r="F12" s="340" t="s">
        <v>367</v>
      </c>
      <c r="G12" s="341"/>
      <c r="H12" s="341"/>
      <c r="I12" s="341"/>
      <c r="J12" s="341"/>
      <c r="K12" s="341"/>
      <c r="L12" s="341"/>
      <c r="M12" s="342"/>
      <c r="O12" s="2"/>
      <c r="W12" s="3" t="str">
        <f>+F23</f>
        <v>Semestral</v>
      </c>
      <c r="X12" s="3" t="str">
        <f>+F71</f>
        <v>Junio</v>
      </c>
    </row>
    <row r="13" spans="2:24" ht="3.95" customHeight="1" x14ac:dyDescent="0.25">
      <c r="B13" s="2"/>
      <c r="O13" s="2"/>
    </row>
    <row r="14" spans="2:24" ht="38.25" customHeight="1" x14ac:dyDescent="0.25">
      <c r="B14" s="2"/>
      <c r="D14" s="338" t="s">
        <v>6</v>
      </c>
      <c r="E14" s="339"/>
      <c r="F14" s="340" t="s">
        <v>1214</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17" t="s">
        <v>512</v>
      </c>
      <c r="G22" s="337" t="s">
        <v>9</v>
      </c>
      <c r="H22" s="337"/>
      <c r="I22" s="17">
        <v>0.25</v>
      </c>
      <c r="K22" s="337" t="s">
        <v>10</v>
      </c>
      <c r="L22" s="337"/>
      <c r="M22" s="9" t="s">
        <v>496</v>
      </c>
      <c r="O22" s="2"/>
    </row>
    <row r="23" spans="2:17" ht="19.5" customHeight="1" x14ac:dyDescent="0.25">
      <c r="B23" s="2"/>
      <c r="D23" s="337" t="s">
        <v>11</v>
      </c>
      <c r="E23" s="337"/>
      <c r="F23" s="4" t="s">
        <v>104</v>
      </c>
      <c r="G23" s="337" t="s">
        <v>12</v>
      </c>
      <c r="H23" s="337"/>
      <c r="I23" s="4" t="s">
        <v>497</v>
      </c>
      <c r="K23" s="337" t="s">
        <v>13</v>
      </c>
      <c r="L23" s="337"/>
      <c r="M23" s="9" t="s">
        <v>2</v>
      </c>
      <c r="O23" s="2"/>
    </row>
    <row r="24" spans="2:17" ht="20.100000000000001" customHeight="1" x14ac:dyDescent="0.25">
      <c r="B24" s="2"/>
      <c r="D24" s="337" t="s">
        <v>14</v>
      </c>
      <c r="E24" s="337"/>
      <c r="F24" s="4" t="s">
        <v>498</v>
      </c>
      <c r="G24" s="337" t="s">
        <v>15</v>
      </c>
      <c r="H24" s="337"/>
      <c r="I24" s="4" t="s">
        <v>103</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NA</v>
      </c>
    </row>
    <row r="31" spans="2:17" ht="24" customHeight="1" x14ac:dyDescent="0.25">
      <c r="B31" s="2"/>
      <c r="D31" s="347"/>
      <c r="E31" s="348"/>
      <c r="F31" s="4" t="s">
        <v>363</v>
      </c>
      <c r="G31" s="340" t="s">
        <v>364</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1025</v>
      </c>
      <c r="G33" s="340" t="s">
        <v>1015</v>
      </c>
      <c r="H33" s="341"/>
      <c r="I33" s="341"/>
      <c r="J33" s="341"/>
      <c r="K33" s="341"/>
      <c r="L33" s="341"/>
      <c r="M33" s="342"/>
      <c r="O33" s="2"/>
      <c r="Q33" s="3">
        <f>+IFERROR(IF(VLOOKUP(G33,base!$A$26:$C$40,3,FALSE)=F31,1,0),"")</f>
        <v>0</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1716</v>
      </c>
      <c r="G35" s="340" t="s">
        <v>1592</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501</v>
      </c>
      <c r="G45" s="340" t="s">
        <v>515</v>
      </c>
      <c r="H45" s="341"/>
      <c r="I45" s="341"/>
      <c r="J45" s="341"/>
      <c r="K45" s="341"/>
      <c r="L45" s="341"/>
      <c r="M45" s="342"/>
      <c r="O45" s="2"/>
      <c r="Q45" s="3" t="str">
        <f>+IFERROR(VLOOKUP(G45,base!$A$41:$C$45,3,FALSE),"")</f>
        <v>misional</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503</v>
      </c>
      <c r="G47" s="340" t="s">
        <v>995</v>
      </c>
      <c r="H47" s="341"/>
      <c r="I47" s="341"/>
      <c r="J47" s="341"/>
      <c r="K47" s="341"/>
      <c r="L47" s="341"/>
      <c r="M47" s="342"/>
      <c r="O47" s="2"/>
      <c r="Q47" s="3">
        <f>+IF(VLOOKUP(G47,base!$A$46:$C$66,3,FALSE)=F45,1,0)</f>
        <v>1</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920</v>
      </c>
      <c r="G49" s="340" t="s">
        <v>899</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496</v>
      </c>
      <c r="G51" s="337" t="s">
        <v>32</v>
      </c>
      <c r="H51" s="337"/>
      <c r="I51" s="17">
        <v>1</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37" t="s">
        <v>34</v>
      </c>
      <c r="E59" s="337"/>
      <c r="F59" s="344" t="s">
        <v>1215</v>
      </c>
      <c r="G59" s="344"/>
      <c r="H59" s="344"/>
      <c r="I59" s="344"/>
      <c r="J59" s="344"/>
      <c r="K59" s="344"/>
      <c r="L59" s="344"/>
      <c r="M59" s="344"/>
      <c r="O59" s="2"/>
    </row>
    <row r="60" spans="2:15" ht="66" customHeight="1" x14ac:dyDescent="0.25">
      <c r="B60" s="2"/>
      <c r="D60" s="359" t="s">
        <v>35</v>
      </c>
      <c r="E60" s="359"/>
      <c r="F60" s="344" t="s">
        <v>1216</v>
      </c>
      <c r="G60" s="344"/>
      <c r="H60" s="344"/>
      <c r="I60" s="344"/>
      <c r="J60" s="344"/>
      <c r="K60" s="344"/>
      <c r="L60" s="344"/>
      <c r="M60" s="344"/>
      <c r="O60" s="2"/>
    </row>
    <row r="61" spans="2:15" ht="41.25" customHeight="1" x14ac:dyDescent="0.25">
      <c r="B61" s="2"/>
      <c r="D61" s="359" t="s">
        <v>36</v>
      </c>
      <c r="E61" s="359"/>
      <c r="F61" s="340" t="s">
        <v>1217</v>
      </c>
      <c r="G61" s="341"/>
      <c r="H61" s="341"/>
      <c r="I61" s="341"/>
      <c r="J61" s="341"/>
      <c r="K61" s="341"/>
      <c r="L61" s="341"/>
      <c r="M61" s="342"/>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6</v>
      </c>
    </row>
    <row r="70" spans="2:37" ht="3.95" customHeight="1" x14ac:dyDescent="0.25">
      <c r="B70" s="2"/>
      <c r="D70" s="7"/>
      <c r="E70" s="7"/>
      <c r="O70" s="2"/>
    </row>
    <row r="71" spans="2:37" ht="18.75" customHeight="1" x14ac:dyDescent="0.25">
      <c r="B71" s="2"/>
      <c r="D71" s="343" t="s">
        <v>39</v>
      </c>
      <c r="E71" s="343"/>
      <c r="F71" s="4" t="s">
        <v>50</v>
      </c>
      <c r="G71" s="3">
        <v>6</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60" t="s">
        <v>50</v>
      </c>
      <c r="E80" s="360"/>
      <c r="F80" s="16" t="s">
        <v>500</v>
      </c>
      <c r="G80" s="16">
        <v>0.19900000000000001</v>
      </c>
      <c r="H80" s="16">
        <v>0.2</v>
      </c>
      <c r="I80" s="16">
        <v>0.39900000000000002</v>
      </c>
      <c r="J80" s="16">
        <v>0.4</v>
      </c>
      <c r="K80" s="16">
        <v>0.499</v>
      </c>
      <c r="L80" s="16">
        <v>0.5</v>
      </c>
      <c r="M80" s="16" t="s">
        <v>500</v>
      </c>
      <c r="O80" s="2"/>
      <c r="AE80" s="3" t="s">
        <v>50</v>
      </c>
      <c r="AF80" s="3">
        <v>6</v>
      </c>
      <c r="AG80" s="3">
        <f t="shared" si="0"/>
        <v>1</v>
      </c>
      <c r="AH80" s="3">
        <f>+IF(AG80=0,0,IF(AG80=1,(SUM($AG$75:AG80)-1),1))</f>
        <v>0</v>
      </c>
      <c r="AI80" s="3">
        <f t="shared" si="1"/>
        <v>0</v>
      </c>
      <c r="AJ80" s="3">
        <f t="shared" si="2"/>
        <v>1</v>
      </c>
      <c r="AK80" s="3">
        <f t="shared" si="3"/>
        <v>1</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1</v>
      </c>
      <c r="AI81" s="3">
        <f t="shared" si="1"/>
        <v>0</v>
      </c>
      <c r="AJ81" s="3">
        <f t="shared" si="2"/>
        <v>0</v>
      </c>
      <c r="AK81" s="3">
        <f t="shared" si="3"/>
        <v>0</v>
      </c>
    </row>
    <row r="82" spans="2:37" x14ac:dyDescent="0.25">
      <c r="B82" s="2"/>
      <c r="D82" s="360" t="s">
        <v>54</v>
      </c>
      <c r="E82" s="360"/>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2</v>
      </c>
      <c r="AI82" s="3">
        <f t="shared" si="1"/>
        <v>0</v>
      </c>
      <c r="AJ82" s="3">
        <f t="shared" si="2"/>
        <v>0</v>
      </c>
      <c r="AK82" s="3">
        <f t="shared" si="3"/>
        <v>0</v>
      </c>
    </row>
    <row r="83" spans="2:37" x14ac:dyDescent="0.25">
      <c r="B83" s="2"/>
      <c r="D83" s="360" t="s">
        <v>55</v>
      </c>
      <c r="E83" s="360"/>
      <c r="F83" s="16" t="s">
        <v>500</v>
      </c>
      <c r="G83" s="16" t="s">
        <v>500</v>
      </c>
      <c r="H83" s="16" t="s">
        <v>500</v>
      </c>
      <c r="I83" s="16" t="s">
        <v>500</v>
      </c>
      <c r="J83" s="16" t="s">
        <v>500</v>
      </c>
      <c r="K83" s="16" t="s">
        <v>500</v>
      </c>
      <c r="L83" s="16" t="s">
        <v>500</v>
      </c>
      <c r="M83" s="16" t="s">
        <v>500</v>
      </c>
      <c r="O83" s="2"/>
      <c r="AE83" s="3" t="s">
        <v>55</v>
      </c>
      <c r="AF83" s="3">
        <v>9</v>
      </c>
      <c r="AG83" s="3">
        <f t="shared" si="0"/>
        <v>1</v>
      </c>
      <c r="AH83" s="3">
        <f>+IF(AG83=0,0,IF(AG83=1,(SUM($AG$75:AG83)-1),1))</f>
        <v>3</v>
      </c>
      <c r="AI83" s="3">
        <f t="shared" si="1"/>
        <v>0</v>
      </c>
      <c r="AJ83" s="3">
        <f t="shared" si="2"/>
        <v>0</v>
      </c>
      <c r="AK83" s="3">
        <f t="shared" si="3"/>
        <v>0</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4</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5</v>
      </c>
      <c r="AI85" s="3">
        <f t="shared" si="1"/>
        <v>0</v>
      </c>
      <c r="AJ85" s="3">
        <f t="shared" si="2"/>
        <v>0</v>
      </c>
      <c r="AK85" s="3">
        <f t="shared" si="3"/>
        <v>0</v>
      </c>
    </row>
    <row r="86" spans="2:37" x14ac:dyDescent="0.25">
      <c r="B86" s="2"/>
      <c r="D86" s="360" t="s">
        <v>58</v>
      </c>
      <c r="E86" s="360"/>
      <c r="F86" s="16" t="s">
        <v>500</v>
      </c>
      <c r="G86" s="16">
        <v>0.499</v>
      </c>
      <c r="H86" s="16">
        <v>0.5</v>
      </c>
      <c r="I86" s="16">
        <v>0.79900000000000004</v>
      </c>
      <c r="J86" s="16">
        <v>0.8</v>
      </c>
      <c r="K86" s="16">
        <v>0.999</v>
      </c>
      <c r="L86" s="16" t="s">
        <v>500</v>
      </c>
      <c r="M86" s="16">
        <v>1</v>
      </c>
      <c r="O86" s="2"/>
      <c r="AE86" s="3" t="s">
        <v>58</v>
      </c>
      <c r="AF86" s="65">
        <v>12</v>
      </c>
      <c r="AG86" s="3">
        <f t="shared" si="0"/>
        <v>1</v>
      </c>
      <c r="AH86" s="3">
        <f>+IF(AG86=0,0,IF(AG86=1,(SUM($AG$75:AG86)-1),1))</f>
        <v>6</v>
      </c>
      <c r="AI86" s="3">
        <f t="shared" si="1"/>
        <v>1</v>
      </c>
      <c r="AJ86" s="3">
        <f t="shared" si="2"/>
        <v>0</v>
      </c>
      <c r="AK86" s="3">
        <f t="shared" si="3"/>
        <v>1</v>
      </c>
    </row>
    <row r="87" spans="2:37" ht="3.75" customHeight="1" x14ac:dyDescent="0.25">
      <c r="B87" s="2"/>
      <c r="O87" s="2"/>
    </row>
    <row r="88" spans="2:37" ht="66" customHeight="1" x14ac:dyDescent="0.25">
      <c r="B88" s="2"/>
      <c r="D88" s="338" t="s">
        <v>59</v>
      </c>
      <c r="E88" s="339"/>
      <c r="F88" s="340" t="s">
        <v>1208</v>
      </c>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2" customHeight="1" x14ac:dyDescent="0.25">
      <c r="B97" s="2"/>
      <c r="D97" s="359" t="s">
        <v>35</v>
      </c>
      <c r="E97" s="359"/>
      <c r="F97" s="344" t="s">
        <v>1218</v>
      </c>
      <c r="G97" s="344"/>
      <c r="H97" s="344"/>
      <c r="I97" s="344"/>
      <c r="J97" s="344"/>
      <c r="K97" s="344"/>
      <c r="L97" s="344"/>
      <c r="M97" s="344"/>
      <c r="O97" s="2"/>
    </row>
    <row r="98" spans="2:15" ht="42" customHeight="1" x14ac:dyDescent="0.25">
      <c r="B98" s="2"/>
      <c r="D98" s="359" t="s">
        <v>36</v>
      </c>
      <c r="E98" s="359"/>
      <c r="F98" s="344" t="s">
        <v>1218</v>
      </c>
      <c r="G98" s="344"/>
      <c r="H98" s="344"/>
      <c r="I98" s="344"/>
      <c r="J98" s="344"/>
      <c r="K98" s="344"/>
      <c r="L98" s="344"/>
      <c r="M98" s="344"/>
      <c r="O98" s="2"/>
    </row>
    <row r="99" spans="2:15" ht="3.95" customHeight="1" x14ac:dyDescent="0.25">
      <c r="B99" s="2"/>
      <c r="O99" s="2"/>
    </row>
    <row r="100" spans="2:15" ht="85.5" customHeight="1" x14ac:dyDescent="0.25">
      <c r="B100" s="2"/>
      <c r="D100" s="338" t="s">
        <v>62</v>
      </c>
      <c r="E100" s="339"/>
      <c r="F100" s="340" t="s">
        <v>1209</v>
      </c>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2</v>
      </c>
      <c r="K102" s="20"/>
      <c r="O102" s="2"/>
    </row>
    <row r="103" spans="2:15" ht="19.5" customHeight="1" x14ac:dyDescent="0.25">
      <c r="B103" s="2"/>
      <c r="D103" s="331"/>
      <c r="E103" s="332"/>
      <c r="F103" s="19" t="s">
        <v>66</v>
      </c>
      <c r="G103" s="4"/>
      <c r="K103" s="21"/>
      <c r="O103" s="2"/>
    </row>
    <row r="104" spans="2:15" ht="27.75" customHeight="1" x14ac:dyDescent="0.25">
      <c r="B104" s="2"/>
      <c r="D104" s="331"/>
      <c r="E104" s="332"/>
      <c r="F104" s="19" t="s">
        <v>67</v>
      </c>
      <c r="G104" s="333"/>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Jefe Oficina de Gestión Regional</v>
      </c>
      <c r="H108" s="334"/>
      <c r="I108" s="334"/>
      <c r="J108" s="334"/>
      <c r="K108" s="334"/>
      <c r="L108" s="334"/>
      <c r="M108" s="335"/>
      <c r="O108" s="2"/>
    </row>
    <row r="109" spans="2:15" ht="17.25" customHeight="1" x14ac:dyDescent="0.25">
      <c r="B109" s="2"/>
      <c r="D109" s="331"/>
      <c r="E109" s="332"/>
      <c r="F109" s="19" t="s">
        <v>2042</v>
      </c>
      <c r="G109" s="333" t="str">
        <f>+IF(M23="Si","Coordinador(a) Planeación y Sistemas","")</f>
        <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102" priority="31">
      <formula>+IF($F$43="no",1,0)</formula>
    </cfRule>
  </conditionalFormatting>
  <conditionalFormatting sqref="F32:M33">
    <cfRule type="expression" dxfId="1101" priority="30">
      <formula>+IF($Q$30="NA",1,0)</formula>
    </cfRule>
  </conditionalFormatting>
  <conditionalFormatting sqref="F33:M33">
    <cfRule type="expression" dxfId="1100" priority="29">
      <formula>+IF($Q$33=0,1,0)</formula>
    </cfRule>
  </conditionalFormatting>
  <conditionalFormatting sqref="F47:M47">
    <cfRule type="expression" dxfId="1099" priority="28">
      <formula>+IF($Q$47=0,1,0)</formula>
    </cfRule>
  </conditionalFormatting>
  <conditionalFormatting sqref="F73:G73">
    <cfRule type="cellIs" dxfId="1098" priority="14" operator="equal">
      <formula>"optimo"</formula>
    </cfRule>
    <cfRule type="cellIs" dxfId="1097" priority="15" operator="equal">
      <formula>"critico"</formula>
    </cfRule>
  </conditionalFormatting>
  <conditionalFormatting sqref="H73:I73">
    <cfRule type="cellIs" dxfId="1096" priority="12" operator="equal">
      <formula>"Adecuado"</formula>
    </cfRule>
    <cfRule type="cellIs" dxfId="1095" priority="13" operator="equal">
      <formula>"en riesgo"</formula>
    </cfRule>
  </conditionalFormatting>
  <conditionalFormatting sqref="J73:K73">
    <cfRule type="cellIs" dxfId="1094" priority="10" operator="equal">
      <formula>"Adecuado"</formula>
    </cfRule>
    <cfRule type="cellIs" dxfId="1093" priority="11" operator="equal">
      <formula>"en riesgo"</formula>
    </cfRule>
  </conditionalFormatting>
  <conditionalFormatting sqref="L73:M73">
    <cfRule type="cellIs" dxfId="1092" priority="8" operator="equal">
      <formula>"optimo"</formula>
    </cfRule>
    <cfRule type="cellIs" dxfId="1091" priority="9" operator="equal">
      <formula>"critico"</formula>
    </cfRule>
  </conditionalFormatting>
  <conditionalFormatting sqref="F75:M86">
    <cfRule type="expression" dxfId="1090" priority="7">
      <formula>+IF($AK75=0,1)</formula>
    </cfRule>
  </conditionalFormatting>
  <conditionalFormatting sqref="F103:G104">
    <cfRule type="expression" dxfId="1089" priority="6">
      <formula>+IF($G$102="No",1,0)</formula>
    </cfRule>
  </conditionalFormatting>
  <conditionalFormatting sqref="F51">
    <cfRule type="expression" dxfId="1088" priority="5">
      <formula>+IF($F$43="no",1,0)</formula>
    </cfRule>
  </conditionalFormatting>
  <conditionalFormatting sqref="I51">
    <cfRule type="expression" dxfId="1087"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5">
    <tabColor rgb="FF0070C0"/>
  </sheetPr>
  <dimension ref="B1:AV113"/>
  <sheetViews>
    <sheetView topLeftCell="A52" zoomScale="90" zoomScaleNormal="90" workbookViewId="0">
      <selection activeCell="F108" sqref="F108:M11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368</v>
      </c>
      <c r="O10" s="2"/>
    </row>
    <row r="11" spans="2:24" ht="3.95" customHeight="1" x14ac:dyDescent="0.25">
      <c r="B11" s="2"/>
      <c r="D11" s="6"/>
      <c r="O11" s="2"/>
    </row>
    <row r="12" spans="2:24" ht="36" customHeight="1" x14ac:dyDescent="0.25">
      <c r="B12" s="2"/>
      <c r="D12" s="338" t="s">
        <v>5</v>
      </c>
      <c r="E12" s="339"/>
      <c r="F12" s="340" t="s">
        <v>1219</v>
      </c>
      <c r="G12" s="341"/>
      <c r="H12" s="341"/>
      <c r="I12" s="341"/>
      <c r="J12" s="341"/>
      <c r="K12" s="341"/>
      <c r="L12" s="341"/>
      <c r="M12" s="342"/>
      <c r="O12" s="2"/>
      <c r="W12" s="3" t="str">
        <f>+F23</f>
        <v>Mensual</v>
      </c>
      <c r="X12" s="3" t="str">
        <f>+F71</f>
        <v>Mayo</v>
      </c>
    </row>
    <row r="13" spans="2:24" ht="3.95" customHeight="1" x14ac:dyDescent="0.25">
      <c r="B13" s="2"/>
      <c r="O13" s="2"/>
    </row>
    <row r="14" spans="2:24" ht="38.25" customHeight="1" x14ac:dyDescent="0.25">
      <c r="B14" s="2"/>
      <c r="D14" s="338" t="s">
        <v>6</v>
      </c>
      <c r="E14" s="339"/>
      <c r="F14" s="340" t="s">
        <v>1220</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17">
        <v>0</v>
      </c>
      <c r="G22" s="337" t="s">
        <v>9</v>
      </c>
      <c r="H22" s="337"/>
      <c r="I22" s="17">
        <v>1</v>
      </c>
      <c r="K22" s="337" t="s">
        <v>10</v>
      </c>
      <c r="L22" s="337"/>
      <c r="M22" s="9" t="s">
        <v>496</v>
      </c>
      <c r="O22" s="2"/>
    </row>
    <row r="23" spans="2:17" ht="19.5" customHeight="1" x14ac:dyDescent="0.25">
      <c r="B23" s="2"/>
      <c r="D23" s="337" t="s">
        <v>11</v>
      </c>
      <c r="E23" s="337"/>
      <c r="F23" s="4" t="s">
        <v>84</v>
      </c>
      <c r="G23" s="337" t="s">
        <v>12</v>
      </c>
      <c r="H23" s="337"/>
      <c r="I23" s="4" t="s">
        <v>497</v>
      </c>
      <c r="K23" s="337" t="s">
        <v>13</v>
      </c>
      <c r="L23" s="337"/>
      <c r="M23" s="9" t="s">
        <v>2</v>
      </c>
      <c r="O23" s="2"/>
    </row>
    <row r="24" spans="2:17" ht="20.100000000000001" customHeight="1" x14ac:dyDescent="0.25">
      <c r="B24" s="2"/>
      <c r="D24" s="337" t="s">
        <v>14</v>
      </c>
      <c r="E24" s="337"/>
      <c r="F24" s="4" t="s">
        <v>498</v>
      </c>
      <c r="G24" s="337" t="s">
        <v>15</v>
      </c>
      <c r="H24" s="337"/>
      <c r="I24" s="4" t="s">
        <v>103</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NA</v>
      </c>
    </row>
    <row r="31" spans="2:17" ht="24" customHeight="1" x14ac:dyDescent="0.25">
      <c r="B31" s="2"/>
      <c r="D31" s="347"/>
      <c r="E31" s="348"/>
      <c r="F31" s="4" t="s">
        <v>363</v>
      </c>
      <c r="G31" s="340" t="s">
        <v>364</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1025</v>
      </c>
      <c r="G33" s="340" t="s">
        <v>1015</v>
      </c>
      <c r="H33" s="341"/>
      <c r="I33" s="341"/>
      <c r="J33" s="341"/>
      <c r="K33" s="341"/>
      <c r="L33" s="341"/>
      <c r="M33" s="342"/>
      <c r="O33" s="2"/>
      <c r="Q33" s="3">
        <f>+IFERROR(IF(VLOOKUP(G33,base!$A$26:$C$40,3,FALSE)=F31,1,0),"")</f>
        <v>0</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1716</v>
      </c>
      <c r="G35" s="340" t="s">
        <v>1592</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501</v>
      </c>
      <c r="G45" s="340" t="s">
        <v>515</v>
      </c>
      <c r="H45" s="341"/>
      <c r="I45" s="341"/>
      <c r="J45" s="341"/>
      <c r="K45" s="341"/>
      <c r="L45" s="341"/>
      <c r="M45" s="342"/>
      <c r="O45" s="2"/>
      <c r="Q45" s="3" t="str">
        <f>+IFERROR(VLOOKUP(G45,base!$A$41:$C$45,3,FALSE),"")</f>
        <v>misional</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503</v>
      </c>
      <c r="G47" s="340" t="s">
        <v>995</v>
      </c>
      <c r="H47" s="341"/>
      <c r="I47" s="341"/>
      <c r="J47" s="341"/>
      <c r="K47" s="341"/>
      <c r="L47" s="341"/>
      <c r="M47" s="342"/>
      <c r="O47" s="2"/>
      <c r="Q47" s="3">
        <f>+IF(VLOOKUP(G47,base!$A$46:$C$66,3,FALSE)=F45,1,0)</f>
        <v>1</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920</v>
      </c>
      <c r="G49" s="340" t="s">
        <v>899</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17"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37" t="s">
        <v>34</v>
      </c>
      <c r="E59" s="337"/>
      <c r="F59" s="344" t="s">
        <v>1221</v>
      </c>
      <c r="G59" s="344"/>
      <c r="H59" s="344"/>
      <c r="I59" s="344"/>
      <c r="J59" s="344"/>
      <c r="K59" s="344"/>
      <c r="L59" s="344"/>
      <c r="M59" s="344"/>
      <c r="O59" s="2"/>
    </row>
    <row r="60" spans="2:15" ht="66" customHeight="1" x14ac:dyDescent="0.25">
      <c r="B60" s="2"/>
      <c r="D60" s="359" t="s">
        <v>35</v>
      </c>
      <c r="E60" s="359"/>
      <c r="F60" s="344" t="s">
        <v>1222</v>
      </c>
      <c r="G60" s="344"/>
      <c r="H60" s="344"/>
      <c r="I60" s="344"/>
      <c r="J60" s="344"/>
      <c r="K60" s="344"/>
      <c r="L60" s="344"/>
      <c r="M60" s="344"/>
      <c r="O60" s="2"/>
    </row>
    <row r="61" spans="2:15" ht="41.25" customHeight="1" x14ac:dyDescent="0.25">
      <c r="B61" s="2"/>
      <c r="D61" s="359" t="s">
        <v>36</v>
      </c>
      <c r="E61" s="359"/>
      <c r="F61" s="340" t="s">
        <v>1223</v>
      </c>
      <c r="G61" s="341"/>
      <c r="H61" s="341"/>
      <c r="I61" s="341"/>
      <c r="J61" s="341"/>
      <c r="K61" s="341"/>
      <c r="L61" s="341"/>
      <c r="M61" s="342"/>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43" t="s">
        <v>39</v>
      </c>
      <c r="E71" s="343"/>
      <c r="F71" s="4" t="s">
        <v>49</v>
      </c>
      <c r="G71" s="3">
        <v>5</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60" t="s">
        <v>49</v>
      </c>
      <c r="E79" s="360"/>
      <c r="F79" s="16" t="s">
        <v>500</v>
      </c>
      <c r="G79" s="16">
        <v>4.9000000000000002E-2</v>
      </c>
      <c r="H79" s="16">
        <v>0.05</v>
      </c>
      <c r="I79" s="16">
        <v>0.14899999999999999</v>
      </c>
      <c r="J79" s="16">
        <v>0.15</v>
      </c>
      <c r="K79" s="16">
        <v>0.29899999999999999</v>
      </c>
      <c r="L79" s="16">
        <v>0.3</v>
      </c>
      <c r="M79" s="16" t="s">
        <v>500</v>
      </c>
      <c r="O79" s="2"/>
      <c r="AE79" s="3" t="s">
        <v>49</v>
      </c>
      <c r="AF79" s="3">
        <v>5</v>
      </c>
      <c r="AG79" s="3">
        <f t="shared" si="0"/>
        <v>1</v>
      </c>
      <c r="AH79" s="3">
        <f>+IF(AG79=0,0,IF(AG79=1,(SUM($AG$75:AG79)-1),1))</f>
        <v>0</v>
      </c>
      <c r="AI79" s="3">
        <f t="shared" si="1"/>
        <v>0</v>
      </c>
      <c r="AJ79" s="3">
        <f t="shared" si="2"/>
        <v>1</v>
      </c>
      <c r="AK79" s="3">
        <f t="shared" si="3"/>
        <v>1</v>
      </c>
    </row>
    <row r="80" spans="2:37" x14ac:dyDescent="0.25">
      <c r="B80" s="2"/>
      <c r="D80" s="360" t="s">
        <v>50</v>
      </c>
      <c r="E80" s="360"/>
      <c r="F80" s="16" t="s">
        <v>500</v>
      </c>
      <c r="G80" s="16">
        <v>9.9000000000000005E-2</v>
      </c>
      <c r="H80" s="16">
        <v>0.1</v>
      </c>
      <c r="I80" s="16">
        <v>0.19900000000000001</v>
      </c>
      <c r="J80" s="16">
        <v>0.2</v>
      </c>
      <c r="K80" s="16">
        <v>0.39900000000000002</v>
      </c>
      <c r="L80" s="16">
        <v>0.4</v>
      </c>
      <c r="M80" s="16" t="s">
        <v>500</v>
      </c>
      <c r="O80" s="2"/>
      <c r="AE80" s="3" t="s">
        <v>50</v>
      </c>
      <c r="AF80" s="3">
        <v>6</v>
      </c>
      <c r="AG80" s="3">
        <f t="shared" si="0"/>
        <v>1</v>
      </c>
      <c r="AH80" s="3">
        <f>+IF(AG80=0,0,IF(AG80=1,(SUM($AG$75:AG80)-1),1))</f>
        <v>1</v>
      </c>
      <c r="AI80" s="3">
        <f t="shared" si="1"/>
        <v>1</v>
      </c>
      <c r="AJ80" s="3">
        <f t="shared" si="2"/>
        <v>0</v>
      </c>
      <c r="AK80" s="3">
        <f t="shared" si="3"/>
        <v>1</v>
      </c>
    </row>
    <row r="81" spans="2:37" x14ac:dyDescent="0.25">
      <c r="B81" s="2"/>
      <c r="D81" s="360" t="s">
        <v>53</v>
      </c>
      <c r="E81" s="360"/>
      <c r="F81" s="16" t="s">
        <v>500</v>
      </c>
      <c r="G81" s="16">
        <v>0.14899999999999999</v>
      </c>
      <c r="H81" s="16">
        <v>0.15</v>
      </c>
      <c r="I81" s="16">
        <v>0.29899999999999999</v>
      </c>
      <c r="J81" s="16">
        <v>0.3</v>
      </c>
      <c r="K81" s="16">
        <v>0.499</v>
      </c>
      <c r="L81" s="16">
        <v>0.5</v>
      </c>
      <c r="M81" s="16" t="s">
        <v>500</v>
      </c>
      <c r="O81" s="2"/>
      <c r="AE81" s="3" t="s">
        <v>53</v>
      </c>
      <c r="AF81" s="3">
        <v>7</v>
      </c>
      <c r="AG81" s="3">
        <f t="shared" si="0"/>
        <v>1</v>
      </c>
      <c r="AH81" s="3">
        <f>+IF(AG81=0,0,IF(AG81=1,(SUM($AG$75:AG81)-1),1))</f>
        <v>2</v>
      </c>
      <c r="AI81" s="3">
        <f t="shared" si="1"/>
        <v>1</v>
      </c>
      <c r="AJ81" s="3">
        <f t="shared" si="2"/>
        <v>0</v>
      </c>
      <c r="AK81" s="3">
        <f t="shared" si="3"/>
        <v>1</v>
      </c>
    </row>
    <row r="82" spans="2:37" x14ac:dyDescent="0.25">
      <c r="B82" s="2"/>
      <c r="D82" s="360" t="s">
        <v>54</v>
      </c>
      <c r="E82" s="360"/>
      <c r="F82" s="16" t="s">
        <v>500</v>
      </c>
      <c r="G82" s="16">
        <v>0.19900000000000001</v>
      </c>
      <c r="H82" s="16">
        <v>0.2</v>
      </c>
      <c r="I82" s="16">
        <v>0.39900000000000002</v>
      </c>
      <c r="J82" s="16">
        <v>0.4</v>
      </c>
      <c r="K82" s="16">
        <v>0.59899999999999998</v>
      </c>
      <c r="L82" s="16">
        <v>0.6</v>
      </c>
      <c r="M82" s="16" t="s">
        <v>500</v>
      </c>
      <c r="O82" s="2"/>
      <c r="AE82" s="3" t="s">
        <v>54</v>
      </c>
      <c r="AF82" s="3">
        <v>8</v>
      </c>
      <c r="AG82" s="3">
        <f t="shared" si="0"/>
        <v>1</v>
      </c>
      <c r="AH82" s="3">
        <f>+IF(AG82=0,0,IF(AG82=1,(SUM($AG$75:AG82)-1),1))</f>
        <v>3</v>
      </c>
      <c r="AI82" s="3">
        <f t="shared" si="1"/>
        <v>1</v>
      </c>
      <c r="AJ82" s="3">
        <f t="shared" si="2"/>
        <v>0</v>
      </c>
      <c r="AK82" s="3">
        <f t="shared" si="3"/>
        <v>1</v>
      </c>
    </row>
    <row r="83" spans="2:37" x14ac:dyDescent="0.25">
      <c r="B83" s="2"/>
      <c r="D83" s="360" t="s">
        <v>55</v>
      </c>
      <c r="E83" s="360"/>
      <c r="F83" s="16" t="s">
        <v>500</v>
      </c>
      <c r="G83" s="16">
        <v>0.249</v>
      </c>
      <c r="H83" s="16">
        <v>0.25</v>
      </c>
      <c r="I83" s="16">
        <v>0.499</v>
      </c>
      <c r="J83" s="16">
        <v>0.5</v>
      </c>
      <c r="K83" s="16">
        <v>0.69899999999999995</v>
      </c>
      <c r="L83" s="16">
        <v>0.7</v>
      </c>
      <c r="M83" s="16" t="s">
        <v>500</v>
      </c>
      <c r="O83" s="2"/>
      <c r="AE83" s="3" t="s">
        <v>55</v>
      </c>
      <c r="AF83" s="3">
        <v>9</v>
      </c>
      <c r="AG83" s="3">
        <f t="shared" si="0"/>
        <v>1</v>
      </c>
      <c r="AH83" s="3">
        <f>+IF(AG83=0,0,IF(AG83=1,(SUM($AG$75:AG83)-1),1))</f>
        <v>4</v>
      </c>
      <c r="AI83" s="3">
        <f t="shared" si="1"/>
        <v>1</v>
      </c>
      <c r="AJ83" s="3">
        <f t="shared" si="2"/>
        <v>0</v>
      </c>
      <c r="AK83" s="3">
        <f t="shared" si="3"/>
        <v>1</v>
      </c>
    </row>
    <row r="84" spans="2:37" x14ac:dyDescent="0.25">
      <c r="B84" s="2"/>
      <c r="D84" s="360" t="s">
        <v>56</v>
      </c>
      <c r="E84" s="360"/>
      <c r="F84" s="16" t="s">
        <v>500</v>
      </c>
      <c r="G84" s="16">
        <v>0.29899999999999999</v>
      </c>
      <c r="H84" s="16">
        <v>0.3</v>
      </c>
      <c r="I84" s="16">
        <v>0.59899999999999998</v>
      </c>
      <c r="J84" s="16">
        <v>0.6</v>
      </c>
      <c r="K84" s="16">
        <v>0.79900000000000004</v>
      </c>
      <c r="L84" s="16">
        <v>0.8</v>
      </c>
      <c r="M84" s="16" t="s">
        <v>500</v>
      </c>
      <c r="O84" s="2"/>
      <c r="AE84" s="3" t="s">
        <v>56</v>
      </c>
      <c r="AF84" s="3">
        <v>10</v>
      </c>
      <c r="AG84" s="3">
        <f t="shared" si="0"/>
        <v>1</v>
      </c>
      <c r="AH84" s="3">
        <f>+IF(AG84=0,0,IF(AG84=1,(SUM($AG$75:AG84)-1),1))</f>
        <v>5</v>
      </c>
      <c r="AI84" s="3">
        <f t="shared" si="1"/>
        <v>1</v>
      </c>
      <c r="AJ84" s="3">
        <f t="shared" si="2"/>
        <v>0</v>
      </c>
      <c r="AK84" s="3">
        <f t="shared" si="3"/>
        <v>1</v>
      </c>
    </row>
    <row r="85" spans="2:37" x14ac:dyDescent="0.25">
      <c r="B85" s="2"/>
      <c r="D85" s="360" t="s">
        <v>57</v>
      </c>
      <c r="E85" s="360"/>
      <c r="F85" s="16" t="s">
        <v>500</v>
      </c>
      <c r="G85" s="16">
        <v>0.34899999999999998</v>
      </c>
      <c r="H85" s="16">
        <v>0.35</v>
      </c>
      <c r="I85" s="16">
        <v>0.69899999999999995</v>
      </c>
      <c r="J85" s="16">
        <v>0.7</v>
      </c>
      <c r="K85" s="16">
        <v>0.89900000000000002</v>
      </c>
      <c r="L85" s="16">
        <v>0.9</v>
      </c>
      <c r="M85" s="16" t="s">
        <v>500</v>
      </c>
      <c r="O85" s="2"/>
      <c r="AE85" s="3" t="s">
        <v>57</v>
      </c>
      <c r="AF85" s="3">
        <v>11</v>
      </c>
      <c r="AG85" s="3">
        <f t="shared" si="0"/>
        <v>1</v>
      </c>
      <c r="AH85" s="3">
        <f>+IF(AG85=0,0,IF(AG85=1,(SUM($AG$75:AG85)-1),1))</f>
        <v>6</v>
      </c>
      <c r="AI85" s="3">
        <f t="shared" si="1"/>
        <v>1</v>
      </c>
      <c r="AJ85" s="3">
        <f t="shared" si="2"/>
        <v>0</v>
      </c>
      <c r="AK85" s="3">
        <f t="shared" si="3"/>
        <v>1</v>
      </c>
    </row>
    <row r="86" spans="2:37" x14ac:dyDescent="0.25">
      <c r="B86" s="2"/>
      <c r="D86" s="360" t="s">
        <v>58</v>
      </c>
      <c r="E86" s="360"/>
      <c r="F86" s="16" t="s">
        <v>500</v>
      </c>
      <c r="G86" s="16">
        <v>0.39900000000000002</v>
      </c>
      <c r="H86" s="16">
        <v>0.4</v>
      </c>
      <c r="I86" s="16">
        <v>0.79900000000000004</v>
      </c>
      <c r="J86" s="16">
        <v>0.8</v>
      </c>
      <c r="K86" s="16">
        <v>0.999</v>
      </c>
      <c r="L86" s="16" t="s">
        <v>500</v>
      </c>
      <c r="M86" s="16">
        <v>1</v>
      </c>
      <c r="O86" s="2"/>
      <c r="AE86" s="3" t="s">
        <v>58</v>
      </c>
      <c r="AF86" s="65">
        <v>12</v>
      </c>
      <c r="AG86" s="3">
        <f t="shared" si="0"/>
        <v>1</v>
      </c>
      <c r="AH86" s="3">
        <f>+IF(AG86=0,0,IF(AG86=1,(SUM($AG$75:AG86)-1),1))</f>
        <v>7</v>
      </c>
      <c r="AI86" s="3">
        <f t="shared" si="1"/>
        <v>1</v>
      </c>
      <c r="AJ86" s="3">
        <f t="shared" si="2"/>
        <v>0</v>
      </c>
      <c r="AK86" s="3">
        <f t="shared" si="3"/>
        <v>1</v>
      </c>
    </row>
    <row r="87" spans="2:37" ht="3.75" customHeight="1" x14ac:dyDescent="0.25">
      <c r="B87" s="2"/>
      <c r="O87" s="2"/>
    </row>
    <row r="88" spans="2:37" ht="66" customHeight="1" x14ac:dyDescent="0.25">
      <c r="B88" s="2"/>
      <c r="D88" s="338" t="s">
        <v>59</v>
      </c>
      <c r="E88" s="339"/>
      <c r="F88" s="340" t="s">
        <v>1210</v>
      </c>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2" customHeight="1" x14ac:dyDescent="0.25">
      <c r="B97" s="2"/>
      <c r="D97" s="359" t="s">
        <v>35</v>
      </c>
      <c r="E97" s="359"/>
      <c r="F97" s="344" t="s">
        <v>1224</v>
      </c>
      <c r="G97" s="344"/>
      <c r="H97" s="344"/>
      <c r="I97" s="344"/>
      <c r="J97" s="344"/>
      <c r="K97" s="344"/>
      <c r="L97" s="344"/>
      <c r="M97" s="344"/>
      <c r="O97" s="2"/>
    </row>
    <row r="98" spans="2:15" ht="42" customHeight="1" x14ac:dyDescent="0.25">
      <c r="B98" s="2"/>
      <c r="D98" s="359" t="s">
        <v>36</v>
      </c>
      <c r="E98" s="359"/>
      <c r="F98" s="344" t="s">
        <v>1224</v>
      </c>
      <c r="G98" s="344"/>
      <c r="H98" s="344"/>
      <c r="I98" s="344"/>
      <c r="J98" s="344"/>
      <c r="K98" s="344"/>
      <c r="L98" s="344"/>
      <c r="M98" s="344"/>
      <c r="O98" s="2"/>
    </row>
    <row r="99" spans="2:15" ht="3.95" customHeight="1" x14ac:dyDescent="0.25">
      <c r="B99" s="2"/>
      <c r="O99" s="2"/>
    </row>
    <row r="100" spans="2:15" ht="58.5" customHeight="1" x14ac:dyDescent="0.25">
      <c r="B100" s="2"/>
      <c r="D100" s="338" t="s">
        <v>62</v>
      </c>
      <c r="E100" s="339"/>
      <c r="F100" s="425" t="s">
        <v>1211</v>
      </c>
      <c r="G100" s="426"/>
      <c r="H100" s="426"/>
      <c r="I100" s="426"/>
      <c r="J100" s="426"/>
      <c r="K100" s="426"/>
      <c r="L100" s="426"/>
      <c r="M100" s="427"/>
      <c r="O100" s="2"/>
    </row>
    <row r="101" spans="2:15" ht="3.95" customHeight="1" x14ac:dyDescent="0.25">
      <c r="B101" s="2"/>
      <c r="O101" s="2"/>
    </row>
    <row r="102" spans="2:15" ht="19.5" customHeight="1" x14ac:dyDescent="0.25">
      <c r="B102" s="2"/>
      <c r="D102" s="329" t="s">
        <v>64</v>
      </c>
      <c r="E102" s="330"/>
      <c r="F102" s="19" t="s">
        <v>65</v>
      </c>
      <c r="G102" s="4" t="s">
        <v>1</v>
      </c>
      <c r="K102" s="20"/>
      <c r="O102" s="2"/>
    </row>
    <row r="103" spans="2:15" ht="19.5" customHeight="1" x14ac:dyDescent="0.25">
      <c r="B103" s="2"/>
      <c r="D103" s="331"/>
      <c r="E103" s="332"/>
      <c r="F103" s="19" t="s">
        <v>66</v>
      </c>
      <c r="G103" s="4" t="s">
        <v>1212</v>
      </c>
      <c r="K103" s="21"/>
      <c r="O103" s="2"/>
    </row>
    <row r="104" spans="2:15" ht="27.75" customHeight="1" x14ac:dyDescent="0.25">
      <c r="B104" s="2"/>
      <c r="D104" s="331"/>
      <c r="E104" s="332"/>
      <c r="F104" s="19" t="s">
        <v>67</v>
      </c>
      <c r="G104" s="333" t="s">
        <v>1213</v>
      </c>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Jefe Oficina de Gestión Regional</v>
      </c>
      <c r="H108" s="334"/>
      <c r="I108" s="334"/>
      <c r="J108" s="334"/>
      <c r="K108" s="334"/>
      <c r="L108" s="334"/>
      <c r="M108" s="335"/>
      <c r="O108" s="2"/>
    </row>
    <row r="109" spans="2:15" ht="17.25" customHeight="1" x14ac:dyDescent="0.25">
      <c r="B109" s="2"/>
      <c r="D109" s="331"/>
      <c r="E109" s="332"/>
      <c r="F109" s="19" t="s">
        <v>2042</v>
      </c>
      <c r="G109" s="333" t="str">
        <f>+IF(M23="Si","Coordinador(a) Planeación y Sistemas","")</f>
        <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086" priority="31">
      <formula>+IF($F$43="no",1,0)</formula>
    </cfRule>
  </conditionalFormatting>
  <conditionalFormatting sqref="F32:M33">
    <cfRule type="expression" dxfId="1085" priority="30">
      <formula>+IF($Q$30="NA",1,0)</formula>
    </cfRule>
  </conditionalFormatting>
  <conditionalFormatting sqref="F33:M33">
    <cfRule type="expression" dxfId="1084" priority="29">
      <formula>+IF($Q$33=0,1,0)</formula>
    </cfRule>
  </conditionalFormatting>
  <conditionalFormatting sqref="F47:M47">
    <cfRule type="expression" dxfId="1083" priority="28">
      <formula>+IF($Q$47=0,1,0)</formula>
    </cfRule>
  </conditionalFormatting>
  <conditionalFormatting sqref="F73:G73">
    <cfRule type="cellIs" dxfId="1082" priority="14" operator="equal">
      <formula>"optimo"</formula>
    </cfRule>
    <cfRule type="cellIs" dxfId="1081" priority="15" operator="equal">
      <formula>"critico"</formula>
    </cfRule>
  </conditionalFormatting>
  <conditionalFormatting sqref="H73:I73">
    <cfRule type="cellIs" dxfId="1080" priority="12" operator="equal">
      <formula>"Adecuado"</formula>
    </cfRule>
    <cfRule type="cellIs" dxfId="1079" priority="13" operator="equal">
      <formula>"en riesgo"</formula>
    </cfRule>
  </conditionalFormatting>
  <conditionalFormatting sqref="J73:K73">
    <cfRule type="cellIs" dxfId="1078" priority="10" operator="equal">
      <formula>"Adecuado"</formula>
    </cfRule>
    <cfRule type="cellIs" dxfId="1077" priority="11" operator="equal">
      <formula>"en riesgo"</formula>
    </cfRule>
  </conditionalFormatting>
  <conditionalFormatting sqref="L73:M73">
    <cfRule type="cellIs" dxfId="1076" priority="8" operator="equal">
      <formula>"optimo"</formula>
    </cfRule>
    <cfRule type="cellIs" dxfId="1075" priority="9" operator="equal">
      <formula>"critico"</formula>
    </cfRule>
  </conditionalFormatting>
  <conditionalFormatting sqref="F75:M86">
    <cfRule type="expression" dxfId="1074" priority="7">
      <formula>+IF($AK75=0,1)</formula>
    </cfRule>
  </conditionalFormatting>
  <conditionalFormatting sqref="F103:G104">
    <cfRule type="expression" dxfId="1073" priority="6">
      <formula>+IF($G$102="No",1,0)</formula>
    </cfRule>
  </conditionalFormatting>
  <conditionalFormatting sqref="F51">
    <cfRule type="expression" dxfId="1072" priority="5">
      <formula>+IF($F$43="no",1,0)</formula>
    </cfRule>
  </conditionalFormatting>
  <conditionalFormatting sqref="I51">
    <cfRule type="expression" dxfId="1071"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6">
    <tabColor rgb="FF0070C0"/>
  </sheetPr>
  <dimension ref="B1:AV113"/>
  <sheetViews>
    <sheetView topLeftCell="A52" zoomScale="90" zoomScaleNormal="90" workbookViewId="0">
      <selection activeCell="G80" sqref="G8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373</v>
      </c>
      <c r="O10" s="2"/>
    </row>
    <row r="11" spans="2:24" ht="3.95" customHeight="1" x14ac:dyDescent="0.25">
      <c r="B11" s="2"/>
      <c r="D11" s="6"/>
      <c r="O11" s="2"/>
    </row>
    <row r="12" spans="2:24" ht="36" customHeight="1" x14ac:dyDescent="0.25">
      <c r="B12" s="2"/>
      <c r="D12" s="338" t="s">
        <v>5</v>
      </c>
      <c r="E12" s="339"/>
      <c r="F12" s="340" t="s">
        <v>1576</v>
      </c>
      <c r="G12" s="341"/>
      <c r="H12" s="341"/>
      <c r="I12" s="341"/>
      <c r="J12" s="341"/>
      <c r="K12" s="341"/>
      <c r="L12" s="341"/>
      <c r="M12" s="342"/>
      <c r="O12" s="2"/>
      <c r="W12" s="3" t="str">
        <f>+F23</f>
        <v>Trimestral</v>
      </c>
      <c r="X12" s="3" t="str">
        <f>+F71</f>
        <v>Junio</v>
      </c>
    </row>
    <row r="13" spans="2:24" ht="3.95" customHeight="1" x14ac:dyDescent="0.25">
      <c r="B13" s="2"/>
      <c r="O13" s="2"/>
    </row>
    <row r="14" spans="2:24" ht="38.25" customHeight="1" x14ac:dyDescent="0.25">
      <c r="B14" s="2"/>
      <c r="D14" s="338" t="s">
        <v>6</v>
      </c>
      <c r="E14" s="339"/>
      <c r="F14" s="340" t="s">
        <v>1577</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17" t="s">
        <v>512</v>
      </c>
      <c r="G22" s="337" t="s">
        <v>9</v>
      </c>
      <c r="H22" s="337"/>
      <c r="I22" s="29">
        <v>10</v>
      </c>
      <c r="K22" s="337" t="s">
        <v>10</v>
      </c>
      <c r="L22" s="337"/>
      <c r="M22" s="9" t="s">
        <v>496</v>
      </c>
      <c r="O22" s="2"/>
    </row>
    <row r="23" spans="2:17" ht="19.5" customHeight="1" x14ac:dyDescent="0.25">
      <c r="B23" s="2"/>
      <c r="D23" s="337" t="s">
        <v>11</v>
      </c>
      <c r="E23" s="337"/>
      <c r="F23" s="4" t="s">
        <v>71</v>
      </c>
      <c r="G23" s="337" t="s">
        <v>12</v>
      </c>
      <c r="H23" s="337"/>
      <c r="I23" s="4" t="s">
        <v>647</v>
      </c>
      <c r="K23" s="337" t="s">
        <v>13</v>
      </c>
      <c r="L23" s="337"/>
      <c r="M23" s="9" t="s">
        <v>2</v>
      </c>
      <c r="O23" s="2"/>
    </row>
    <row r="24" spans="2:17" ht="20.100000000000001" customHeight="1" x14ac:dyDescent="0.25">
      <c r="B24" s="2"/>
      <c r="D24" s="337" t="s">
        <v>14</v>
      </c>
      <c r="E24" s="337"/>
      <c r="F24" s="4" t="s">
        <v>498</v>
      </c>
      <c r="G24" s="337" t="s">
        <v>15</v>
      </c>
      <c r="H24" s="337"/>
      <c r="I24" s="4" t="s">
        <v>533</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NA</v>
      </c>
    </row>
    <row r="31" spans="2:17" ht="24" customHeight="1" x14ac:dyDescent="0.25">
      <c r="B31" s="2"/>
      <c r="D31" s="347"/>
      <c r="E31" s="348"/>
      <c r="F31" s="4" t="s">
        <v>370</v>
      </c>
      <c r="G31" s="340" t="s">
        <v>371</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1025</v>
      </c>
      <c r="G33" s="340"/>
      <c r="H33" s="341"/>
      <c r="I33" s="341"/>
      <c r="J33" s="341"/>
      <c r="K33" s="341"/>
      <c r="L33" s="341"/>
      <c r="M33" s="342"/>
      <c r="O33" s="2"/>
      <c r="Q33" s="3" t="str">
        <f>+IFERROR(IF(VLOOKUP(G33,base!$A$26:$C$40,3,FALSE)=F31,1,0),"")</f>
        <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1716</v>
      </c>
      <c r="G35" s="340" t="s">
        <v>1592</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501</v>
      </c>
      <c r="G45" s="340" t="s">
        <v>515</v>
      </c>
      <c r="H45" s="341"/>
      <c r="I45" s="341"/>
      <c r="J45" s="341"/>
      <c r="K45" s="341"/>
      <c r="L45" s="341"/>
      <c r="M45" s="342"/>
      <c r="O45" s="2"/>
      <c r="Q45" s="3" t="str">
        <f>+IFERROR(VLOOKUP(G45,base!$A$41:$C$45,3,FALSE),"")</f>
        <v>misional</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503</v>
      </c>
      <c r="G47" s="340" t="s">
        <v>995</v>
      </c>
      <c r="H47" s="341"/>
      <c r="I47" s="341"/>
      <c r="J47" s="341"/>
      <c r="K47" s="341"/>
      <c r="L47" s="341"/>
      <c r="M47" s="342"/>
      <c r="O47" s="2"/>
      <c r="Q47" s="3">
        <f>+IF(VLOOKUP(G47,base!$A$46:$C$66,3,FALSE)=F45,1,0)</f>
        <v>1</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920</v>
      </c>
      <c r="G49" s="340" t="s">
        <v>899</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496</v>
      </c>
      <c r="G51" s="337" t="s">
        <v>32</v>
      </c>
      <c r="H51" s="337"/>
      <c r="I51" s="29">
        <v>32</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37" t="s">
        <v>34</v>
      </c>
      <c r="E59" s="337"/>
      <c r="F59" s="344" t="s">
        <v>1573</v>
      </c>
      <c r="G59" s="344"/>
      <c r="H59" s="344"/>
      <c r="I59" s="344"/>
      <c r="J59" s="344"/>
      <c r="K59" s="344"/>
      <c r="L59" s="344"/>
      <c r="M59" s="344"/>
      <c r="O59" s="2"/>
    </row>
    <row r="60" spans="2:15" ht="41.25" customHeight="1" x14ac:dyDescent="0.25">
      <c r="B60" s="2"/>
      <c r="D60" s="359" t="s">
        <v>35</v>
      </c>
      <c r="E60" s="359"/>
      <c r="F60" s="344" t="s">
        <v>1578</v>
      </c>
      <c r="G60" s="344"/>
      <c r="H60" s="344"/>
      <c r="I60" s="344"/>
      <c r="J60" s="344"/>
      <c r="K60" s="344"/>
      <c r="L60" s="344"/>
      <c r="M60" s="344"/>
      <c r="O60" s="2"/>
    </row>
    <row r="61" spans="2:15" ht="41.25" customHeight="1" x14ac:dyDescent="0.25">
      <c r="B61" s="2"/>
      <c r="D61" s="359" t="s">
        <v>36</v>
      </c>
      <c r="E61" s="359"/>
      <c r="F61" s="340" t="s">
        <v>1579</v>
      </c>
      <c r="G61" s="341"/>
      <c r="H61" s="341"/>
      <c r="I61" s="341"/>
      <c r="J61" s="341"/>
      <c r="K61" s="341"/>
      <c r="L61" s="341"/>
      <c r="M61" s="342"/>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43" t="s">
        <v>39</v>
      </c>
      <c r="E71" s="343"/>
      <c r="F71" s="4" t="s">
        <v>50</v>
      </c>
      <c r="G71" s="3">
        <v>3</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v>0.19900000000000001</v>
      </c>
      <c r="H77" s="16"/>
      <c r="I77" s="16"/>
      <c r="J77" s="16"/>
      <c r="K77" s="16"/>
      <c r="L77" s="16">
        <v>0.2</v>
      </c>
      <c r="M77" s="16" t="s">
        <v>500</v>
      </c>
      <c r="O77" s="2"/>
      <c r="AE77" s="3" t="s">
        <v>47</v>
      </c>
      <c r="AF77" s="3">
        <v>3</v>
      </c>
      <c r="AG77" s="3">
        <f t="shared" si="0"/>
        <v>1</v>
      </c>
      <c r="AH77" s="3">
        <f>+IF(AG77=0,0,IF(AG77=1,(SUM($AG$75:AG77)-1),1))</f>
        <v>0</v>
      </c>
      <c r="AI77" s="3">
        <f t="shared" si="1"/>
        <v>0</v>
      </c>
      <c r="AJ77" s="3">
        <f t="shared" si="2"/>
        <v>0</v>
      </c>
      <c r="AK77" s="3">
        <f t="shared" si="3"/>
        <v>0</v>
      </c>
    </row>
    <row r="78" spans="2:37" x14ac:dyDescent="0.25">
      <c r="B78" s="2"/>
      <c r="D78" s="360" t="s">
        <v>48</v>
      </c>
      <c r="E78" s="360"/>
      <c r="F78" s="16" t="s">
        <v>500</v>
      </c>
      <c r="G78" s="16"/>
      <c r="H78" s="16"/>
      <c r="I78" s="16"/>
      <c r="J78" s="16"/>
      <c r="K78" s="16"/>
      <c r="L78" s="16"/>
      <c r="M78" s="16"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2</v>
      </c>
      <c r="AI79" s="3">
        <f t="shared" si="1"/>
        <v>0</v>
      </c>
      <c r="AJ79" s="3">
        <f t="shared" si="2"/>
        <v>0</v>
      </c>
      <c r="AK79" s="3">
        <f t="shared" si="3"/>
        <v>0</v>
      </c>
    </row>
    <row r="80" spans="2:37" x14ac:dyDescent="0.25">
      <c r="B80" s="2"/>
      <c r="D80" s="360" t="s">
        <v>50</v>
      </c>
      <c r="E80" s="360"/>
      <c r="F80" s="16" t="s">
        <v>500</v>
      </c>
      <c r="G80" s="16">
        <v>0.29899999999999999</v>
      </c>
      <c r="H80" s="16">
        <v>0.3</v>
      </c>
      <c r="I80" s="16">
        <v>0.39900000000000002</v>
      </c>
      <c r="J80" s="16">
        <v>0.4</v>
      </c>
      <c r="K80" s="16">
        <v>0.499</v>
      </c>
      <c r="L80" s="16">
        <v>0.5</v>
      </c>
      <c r="M80" s="16" t="s">
        <v>500</v>
      </c>
      <c r="O80" s="2"/>
      <c r="AE80" s="3" t="s">
        <v>50</v>
      </c>
      <c r="AF80" s="3">
        <v>6</v>
      </c>
      <c r="AG80" s="3">
        <f t="shared" si="0"/>
        <v>1</v>
      </c>
      <c r="AH80" s="3">
        <f>+IF(AG80=0,0,IF(AG80=1,(SUM($AG$75:AG80)-1),1))</f>
        <v>3</v>
      </c>
      <c r="AI80" s="3">
        <f t="shared" si="1"/>
        <v>1</v>
      </c>
      <c r="AJ80" s="3">
        <f t="shared" si="2"/>
        <v>1</v>
      </c>
      <c r="AK80" s="3">
        <f t="shared" si="3"/>
        <v>1</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4</v>
      </c>
      <c r="AI81" s="3">
        <f t="shared" si="1"/>
        <v>0</v>
      </c>
      <c r="AJ81" s="3">
        <f t="shared" si="2"/>
        <v>0</v>
      </c>
      <c r="AK81" s="3">
        <f t="shared" si="3"/>
        <v>0</v>
      </c>
    </row>
    <row r="82" spans="2:37" x14ac:dyDescent="0.25">
      <c r="B82" s="2"/>
      <c r="D82" s="360" t="s">
        <v>54</v>
      </c>
      <c r="E82" s="360"/>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60" t="s">
        <v>55</v>
      </c>
      <c r="E83" s="360"/>
      <c r="F83" s="16" t="s">
        <v>500</v>
      </c>
      <c r="G83" s="16">
        <v>0.499</v>
      </c>
      <c r="H83" s="16">
        <v>0.5</v>
      </c>
      <c r="I83" s="16">
        <v>0.59899999999999998</v>
      </c>
      <c r="J83" s="16">
        <v>0.6</v>
      </c>
      <c r="K83" s="16">
        <v>0.69899999999999995</v>
      </c>
      <c r="L83" s="16">
        <v>0.7</v>
      </c>
      <c r="M83" s="16" t="s">
        <v>500</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60" t="s">
        <v>58</v>
      </c>
      <c r="E86" s="360"/>
      <c r="F86" s="16" t="s">
        <v>500</v>
      </c>
      <c r="G86" s="16">
        <v>0.79900000000000004</v>
      </c>
      <c r="H86" s="16">
        <v>0.8</v>
      </c>
      <c r="I86" s="16">
        <v>0.89900000000000002</v>
      </c>
      <c r="J86" s="16">
        <v>0.9</v>
      </c>
      <c r="K86" s="16">
        <v>0.999</v>
      </c>
      <c r="L86" s="16" t="s">
        <v>500</v>
      </c>
      <c r="M86" s="16">
        <v>1</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66" customHeight="1" x14ac:dyDescent="0.25">
      <c r="B88" s="2"/>
      <c r="D88" s="338" t="s">
        <v>59</v>
      </c>
      <c r="E88" s="339"/>
      <c r="F88" s="340"/>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2" customHeight="1" x14ac:dyDescent="0.25">
      <c r="B97" s="2"/>
      <c r="D97" s="359" t="s">
        <v>35</v>
      </c>
      <c r="E97" s="359"/>
      <c r="F97" s="344" t="s">
        <v>1574</v>
      </c>
      <c r="G97" s="344"/>
      <c r="H97" s="344"/>
      <c r="I97" s="344"/>
      <c r="J97" s="344"/>
      <c r="K97" s="344"/>
      <c r="L97" s="344"/>
      <c r="M97" s="344"/>
      <c r="O97" s="2"/>
    </row>
    <row r="98" spans="2:15" ht="42" customHeight="1" x14ac:dyDescent="0.25">
      <c r="B98" s="2"/>
      <c r="D98" s="359" t="s">
        <v>36</v>
      </c>
      <c r="E98" s="359"/>
      <c r="F98" s="344" t="s">
        <v>1575</v>
      </c>
      <c r="G98" s="344"/>
      <c r="H98" s="344"/>
      <c r="I98" s="344"/>
      <c r="J98" s="344"/>
      <c r="K98" s="344"/>
      <c r="L98" s="344"/>
      <c r="M98" s="344"/>
      <c r="O98" s="2"/>
    </row>
    <row r="99" spans="2:15" ht="3.95" customHeight="1" x14ac:dyDescent="0.25">
      <c r="B99" s="2"/>
      <c r="O99" s="2"/>
    </row>
    <row r="100" spans="2:15" ht="58.5" customHeight="1" x14ac:dyDescent="0.25">
      <c r="B100" s="2"/>
      <c r="D100" s="338" t="s">
        <v>62</v>
      </c>
      <c r="E100" s="339"/>
      <c r="F100" s="333"/>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2</v>
      </c>
      <c r="K102" s="20"/>
      <c r="O102" s="2"/>
    </row>
    <row r="103" spans="2:15" ht="19.5" customHeight="1" x14ac:dyDescent="0.25">
      <c r="B103" s="2"/>
      <c r="D103" s="331"/>
      <c r="E103" s="332"/>
      <c r="F103" s="19" t="s">
        <v>66</v>
      </c>
      <c r="G103" s="4"/>
      <c r="K103" s="21"/>
      <c r="O103" s="2"/>
    </row>
    <row r="104" spans="2:15" ht="27.75" customHeight="1" x14ac:dyDescent="0.25">
      <c r="B104" s="2"/>
      <c r="D104" s="331"/>
      <c r="E104" s="332"/>
      <c r="F104" s="19" t="s">
        <v>67</v>
      </c>
      <c r="G104" s="333"/>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 xml:space="preserve">Jefe Oficina de Cooperación y Convenios </v>
      </c>
      <c r="H108" s="334"/>
      <c r="I108" s="334"/>
      <c r="J108" s="334"/>
      <c r="K108" s="334"/>
      <c r="L108" s="334"/>
      <c r="M108" s="335"/>
      <c r="O108" s="2"/>
    </row>
    <row r="109" spans="2:15" ht="17.25" customHeight="1" x14ac:dyDescent="0.25">
      <c r="B109" s="2"/>
      <c r="D109" s="331"/>
      <c r="E109" s="332"/>
      <c r="F109" s="19" t="s">
        <v>2042</v>
      </c>
      <c r="G109" s="333" t="str">
        <f>+IF(M23="Si","Coordinador(a) Planeación y Sistemas","")</f>
        <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070" priority="31">
      <formula>+IF($F$43="no",1,0)</formula>
    </cfRule>
  </conditionalFormatting>
  <conditionalFormatting sqref="F32:M33">
    <cfRule type="expression" dxfId="1069" priority="30">
      <formula>+IF($Q$30="NA",1,0)</formula>
    </cfRule>
  </conditionalFormatting>
  <conditionalFormatting sqref="F33:M33">
    <cfRule type="expression" dxfId="1068" priority="29">
      <formula>+IF($Q$33=0,1,0)</formula>
    </cfRule>
  </conditionalFormatting>
  <conditionalFormatting sqref="F47:M47">
    <cfRule type="expression" dxfId="1067" priority="28">
      <formula>+IF($Q$47=0,1,0)</formula>
    </cfRule>
  </conditionalFormatting>
  <conditionalFormatting sqref="F73:G73">
    <cfRule type="cellIs" dxfId="1066" priority="14" operator="equal">
      <formula>"optimo"</formula>
    </cfRule>
    <cfRule type="cellIs" dxfId="1065" priority="15" operator="equal">
      <formula>"critico"</formula>
    </cfRule>
  </conditionalFormatting>
  <conditionalFormatting sqref="H73:I73">
    <cfRule type="cellIs" dxfId="1064" priority="12" operator="equal">
      <formula>"Adecuado"</formula>
    </cfRule>
    <cfRule type="cellIs" dxfId="1063" priority="13" operator="equal">
      <formula>"en riesgo"</formula>
    </cfRule>
  </conditionalFormatting>
  <conditionalFormatting sqref="J73:K73">
    <cfRule type="cellIs" dxfId="1062" priority="10" operator="equal">
      <formula>"Adecuado"</formula>
    </cfRule>
    <cfRule type="cellIs" dxfId="1061" priority="11" operator="equal">
      <formula>"en riesgo"</formula>
    </cfRule>
  </conditionalFormatting>
  <conditionalFormatting sqref="L73:M73">
    <cfRule type="cellIs" dxfId="1060" priority="8" operator="equal">
      <formula>"optimo"</formula>
    </cfRule>
    <cfRule type="cellIs" dxfId="1059" priority="9" operator="equal">
      <formula>"critico"</formula>
    </cfRule>
  </conditionalFormatting>
  <conditionalFormatting sqref="F75:M86">
    <cfRule type="expression" dxfId="1058" priority="7">
      <formula>+IF($AK75=0,1)</formula>
    </cfRule>
  </conditionalFormatting>
  <conditionalFormatting sqref="F103:G104">
    <cfRule type="expression" dxfId="1057" priority="6">
      <formula>+IF($G$102="No",1,0)</formula>
    </cfRule>
  </conditionalFormatting>
  <conditionalFormatting sqref="F51">
    <cfRule type="expression" dxfId="1056" priority="5">
      <formula>+IF($F$43="no",1,0)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7">
    <tabColor rgb="FF0070C0"/>
  </sheetPr>
  <dimension ref="B1:AV113"/>
  <sheetViews>
    <sheetView topLeftCell="A52" zoomScale="90" zoomScaleNormal="90" workbookViewId="0">
      <selection activeCell="A86" sqref="A86:XFD86"/>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374</v>
      </c>
      <c r="O10" s="2"/>
    </row>
    <row r="11" spans="2:24" ht="3.95" customHeight="1" x14ac:dyDescent="0.25">
      <c r="B11" s="2"/>
      <c r="D11" s="6"/>
      <c r="O11" s="2"/>
    </row>
    <row r="12" spans="2:24" ht="36" customHeight="1" x14ac:dyDescent="0.25">
      <c r="B12" s="2"/>
      <c r="D12" s="338" t="s">
        <v>5</v>
      </c>
      <c r="E12" s="339"/>
      <c r="F12" s="340" t="s">
        <v>1237</v>
      </c>
      <c r="G12" s="341"/>
      <c r="H12" s="341"/>
      <c r="I12" s="341"/>
      <c r="J12" s="341"/>
      <c r="K12" s="341"/>
      <c r="L12" s="341"/>
      <c r="M12" s="342"/>
      <c r="O12" s="2"/>
      <c r="W12" s="3" t="str">
        <f>+F23</f>
        <v>Trimestral</v>
      </c>
      <c r="X12" s="3" t="str">
        <f>+F71</f>
        <v>Marzo</v>
      </c>
    </row>
    <row r="13" spans="2:24" ht="3.95" customHeight="1" x14ac:dyDescent="0.25">
      <c r="B13" s="2"/>
      <c r="O13" s="2"/>
    </row>
    <row r="14" spans="2:24" ht="38.25" customHeight="1" x14ac:dyDescent="0.25">
      <c r="B14" s="2"/>
      <c r="D14" s="338" t="s">
        <v>6</v>
      </c>
      <c r="E14" s="339"/>
      <c r="F14" s="340" t="s">
        <v>1238</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31">
        <v>210</v>
      </c>
      <c r="G22" s="337" t="s">
        <v>9</v>
      </c>
      <c r="H22" s="337"/>
      <c r="I22" s="29">
        <v>50</v>
      </c>
      <c r="K22" s="337" t="s">
        <v>10</v>
      </c>
      <c r="L22" s="337"/>
      <c r="M22" s="9" t="s">
        <v>496</v>
      </c>
      <c r="O22" s="2"/>
    </row>
    <row r="23" spans="2:17" ht="19.5" customHeight="1" x14ac:dyDescent="0.25">
      <c r="B23" s="2"/>
      <c r="D23" s="337" t="s">
        <v>11</v>
      </c>
      <c r="E23" s="337"/>
      <c r="F23" s="4" t="s">
        <v>71</v>
      </c>
      <c r="G23" s="337" t="s">
        <v>12</v>
      </c>
      <c r="H23" s="337"/>
      <c r="I23" s="4" t="s">
        <v>647</v>
      </c>
      <c r="K23" s="337" t="s">
        <v>13</v>
      </c>
      <c r="L23" s="337"/>
      <c r="M23" s="9" t="s">
        <v>2</v>
      </c>
      <c r="O23" s="2"/>
    </row>
    <row r="24" spans="2:17" ht="20.100000000000001" customHeight="1" x14ac:dyDescent="0.25">
      <c r="B24" s="2"/>
      <c r="D24" s="337" t="s">
        <v>14</v>
      </c>
      <c r="E24" s="337"/>
      <c r="F24" s="4" t="s">
        <v>498</v>
      </c>
      <c r="G24" s="337" t="s">
        <v>15</v>
      </c>
      <c r="H24" s="337"/>
      <c r="I24" s="4" t="s">
        <v>533</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NA</v>
      </c>
    </row>
    <row r="31" spans="2:17" ht="24" customHeight="1" x14ac:dyDescent="0.25">
      <c r="B31" s="2"/>
      <c r="D31" s="347"/>
      <c r="E31" s="348"/>
      <c r="F31" s="4" t="s">
        <v>370</v>
      </c>
      <c r="G31" s="340" t="s">
        <v>371</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1025</v>
      </c>
      <c r="G33" s="340"/>
      <c r="H33" s="341"/>
      <c r="I33" s="341"/>
      <c r="J33" s="341"/>
      <c r="K33" s="341"/>
      <c r="L33" s="341"/>
      <c r="M33" s="342"/>
      <c r="O33" s="2"/>
      <c r="Q33" s="3" t="str">
        <f>+IFERROR(IF(VLOOKUP(G33,base!$A$26:$C$40,3,FALSE)=F31,1,0),"")</f>
        <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1716</v>
      </c>
      <c r="G35" s="340" t="s">
        <v>1592</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501</v>
      </c>
      <c r="G45" s="340" t="s">
        <v>515</v>
      </c>
      <c r="H45" s="341"/>
      <c r="I45" s="341"/>
      <c r="J45" s="341"/>
      <c r="K45" s="341"/>
      <c r="L45" s="341"/>
      <c r="M45" s="342"/>
      <c r="O45" s="2"/>
      <c r="Q45" s="3" t="str">
        <f>+IFERROR(VLOOKUP(G45,base!$A$41:$C$45,3,FALSE),"")</f>
        <v>misional</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503</v>
      </c>
      <c r="G47" s="340" t="s">
        <v>995</v>
      </c>
      <c r="H47" s="341"/>
      <c r="I47" s="341"/>
      <c r="J47" s="341"/>
      <c r="K47" s="341"/>
      <c r="L47" s="341"/>
      <c r="M47" s="342"/>
      <c r="O47" s="2"/>
      <c r="Q47" s="3">
        <f>+IF(VLOOKUP(G47,base!$A$46:$C$66,3,FALSE)=F45,1,0)</f>
        <v>1</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920</v>
      </c>
      <c r="G49" s="340" t="s">
        <v>899</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496</v>
      </c>
      <c r="G51" s="337" t="s">
        <v>32</v>
      </c>
      <c r="H51" s="337"/>
      <c r="I51" s="31">
        <v>210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37" t="s">
        <v>34</v>
      </c>
      <c r="E59" s="337"/>
      <c r="F59" s="344" t="s">
        <v>1239</v>
      </c>
      <c r="G59" s="344"/>
      <c r="H59" s="344"/>
      <c r="I59" s="344"/>
      <c r="J59" s="344"/>
      <c r="K59" s="344"/>
      <c r="L59" s="344"/>
      <c r="M59" s="344"/>
      <c r="O59" s="2"/>
    </row>
    <row r="60" spans="2:15" ht="66" customHeight="1" x14ac:dyDescent="0.25">
      <c r="B60" s="2"/>
      <c r="D60" s="359" t="s">
        <v>35</v>
      </c>
      <c r="E60" s="359"/>
      <c r="F60" s="344" t="s">
        <v>1240</v>
      </c>
      <c r="G60" s="344"/>
      <c r="H60" s="344"/>
      <c r="I60" s="344"/>
      <c r="J60" s="344"/>
      <c r="K60" s="344"/>
      <c r="L60" s="344"/>
      <c r="M60" s="344"/>
      <c r="O60" s="2"/>
    </row>
    <row r="61" spans="2:15" ht="41.25" customHeight="1" x14ac:dyDescent="0.25">
      <c r="B61" s="2"/>
      <c r="D61" s="359" t="s">
        <v>36</v>
      </c>
      <c r="E61" s="359"/>
      <c r="F61" s="340" t="s">
        <v>1241</v>
      </c>
      <c r="G61" s="341"/>
      <c r="H61" s="341"/>
      <c r="I61" s="341"/>
      <c r="J61" s="341"/>
      <c r="K61" s="341"/>
      <c r="L61" s="341"/>
      <c r="M61" s="342"/>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43" t="s">
        <v>39</v>
      </c>
      <c r="E71" s="343"/>
      <c r="F71" s="4" t="s">
        <v>47</v>
      </c>
      <c r="G71" s="3">
        <v>3</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v>7.9000000000000001E-2</v>
      </c>
      <c r="H77" s="16">
        <v>0.08</v>
      </c>
      <c r="I77" s="16">
        <v>0.159</v>
      </c>
      <c r="J77" s="16">
        <v>0.16</v>
      </c>
      <c r="K77" s="16">
        <v>0.19900000000000001</v>
      </c>
      <c r="L77" s="16">
        <v>0.2</v>
      </c>
      <c r="M77" s="16" t="s">
        <v>500</v>
      </c>
      <c r="O77" s="2"/>
      <c r="AE77" s="3" t="s">
        <v>47</v>
      </c>
      <c r="AF77" s="3">
        <v>3</v>
      </c>
      <c r="AG77" s="3">
        <f t="shared" si="0"/>
        <v>1</v>
      </c>
      <c r="AH77" s="3">
        <f>+IF(AG77=0,0,IF(AG77=1,(SUM($AG$75:AG77)-1),1))</f>
        <v>0</v>
      </c>
      <c r="AI77" s="3">
        <f t="shared" si="1"/>
        <v>0</v>
      </c>
      <c r="AJ77" s="3">
        <f t="shared" si="2"/>
        <v>1</v>
      </c>
      <c r="AK77" s="3">
        <f t="shared" si="3"/>
        <v>1</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2</v>
      </c>
      <c r="AI79" s="3">
        <f t="shared" si="1"/>
        <v>0</v>
      </c>
      <c r="AJ79" s="3">
        <f t="shared" si="2"/>
        <v>0</v>
      </c>
      <c r="AK79" s="3">
        <f t="shared" si="3"/>
        <v>0</v>
      </c>
    </row>
    <row r="80" spans="2:37" x14ac:dyDescent="0.25">
      <c r="B80" s="2"/>
      <c r="D80" s="360" t="s">
        <v>50</v>
      </c>
      <c r="E80" s="360"/>
      <c r="F80" s="16" t="s">
        <v>500</v>
      </c>
      <c r="G80" s="16">
        <v>0.219</v>
      </c>
      <c r="H80" s="16">
        <v>0.22</v>
      </c>
      <c r="I80" s="16">
        <v>0.29899999999999999</v>
      </c>
      <c r="J80" s="16">
        <v>0.3</v>
      </c>
      <c r="K80" s="16">
        <v>0.39900000000000002</v>
      </c>
      <c r="L80" s="16">
        <v>0.4</v>
      </c>
      <c r="M80" s="16" t="s">
        <v>500</v>
      </c>
      <c r="O80" s="2"/>
      <c r="AE80" s="3" t="s">
        <v>50</v>
      </c>
      <c r="AF80" s="3">
        <v>6</v>
      </c>
      <c r="AG80" s="3">
        <f t="shared" si="0"/>
        <v>1</v>
      </c>
      <c r="AH80" s="3">
        <f>+IF(AG80=0,0,IF(AG80=1,(SUM($AG$75:AG80)-1),1))</f>
        <v>3</v>
      </c>
      <c r="AI80" s="3">
        <f t="shared" si="1"/>
        <v>1</v>
      </c>
      <c r="AJ80" s="3">
        <f t="shared" si="2"/>
        <v>0</v>
      </c>
      <c r="AK80" s="3">
        <f t="shared" si="3"/>
        <v>1</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4</v>
      </c>
      <c r="AI81" s="3">
        <f t="shared" si="1"/>
        <v>0</v>
      </c>
      <c r="AJ81" s="3">
        <f t="shared" si="2"/>
        <v>0</v>
      </c>
      <c r="AK81" s="3">
        <f t="shared" si="3"/>
        <v>0</v>
      </c>
    </row>
    <row r="82" spans="2:37" x14ac:dyDescent="0.25">
      <c r="B82" s="2"/>
      <c r="D82" s="360" t="s">
        <v>54</v>
      </c>
      <c r="E82" s="360"/>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60" t="s">
        <v>55</v>
      </c>
      <c r="E83" s="360"/>
      <c r="F83" s="16" t="s">
        <v>500</v>
      </c>
      <c r="G83" s="16">
        <v>0.41899999999999998</v>
      </c>
      <c r="H83" s="16">
        <v>0.42</v>
      </c>
      <c r="I83" s="16">
        <v>0.499</v>
      </c>
      <c r="J83" s="16">
        <v>0.5</v>
      </c>
      <c r="K83" s="16">
        <v>0.59899999999999998</v>
      </c>
      <c r="L83" s="16">
        <v>0.6</v>
      </c>
      <c r="M83" s="16" t="s">
        <v>500</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60" t="s">
        <v>58</v>
      </c>
      <c r="E86" s="360"/>
      <c r="F86" s="16" t="s">
        <v>500</v>
      </c>
      <c r="G86" s="16">
        <v>0.61899999999999999</v>
      </c>
      <c r="H86" s="16">
        <v>0.62</v>
      </c>
      <c r="I86" s="16">
        <v>0.81899999999999995</v>
      </c>
      <c r="J86" s="16">
        <v>0.82</v>
      </c>
      <c r="K86" s="16">
        <v>0.999</v>
      </c>
      <c r="L86" s="16" t="s">
        <v>500</v>
      </c>
      <c r="M86" s="16">
        <v>1</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66" customHeight="1" x14ac:dyDescent="0.25">
      <c r="B88" s="2"/>
      <c r="D88" s="338" t="s">
        <v>59</v>
      </c>
      <c r="E88" s="339"/>
      <c r="F88" s="340" t="s">
        <v>1225</v>
      </c>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2" customHeight="1" x14ac:dyDescent="0.25">
      <c r="B97" s="2"/>
      <c r="D97" s="359" t="s">
        <v>35</v>
      </c>
      <c r="E97" s="359"/>
      <c r="F97" s="344" t="s">
        <v>1233</v>
      </c>
      <c r="G97" s="344"/>
      <c r="H97" s="344"/>
      <c r="I97" s="344"/>
      <c r="J97" s="344"/>
      <c r="K97" s="344"/>
      <c r="L97" s="344"/>
      <c r="M97" s="344"/>
      <c r="O97" s="2"/>
    </row>
    <row r="98" spans="2:15" ht="42" customHeight="1" x14ac:dyDescent="0.25">
      <c r="B98" s="2"/>
      <c r="D98" s="359" t="s">
        <v>36</v>
      </c>
      <c r="E98" s="359"/>
      <c r="F98" s="344" t="s">
        <v>1565</v>
      </c>
      <c r="G98" s="344"/>
      <c r="H98" s="344"/>
      <c r="I98" s="344"/>
      <c r="J98" s="344"/>
      <c r="K98" s="344"/>
      <c r="L98" s="344"/>
      <c r="M98" s="344"/>
      <c r="O98" s="2"/>
    </row>
    <row r="99" spans="2:15" ht="3.95" customHeight="1" x14ac:dyDescent="0.25">
      <c r="B99" s="2"/>
      <c r="O99" s="2"/>
    </row>
    <row r="100" spans="2:15" ht="408.75" customHeight="1" x14ac:dyDescent="0.25">
      <c r="B100" s="2"/>
      <c r="D100" s="338" t="s">
        <v>62</v>
      </c>
      <c r="E100" s="339"/>
      <c r="F100" s="340" t="s">
        <v>1226</v>
      </c>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2</v>
      </c>
      <c r="K102" s="20"/>
      <c r="O102" s="2"/>
    </row>
    <row r="103" spans="2:15" ht="19.5" customHeight="1" x14ac:dyDescent="0.25">
      <c r="B103" s="2"/>
      <c r="D103" s="331"/>
      <c r="E103" s="332"/>
      <c r="F103" s="19" t="s">
        <v>66</v>
      </c>
      <c r="G103" s="4"/>
      <c r="K103" s="21"/>
      <c r="O103" s="2"/>
    </row>
    <row r="104" spans="2:15" ht="27.75" customHeight="1" x14ac:dyDescent="0.25">
      <c r="B104" s="2"/>
      <c r="D104" s="331"/>
      <c r="E104" s="332"/>
      <c r="F104" s="19" t="s">
        <v>67</v>
      </c>
      <c r="G104" s="333"/>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 xml:space="preserve">Jefe Oficina de Cooperación y Convenios </v>
      </c>
      <c r="H108" s="334"/>
      <c r="I108" s="334"/>
      <c r="J108" s="334"/>
      <c r="K108" s="334"/>
      <c r="L108" s="334"/>
      <c r="M108" s="335"/>
      <c r="O108" s="2"/>
    </row>
    <row r="109" spans="2:15" ht="17.25" customHeight="1" x14ac:dyDescent="0.25">
      <c r="B109" s="2"/>
      <c r="D109" s="331"/>
      <c r="E109" s="332"/>
      <c r="F109" s="19" t="s">
        <v>2042</v>
      </c>
      <c r="G109" s="333" t="str">
        <f>+IF(M23="Si","Coordinador(a) Planeación y Sistemas","")</f>
        <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055" priority="31">
      <formula>+IF($F$43="no",1,0)</formula>
    </cfRule>
  </conditionalFormatting>
  <conditionalFormatting sqref="F32:M33">
    <cfRule type="expression" dxfId="1054" priority="30">
      <formula>+IF($Q$30="NA",1,0)</formula>
    </cfRule>
  </conditionalFormatting>
  <conditionalFormatting sqref="F33:M33">
    <cfRule type="expression" dxfId="1053" priority="29">
      <formula>+IF($Q$33=0,1,0)</formula>
    </cfRule>
  </conditionalFormatting>
  <conditionalFormatting sqref="F47:M47">
    <cfRule type="expression" dxfId="1052" priority="28">
      <formula>+IF($Q$47=0,1,0)</formula>
    </cfRule>
  </conditionalFormatting>
  <conditionalFormatting sqref="F73:G73">
    <cfRule type="cellIs" dxfId="1051" priority="14" operator="equal">
      <formula>"optimo"</formula>
    </cfRule>
    <cfRule type="cellIs" dxfId="1050" priority="15" operator="equal">
      <formula>"critico"</formula>
    </cfRule>
  </conditionalFormatting>
  <conditionalFormatting sqref="H73:I73">
    <cfRule type="cellIs" dxfId="1049" priority="12" operator="equal">
      <formula>"Adecuado"</formula>
    </cfRule>
    <cfRule type="cellIs" dxfId="1048" priority="13" operator="equal">
      <formula>"en riesgo"</formula>
    </cfRule>
  </conditionalFormatting>
  <conditionalFormatting sqref="J73:K73">
    <cfRule type="cellIs" dxfId="1047" priority="10" operator="equal">
      <formula>"Adecuado"</formula>
    </cfRule>
    <cfRule type="cellIs" dxfId="1046" priority="11" operator="equal">
      <formula>"en riesgo"</formula>
    </cfRule>
  </conditionalFormatting>
  <conditionalFormatting sqref="L73:M73">
    <cfRule type="cellIs" dxfId="1045" priority="8" operator="equal">
      <formula>"optimo"</formula>
    </cfRule>
    <cfRule type="cellIs" dxfId="1044" priority="9" operator="equal">
      <formula>"critico"</formula>
    </cfRule>
  </conditionalFormatting>
  <conditionalFormatting sqref="F75:M86">
    <cfRule type="expression" dxfId="1043" priority="7">
      <formula>+IF($AK75=0,1)</formula>
    </cfRule>
  </conditionalFormatting>
  <conditionalFormatting sqref="F103:G104">
    <cfRule type="expression" dxfId="1042" priority="6">
      <formula>+IF($G$102="No",1,0)</formula>
    </cfRule>
  </conditionalFormatting>
  <conditionalFormatting sqref="F51">
    <cfRule type="expression" dxfId="1041" priority="5">
      <formula>+IF($F$43="no",1,0)</formula>
    </cfRule>
  </conditionalFormatting>
  <conditionalFormatting sqref="I51">
    <cfRule type="expression" dxfId="1040"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tabColor rgb="FF0070C0"/>
  </sheetPr>
  <dimension ref="B1:AV113"/>
  <sheetViews>
    <sheetView topLeftCell="A61" zoomScaleNormal="100" workbookViewId="0">
      <selection activeCell="J86" sqref="J86:K86"/>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125</v>
      </c>
      <c r="O10" s="2"/>
    </row>
    <row r="11" spans="2:24" ht="3.95" customHeight="1" x14ac:dyDescent="0.25">
      <c r="B11" s="2"/>
      <c r="D11" s="6"/>
      <c r="O11" s="2"/>
    </row>
    <row r="12" spans="2:24" ht="36" customHeight="1" x14ac:dyDescent="0.25">
      <c r="B12" s="2"/>
      <c r="D12" s="338" t="s">
        <v>5</v>
      </c>
      <c r="E12" s="339"/>
      <c r="F12" s="340" t="s">
        <v>126</v>
      </c>
      <c r="G12" s="341"/>
      <c r="H12" s="341"/>
      <c r="I12" s="341"/>
      <c r="J12" s="341"/>
      <c r="K12" s="341"/>
      <c r="L12" s="341"/>
      <c r="M12" s="342"/>
      <c r="O12" s="2"/>
      <c r="W12" s="3" t="str">
        <f>+F23</f>
        <v>Mensual</v>
      </c>
      <c r="X12" s="3" t="str">
        <f>+F71</f>
        <v>Mayo</v>
      </c>
    </row>
    <row r="13" spans="2:24" ht="3.95" customHeight="1" x14ac:dyDescent="0.25">
      <c r="B13" s="2"/>
      <c r="O13" s="2"/>
    </row>
    <row r="14" spans="2:24" ht="36" customHeight="1" x14ac:dyDescent="0.25">
      <c r="B14" s="2"/>
      <c r="D14" s="338" t="s">
        <v>6</v>
      </c>
      <c r="E14" s="339"/>
      <c r="F14" s="340" t="s">
        <v>617</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8" t="s">
        <v>512</v>
      </c>
      <c r="G22" s="337" t="s">
        <v>9</v>
      </c>
      <c r="H22" s="337"/>
      <c r="I22" s="8">
        <v>54000</v>
      </c>
      <c r="K22" s="337" t="s">
        <v>10</v>
      </c>
      <c r="L22" s="337"/>
      <c r="M22" s="9" t="s">
        <v>496</v>
      </c>
      <c r="O22" s="2"/>
    </row>
    <row r="23" spans="2:17" ht="19.5" customHeight="1" x14ac:dyDescent="0.25">
      <c r="B23" s="2"/>
      <c r="D23" s="337" t="s">
        <v>11</v>
      </c>
      <c r="E23" s="337"/>
      <c r="F23" s="4" t="s">
        <v>84</v>
      </c>
      <c r="G23" s="337" t="s">
        <v>12</v>
      </c>
      <c r="H23" s="337"/>
      <c r="I23" s="4" t="s">
        <v>553</v>
      </c>
      <c r="K23" s="337" t="s">
        <v>13</v>
      </c>
      <c r="L23" s="337"/>
      <c r="M23" s="9" t="s">
        <v>496</v>
      </c>
      <c r="O23" s="2"/>
    </row>
    <row r="24" spans="2:17" ht="20.100000000000001" customHeight="1" x14ac:dyDescent="0.25">
      <c r="B24" s="2"/>
      <c r="D24" s="337" t="s">
        <v>14</v>
      </c>
      <c r="E24" s="337"/>
      <c r="F24" s="4" t="s">
        <v>498</v>
      </c>
      <c r="G24" s="337" t="s">
        <v>15</v>
      </c>
      <c r="H24" s="337"/>
      <c r="I24" s="4" t="s">
        <v>519</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20</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NA</v>
      </c>
    </row>
    <row r="31" spans="2:17" ht="24" customHeight="1" x14ac:dyDescent="0.25">
      <c r="B31" s="2"/>
      <c r="D31" s="347"/>
      <c r="E31" s="348"/>
      <c r="F31" s="4" t="s">
        <v>109</v>
      </c>
      <c r="G31" s="340" t="s">
        <v>110</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500</v>
      </c>
      <c r="G33" s="340"/>
      <c r="H33" s="341"/>
      <c r="I33" s="341"/>
      <c r="J33" s="341"/>
      <c r="K33" s="341"/>
      <c r="L33" s="341"/>
      <c r="M33" s="342"/>
      <c r="O33" s="2"/>
      <c r="Q33" s="3" t="str">
        <f>+IFERROR(IF(VLOOKUP(G33,base!$A$26:$C$40,3,FALSE)=F31,1,0),"")</f>
        <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1711</v>
      </c>
      <c r="G35" s="340" t="s">
        <v>1587</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501</v>
      </c>
      <c r="G45" s="340" t="s">
        <v>502</v>
      </c>
      <c r="H45" s="341"/>
      <c r="I45" s="341"/>
      <c r="J45" s="341"/>
      <c r="K45" s="341"/>
      <c r="L45" s="341"/>
      <c r="M45" s="342"/>
      <c r="O45" s="2"/>
      <c r="Q45" s="3" t="str">
        <f>+IFERROR(VLOOKUP(G45,base!$A$41:$C$45,3,FALSE),"")</f>
        <v>misional</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503</v>
      </c>
      <c r="G47" s="340" t="s">
        <v>504</v>
      </c>
      <c r="H47" s="341"/>
      <c r="I47" s="341"/>
      <c r="J47" s="341"/>
      <c r="K47" s="341"/>
      <c r="L47" s="341"/>
      <c r="M47" s="342"/>
      <c r="O47" s="2"/>
      <c r="Q47" s="3">
        <f>+IF(VLOOKUP(G47,base!$A$46:$C$66,3,FALSE)=F45,1,0)</f>
        <v>1</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535</v>
      </c>
      <c r="G49" s="340" t="s">
        <v>30</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496</v>
      </c>
      <c r="G51" s="337" t="s">
        <v>32</v>
      </c>
      <c r="H51" s="337"/>
      <c r="I51" s="8">
        <v>240000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75" customHeight="1" x14ac:dyDescent="0.25">
      <c r="B59" s="2"/>
      <c r="D59" s="337" t="s">
        <v>34</v>
      </c>
      <c r="E59" s="337"/>
      <c r="F59" s="344" t="s">
        <v>618</v>
      </c>
      <c r="G59" s="344"/>
      <c r="H59" s="344"/>
      <c r="I59" s="344"/>
      <c r="J59" s="344"/>
      <c r="K59" s="344"/>
      <c r="L59" s="344"/>
      <c r="M59" s="344"/>
      <c r="O59" s="2"/>
    </row>
    <row r="60" spans="2:15" ht="27" customHeight="1" x14ac:dyDescent="0.25">
      <c r="B60" s="2"/>
      <c r="D60" s="359" t="s">
        <v>35</v>
      </c>
      <c r="E60" s="359"/>
      <c r="F60" s="344" t="s">
        <v>619</v>
      </c>
      <c r="G60" s="344"/>
      <c r="H60" s="344"/>
      <c r="I60" s="344"/>
      <c r="J60" s="344"/>
      <c r="K60" s="344"/>
      <c r="L60" s="344"/>
      <c r="M60" s="344"/>
      <c r="O60" s="2"/>
    </row>
    <row r="61" spans="2:15" ht="27" customHeight="1" x14ac:dyDescent="0.25">
      <c r="B61" s="2"/>
      <c r="D61" s="359" t="s">
        <v>36</v>
      </c>
      <c r="E61" s="359"/>
      <c r="F61" s="344" t="s">
        <v>620</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43" t="s">
        <v>39</v>
      </c>
      <c r="E71" s="343"/>
      <c r="F71" s="4" t="s">
        <v>49</v>
      </c>
      <c r="G71" s="3">
        <v>4</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60" t="s">
        <v>48</v>
      </c>
      <c r="E78" s="360"/>
      <c r="F78" s="16" t="s">
        <v>500</v>
      </c>
      <c r="G78" s="16">
        <v>4.9000000000000002E-2</v>
      </c>
      <c r="H78" s="16">
        <v>0.05</v>
      </c>
      <c r="I78" s="16">
        <v>7.9000000000000001E-2</v>
      </c>
      <c r="J78" s="16">
        <v>0.08</v>
      </c>
      <c r="K78" s="16">
        <v>0.11899999999999999</v>
      </c>
      <c r="L78" s="16">
        <v>0.12</v>
      </c>
      <c r="M78" s="16" t="s">
        <v>500</v>
      </c>
      <c r="O78" s="2"/>
      <c r="AE78" s="3" t="s">
        <v>48</v>
      </c>
      <c r="AF78" s="3">
        <v>4</v>
      </c>
      <c r="AG78" s="3">
        <f t="shared" si="0"/>
        <v>1</v>
      </c>
      <c r="AH78" s="3">
        <f>+IF(AG78=0,0,IF(AG78=1,(SUM($AG$75:AG78)-1),1))</f>
        <v>0</v>
      </c>
      <c r="AI78" s="3">
        <f t="shared" si="1"/>
        <v>0</v>
      </c>
      <c r="AJ78" s="3">
        <f t="shared" si="2"/>
        <v>0</v>
      </c>
      <c r="AK78" s="3">
        <f t="shared" si="3"/>
        <v>0</v>
      </c>
    </row>
    <row r="79" spans="2:37" x14ac:dyDescent="0.25">
      <c r="B79" s="2"/>
      <c r="D79" s="360" t="s">
        <v>49</v>
      </c>
      <c r="E79" s="360"/>
      <c r="F79" s="16" t="s">
        <v>500</v>
      </c>
      <c r="G79" s="16">
        <v>4.9000000000000002E-2</v>
      </c>
      <c r="H79" s="16">
        <v>0.05</v>
      </c>
      <c r="I79" s="16">
        <v>9.9000000000000005E-2</v>
      </c>
      <c r="J79" s="16">
        <v>0.1</v>
      </c>
      <c r="K79" s="16">
        <v>0.129</v>
      </c>
      <c r="L79" s="16">
        <v>0.13</v>
      </c>
      <c r="M79" s="16" t="s">
        <v>500</v>
      </c>
      <c r="O79" s="2"/>
      <c r="AE79" s="3" t="s">
        <v>49</v>
      </c>
      <c r="AF79" s="3">
        <v>5</v>
      </c>
      <c r="AG79" s="3">
        <f t="shared" si="0"/>
        <v>1</v>
      </c>
      <c r="AH79" s="3">
        <f>+IF(AG79=0,0,IF(AG79=1,(SUM($AG$75:AG79)-1),1))</f>
        <v>1</v>
      </c>
      <c r="AI79" s="3">
        <f t="shared" si="1"/>
        <v>1</v>
      </c>
      <c r="AJ79" s="3">
        <f t="shared" si="2"/>
        <v>1</v>
      </c>
      <c r="AK79" s="3">
        <f t="shared" si="3"/>
        <v>1</v>
      </c>
    </row>
    <row r="80" spans="2:37" x14ac:dyDescent="0.25">
      <c r="B80" s="2"/>
      <c r="D80" s="360" t="s">
        <v>50</v>
      </c>
      <c r="E80" s="360"/>
      <c r="F80" s="16" t="s">
        <v>500</v>
      </c>
      <c r="G80" s="16">
        <v>9.9000000000000005E-2</v>
      </c>
      <c r="H80" s="16">
        <v>0.1</v>
      </c>
      <c r="I80" s="16">
        <v>0.19900000000000001</v>
      </c>
      <c r="J80" s="16">
        <v>0.2</v>
      </c>
      <c r="K80" s="16">
        <v>0.25900000000000001</v>
      </c>
      <c r="L80" s="16">
        <v>0.26</v>
      </c>
      <c r="M80" s="16" t="s">
        <v>500</v>
      </c>
      <c r="O80" s="2"/>
      <c r="AE80" s="3" t="s">
        <v>50</v>
      </c>
      <c r="AF80" s="3">
        <v>6</v>
      </c>
      <c r="AG80" s="3">
        <f t="shared" si="0"/>
        <v>1</v>
      </c>
      <c r="AH80" s="3">
        <f>+IF(AG80=0,0,IF(AG80=1,(SUM($AG$75:AG80)-1),1))</f>
        <v>2</v>
      </c>
      <c r="AI80" s="3">
        <f t="shared" si="1"/>
        <v>1</v>
      </c>
      <c r="AJ80" s="3">
        <f t="shared" si="2"/>
        <v>0</v>
      </c>
      <c r="AK80" s="3">
        <f t="shared" si="3"/>
        <v>1</v>
      </c>
    </row>
    <row r="81" spans="2:37" x14ac:dyDescent="0.25">
      <c r="B81" s="2"/>
      <c r="D81" s="360" t="s">
        <v>53</v>
      </c>
      <c r="E81" s="360"/>
      <c r="F81" s="16" t="s">
        <v>500</v>
      </c>
      <c r="G81" s="16">
        <v>0.14899999999999999</v>
      </c>
      <c r="H81" s="16">
        <v>0.15</v>
      </c>
      <c r="I81" s="16">
        <v>0.29899999999999999</v>
      </c>
      <c r="J81" s="16">
        <v>0.3</v>
      </c>
      <c r="K81" s="16">
        <v>0.40899999999999997</v>
      </c>
      <c r="L81" s="16">
        <v>0.41</v>
      </c>
      <c r="M81" s="16" t="s">
        <v>500</v>
      </c>
      <c r="O81" s="2"/>
      <c r="AE81" s="3" t="s">
        <v>53</v>
      </c>
      <c r="AF81" s="3">
        <v>7</v>
      </c>
      <c r="AG81" s="3">
        <f t="shared" si="0"/>
        <v>1</v>
      </c>
      <c r="AH81" s="3">
        <f>+IF(AG81=0,0,IF(AG81=1,(SUM($AG$75:AG81)-1),1))</f>
        <v>3</v>
      </c>
      <c r="AI81" s="3">
        <f t="shared" si="1"/>
        <v>1</v>
      </c>
      <c r="AJ81" s="3">
        <f t="shared" si="2"/>
        <v>0</v>
      </c>
      <c r="AK81" s="3">
        <f t="shared" si="3"/>
        <v>1</v>
      </c>
    </row>
    <row r="82" spans="2:37" x14ac:dyDescent="0.25">
      <c r="B82" s="2"/>
      <c r="D82" s="360" t="s">
        <v>54</v>
      </c>
      <c r="E82" s="360"/>
      <c r="F82" s="16" t="s">
        <v>500</v>
      </c>
      <c r="G82" s="16">
        <v>0.249</v>
      </c>
      <c r="H82" s="16">
        <v>0.25</v>
      </c>
      <c r="I82" s="16">
        <v>0.39900000000000002</v>
      </c>
      <c r="J82" s="16">
        <v>0.4</v>
      </c>
      <c r="K82" s="16">
        <v>0.53900000000000003</v>
      </c>
      <c r="L82" s="16">
        <v>0.54</v>
      </c>
      <c r="M82" s="16" t="s">
        <v>500</v>
      </c>
      <c r="O82" s="2"/>
      <c r="AE82" s="3" t="s">
        <v>54</v>
      </c>
      <c r="AF82" s="3">
        <v>8</v>
      </c>
      <c r="AG82" s="3">
        <f t="shared" si="0"/>
        <v>1</v>
      </c>
      <c r="AH82" s="3">
        <f>+IF(AG82=0,0,IF(AG82=1,(SUM($AG$75:AG82)-1),1))</f>
        <v>4</v>
      </c>
      <c r="AI82" s="3">
        <f t="shared" si="1"/>
        <v>1</v>
      </c>
      <c r="AJ82" s="3">
        <f t="shared" si="2"/>
        <v>0</v>
      </c>
      <c r="AK82" s="3">
        <f t="shared" si="3"/>
        <v>1</v>
      </c>
    </row>
    <row r="83" spans="2:37" x14ac:dyDescent="0.25">
      <c r="B83" s="2"/>
      <c r="D83" s="360" t="s">
        <v>55</v>
      </c>
      <c r="E83" s="360"/>
      <c r="F83" s="16" t="s">
        <v>500</v>
      </c>
      <c r="G83" s="16">
        <v>0.34899999999999998</v>
      </c>
      <c r="H83" s="16">
        <v>0.35</v>
      </c>
      <c r="I83" s="16">
        <v>0.59899999999999998</v>
      </c>
      <c r="J83" s="16">
        <v>0.6</v>
      </c>
      <c r="K83" s="16">
        <v>0.68899999999999995</v>
      </c>
      <c r="L83" s="16">
        <v>0.69</v>
      </c>
      <c r="M83" s="16" t="s">
        <v>500</v>
      </c>
      <c r="O83" s="2"/>
      <c r="AE83" s="3" t="s">
        <v>55</v>
      </c>
      <c r="AF83" s="3">
        <v>9</v>
      </c>
      <c r="AG83" s="3">
        <f t="shared" si="0"/>
        <v>1</v>
      </c>
      <c r="AH83" s="3">
        <f>+IF(AG83=0,0,IF(AG83=1,(SUM($AG$75:AG83)-1),1))</f>
        <v>5</v>
      </c>
      <c r="AI83" s="3">
        <f t="shared" si="1"/>
        <v>1</v>
      </c>
      <c r="AJ83" s="3">
        <f t="shared" si="2"/>
        <v>0</v>
      </c>
      <c r="AK83" s="3">
        <f t="shared" si="3"/>
        <v>1</v>
      </c>
    </row>
    <row r="84" spans="2:37" x14ac:dyDescent="0.25">
      <c r="B84" s="2"/>
      <c r="D84" s="360" t="s">
        <v>56</v>
      </c>
      <c r="E84" s="360"/>
      <c r="F84" s="16" t="s">
        <v>500</v>
      </c>
      <c r="G84" s="16">
        <v>0.44900000000000001</v>
      </c>
      <c r="H84" s="16">
        <v>0.45</v>
      </c>
      <c r="I84" s="16">
        <v>0.69899999999999995</v>
      </c>
      <c r="J84" s="16">
        <v>0.7</v>
      </c>
      <c r="K84" s="16">
        <v>0.83899999999999997</v>
      </c>
      <c r="L84" s="16">
        <v>0.84</v>
      </c>
      <c r="M84" s="16" t="s">
        <v>500</v>
      </c>
      <c r="O84" s="2"/>
      <c r="AE84" s="3" t="s">
        <v>56</v>
      </c>
      <c r="AF84" s="3">
        <v>10</v>
      </c>
      <c r="AG84" s="3">
        <f t="shared" si="0"/>
        <v>1</v>
      </c>
      <c r="AH84" s="3">
        <f>+IF(AG84=0,0,IF(AG84=1,(SUM($AG$75:AG84)-1),1))</f>
        <v>6</v>
      </c>
      <c r="AI84" s="3">
        <f t="shared" si="1"/>
        <v>1</v>
      </c>
      <c r="AJ84" s="3">
        <f t="shared" si="2"/>
        <v>0</v>
      </c>
      <c r="AK84" s="3">
        <f t="shared" si="3"/>
        <v>1</v>
      </c>
    </row>
    <row r="85" spans="2:37" x14ac:dyDescent="0.25">
      <c r="B85" s="2"/>
      <c r="D85" s="360" t="s">
        <v>57</v>
      </c>
      <c r="E85" s="360"/>
      <c r="F85" s="16" t="s">
        <v>500</v>
      </c>
      <c r="G85" s="16">
        <v>0.59899999999999998</v>
      </c>
      <c r="H85" s="16">
        <v>0.6</v>
      </c>
      <c r="I85" s="16">
        <v>0.79900000000000004</v>
      </c>
      <c r="J85" s="16">
        <v>0.8</v>
      </c>
      <c r="K85" s="16">
        <v>0.96899999999999997</v>
      </c>
      <c r="L85" s="16">
        <v>0.97</v>
      </c>
      <c r="M85" s="16" t="s">
        <v>500</v>
      </c>
      <c r="O85" s="2"/>
      <c r="AE85" s="3" t="s">
        <v>57</v>
      </c>
      <c r="AF85" s="3">
        <v>11</v>
      </c>
      <c r="AG85" s="3">
        <f t="shared" si="0"/>
        <v>1</v>
      </c>
      <c r="AH85" s="3">
        <f>+IF(AG85=0,0,IF(AG85=1,(SUM($AG$75:AG85)-1),1))</f>
        <v>7</v>
      </c>
      <c r="AI85" s="3">
        <f t="shared" si="1"/>
        <v>1</v>
      </c>
      <c r="AJ85" s="3">
        <f t="shared" si="2"/>
        <v>0</v>
      </c>
      <c r="AK85" s="3">
        <f t="shared" si="3"/>
        <v>1</v>
      </c>
    </row>
    <row r="86" spans="2:37" x14ac:dyDescent="0.25">
      <c r="B86" s="2"/>
      <c r="D86" s="360" t="s">
        <v>58</v>
      </c>
      <c r="E86" s="360"/>
      <c r="F86" s="16" t="s">
        <v>500</v>
      </c>
      <c r="G86" s="16">
        <v>0.749</v>
      </c>
      <c r="H86" s="16">
        <v>0.75</v>
      </c>
      <c r="I86" s="16">
        <v>0.84899999999999998</v>
      </c>
      <c r="J86" s="16">
        <v>0.85</v>
      </c>
      <c r="K86" s="16">
        <v>0.999</v>
      </c>
      <c r="L86" s="16">
        <v>1</v>
      </c>
      <c r="M86" s="16" t="s">
        <v>500</v>
      </c>
      <c r="O86" s="2"/>
      <c r="AE86" s="3" t="s">
        <v>58</v>
      </c>
      <c r="AF86" s="65">
        <v>12</v>
      </c>
      <c r="AG86" s="3">
        <f t="shared" si="0"/>
        <v>1</v>
      </c>
      <c r="AH86" s="3">
        <f>+IF(AG86=0,0,IF(AG86=1,(SUM($AG$75:AG86)-1),1))</f>
        <v>8</v>
      </c>
      <c r="AI86" s="3">
        <f t="shared" si="1"/>
        <v>1</v>
      </c>
      <c r="AJ86" s="3">
        <f t="shared" si="2"/>
        <v>0</v>
      </c>
      <c r="AK86" s="3">
        <f t="shared" si="3"/>
        <v>1</v>
      </c>
    </row>
    <row r="87" spans="2:37" ht="3.75" customHeight="1" x14ac:dyDescent="0.25">
      <c r="B87" s="2"/>
      <c r="O87" s="2"/>
    </row>
    <row r="88" spans="2:37" ht="48" customHeight="1" x14ac:dyDescent="0.25">
      <c r="B88" s="2"/>
      <c r="D88" s="338" t="s">
        <v>59</v>
      </c>
      <c r="E88" s="339"/>
      <c r="F88" s="340"/>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28.5" customHeight="1" x14ac:dyDescent="0.25">
      <c r="B97" s="2"/>
      <c r="D97" s="359" t="s">
        <v>35</v>
      </c>
      <c r="E97" s="359"/>
      <c r="F97" s="344" t="s">
        <v>621</v>
      </c>
      <c r="G97" s="344"/>
      <c r="H97" s="344"/>
      <c r="I97" s="344"/>
      <c r="J97" s="344"/>
      <c r="K97" s="344"/>
      <c r="L97" s="344"/>
      <c r="M97" s="344"/>
      <c r="O97" s="2"/>
    </row>
    <row r="98" spans="2:15" ht="28.5" customHeight="1" x14ac:dyDescent="0.25">
      <c r="B98" s="2"/>
      <c r="D98" s="359" t="s">
        <v>36</v>
      </c>
      <c r="E98" s="359"/>
      <c r="F98" s="344" t="s">
        <v>491</v>
      </c>
      <c r="G98" s="344"/>
      <c r="H98" s="344"/>
      <c r="I98" s="344"/>
      <c r="J98" s="344"/>
      <c r="K98" s="344"/>
      <c r="L98" s="344"/>
      <c r="M98" s="344"/>
      <c r="O98" s="2"/>
    </row>
    <row r="99" spans="2:15" ht="3.95" customHeight="1" x14ac:dyDescent="0.25">
      <c r="B99" s="2"/>
      <c r="O99" s="2"/>
    </row>
    <row r="100" spans="2:15" ht="58.5" customHeight="1" x14ac:dyDescent="0.25">
      <c r="B100" s="2"/>
      <c r="D100" s="338" t="s">
        <v>62</v>
      </c>
      <c r="E100" s="339"/>
      <c r="F100" s="340" t="s">
        <v>80</v>
      </c>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2</v>
      </c>
      <c r="K102" s="20"/>
      <c r="O102" s="2"/>
    </row>
    <row r="103" spans="2:15" ht="19.5" customHeight="1" x14ac:dyDescent="0.25">
      <c r="B103" s="2"/>
      <c r="D103" s="331"/>
      <c r="E103" s="332"/>
      <c r="F103" s="19" t="s">
        <v>66</v>
      </c>
      <c r="G103" s="4"/>
      <c r="K103" s="21"/>
      <c r="O103" s="2"/>
    </row>
    <row r="104" spans="2:15" ht="27.75" customHeight="1" x14ac:dyDescent="0.25">
      <c r="B104" s="2"/>
      <c r="D104" s="331"/>
      <c r="E104" s="332"/>
      <c r="F104" s="19" t="s">
        <v>67</v>
      </c>
      <c r="G104" s="333"/>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69</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 xml:space="preserve">Director(a) Primera Infancia </v>
      </c>
      <c r="H108" s="334"/>
      <c r="I108" s="334"/>
      <c r="J108" s="334"/>
      <c r="K108" s="334"/>
      <c r="L108" s="334"/>
      <c r="M108" s="335"/>
      <c r="O108" s="2"/>
    </row>
    <row r="109" spans="2:15" ht="17.25" customHeight="1" x14ac:dyDescent="0.25">
      <c r="B109" s="2"/>
      <c r="D109" s="331"/>
      <c r="E109" s="332"/>
      <c r="F109" s="19" t="s">
        <v>2042</v>
      </c>
      <c r="G109" s="333" t="str">
        <f>+IF(M23="Si","Coordinador(a) Planeación y Sistemas","")</f>
        <v>Coordinador(a) Planeación y Sistemas</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F51 G102">
    <cfRule type="expression" dxfId="3325" priority="29">
      <formula>+IF($F$43="no",1,0)</formula>
    </cfRule>
  </conditionalFormatting>
  <conditionalFormatting sqref="F32:M33">
    <cfRule type="expression" dxfId="3324" priority="28">
      <formula>+IF($Q$30="NA",1,0)</formula>
    </cfRule>
  </conditionalFormatting>
  <conditionalFormatting sqref="F33:M33">
    <cfRule type="expression" dxfId="3323" priority="27">
      <formula>+IF($Q$33=0,1,0)</formula>
    </cfRule>
  </conditionalFormatting>
  <conditionalFormatting sqref="F47:M47">
    <cfRule type="expression" dxfId="3322" priority="26">
      <formula>+IF($Q$47=0,1,0)</formula>
    </cfRule>
  </conditionalFormatting>
  <conditionalFormatting sqref="F73:G73">
    <cfRule type="cellIs" dxfId="3321" priority="12" operator="equal">
      <formula>"optimo"</formula>
    </cfRule>
    <cfRule type="cellIs" dxfId="3320" priority="13" operator="equal">
      <formula>"critico"</formula>
    </cfRule>
  </conditionalFormatting>
  <conditionalFormatting sqref="H73:I73">
    <cfRule type="cellIs" dxfId="3319" priority="10" operator="equal">
      <formula>"Adecuado"</formula>
    </cfRule>
    <cfRule type="cellIs" dxfId="3318" priority="11" operator="equal">
      <formula>"en riesgo"</formula>
    </cfRule>
  </conditionalFormatting>
  <conditionalFormatting sqref="J73:K73">
    <cfRule type="cellIs" dxfId="3317" priority="8" operator="equal">
      <formula>"Adecuado"</formula>
    </cfRule>
    <cfRule type="cellIs" dxfId="3316" priority="9" operator="equal">
      <formula>"en riesgo"</formula>
    </cfRule>
  </conditionalFormatting>
  <conditionalFormatting sqref="L73:M73">
    <cfRule type="cellIs" dxfId="3315" priority="6" operator="equal">
      <formula>"optimo"</formula>
    </cfRule>
    <cfRule type="cellIs" dxfId="3314" priority="7" operator="equal">
      <formula>"critico"</formula>
    </cfRule>
  </conditionalFormatting>
  <conditionalFormatting sqref="F75:M86">
    <cfRule type="expression" dxfId="3313" priority="5">
      <formula>+IF($AK75=0,1)</formula>
    </cfRule>
  </conditionalFormatting>
  <conditionalFormatting sqref="F103:G104">
    <cfRule type="expression" dxfId="3312" priority="4">
      <formula>+IF($G$102="No",1,0)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8">
    <tabColor rgb="FF0070C0"/>
  </sheetPr>
  <dimension ref="B1:AV113"/>
  <sheetViews>
    <sheetView topLeftCell="A61" zoomScale="90" zoomScaleNormal="90" workbookViewId="0">
      <selection activeCell="A83" sqref="A83:XFD83"/>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375</v>
      </c>
      <c r="O10" s="2"/>
    </row>
    <row r="11" spans="2:24" ht="3.95" customHeight="1" x14ac:dyDescent="0.25">
      <c r="B11" s="2"/>
      <c r="D11" s="6"/>
      <c r="O11" s="2"/>
    </row>
    <row r="12" spans="2:24" ht="36" customHeight="1" x14ac:dyDescent="0.25">
      <c r="B12" s="2"/>
      <c r="D12" s="338" t="s">
        <v>5</v>
      </c>
      <c r="E12" s="339"/>
      <c r="F12" s="340" t="s">
        <v>1242</v>
      </c>
      <c r="G12" s="341"/>
      <c r="H12" s="341"/>
      <c r="I12" s="341"/>
      <c r="J12" s="341"/>
      <c r="K12" s="341"/>
      <c r="L12" s="341"/>
      <c r="M12" s="342"/>
      <c r="O12" s="2"/>
      <c r="W12" s="3" t="str">
        <f>+F23</f>
        <v>Trimestral</v>
      </c>
      <c r="X12" s="3" t="str">
        <f>+F71</f>
        <v>Marzo</v>
      </c>
    </row>
    <row r="13" spans="2:24" ht="3.95" customHeight="1" x14ac:dyDescent="0.25">
      <c r="B13" s="2"/>
      <c r="O13" s="2"/>
    </row>
    <row r="14" spans="2:24" ht="38.25" customHeight="1" x14ac:dyDescent="0.25">
      <c r="B14" s="2"/>
      <c r="D14" s="338" t="s">
        <v>6</v>
      </c>
      <c r="E14" s="339"/>
      <c r="F14" s="340" t="s">
        <v>1234</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9">
        <v>383680</v>
      </c>
      <c r="G22" s="337" t="s">
        <v>9</v>
      </c>
      <c r="H22" s="337"/>
      <c r="I22" s="9">
        <v>100000</v>
      </c>
      <c r="K22" s="337" t="s">
        <v>10</v>
      </c>
      <c r="L22" s="337"/>
      <c r="M22" s="9" t="s">
        <v>496</v>
      </c>
      <c r="O22" s="2"/>
    </row>
    <row r="23" spans="2:17" ht="19.5" customHeight="1" x14ac:dyDescent="0.25">
      <c r="B23" s="2"/>
      <c r="D23" s="337" t="s">
        <v>11</v>
      </c>
      <c r="E23" s="337"/>
      <c r="F23" s="4" t="s">
        <v>71</v>
      </c>
      <c r="G23" s="337" t="s">
        <v>12</v>
      </c>
      <c r="H23" s="337"/>
      <c r="I23" s="4" t="s">
        <v>647</v>
      </c>
      <c r="K23" s="337" t="s">
        <v>13</v>
      </c>
      <c r="L23" s="337"/>
      <c r="M23" s="9" t="s">
        <v>2</v>
      </c>
      <c r="O23" s="2"/>
    </row>
    <row r="24" spans="2:17" ht="20.100000000000001" customHeight="1" x14ac:dyDescent="0.25">
      <c r="B24" s="2"/>
      <c r="D24" s="337" t="s">
        <v>14</v>
      </c>
      <c r="E24" s="337"/>
      <c r="F24" s="4" t="s">
        <v>498</v>
      </c>
      <c r="G24" s="337" t="s">
        <v>15</v>
      </c>
      <c r="H24" s="337"/>
      <c r="I24" s="4" t="s">
        <v>519</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NA</v>
      </c>
    </row>
    <row r="31" spans="2:17" ht="24" customHeight="1" x14ac:dyDescent="0.25">
      <c r="B31" s="2"/>
      <c r="D31" s="347"/>
      <c r="E31" s="348"/>
      <c r="F31" s="4" t="s">
        <v>370</v>
      </c>
      <c r="G31" s="340" t="s">
        <v>371</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1025</v>
      </c>
      <c r="G33" s="340"/>
      <c r="H33" s="341"/>
      <c r="I33" s="341"/>
      <c r="J33" s="341"/>
      <c r="K33" s="341"/>
      <c r="L33" s="341"/>
      <c r="M33" s="342"/>
      <c r="O33" s="2"/>
      <c r="Q33" s="3" t="str">
        <f>+IFERROR(IF(VLOOKUP(G33,base!$A$26:$C$40,3,FALSE)=F31,1,0),"")</f>
        <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1716</v>
      </c>
      <c r="G35" s="340" t="s">
        <v>1592</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501</v>
      </c>
      <c r="G45" s="340" t="s">
        <v>515</v>
      </c>
      <c r="H45" s="341"/>
      <c r="I45" s="341"/>
      <c r="J45" s="341"/>
      <c r="K45" s="341"/>
      <c r="L45" s="341"/>
      <c r="M45" s="342"/>
      <c r="O45" s="2"/>
      <c r="Q45" s="3" t="str">
        <f>+IFERROR(VLOOKUP(G45,base!$A$41:$C$45,3,FALSE),"")</f>
        <v>misional</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503</v>
      </c>
      <c r="G47" s="340" t="s">
        <v>995</v>
      </c>
      <c r="H47" s="341"/>
      <c r="I47" s="341"/>
      <c r="J47" s="341"/>
      <c r="K47" s="341"/>
      <c r="L47" s="341"/>
      <c r="M47" s="342"/>
      <c r="O47" s="2"/>
      <c r="Q47" s="3">
        <f>+IF(VLOOKUP(G47,base!$A$46:$C$66,3,FALSE)=F45,1,0)</f>
        <v>1</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920</v>
      </c>
      <c r="G49" s="340" t="s">
        <v>899</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496</v>
      </c>
      <c r="G51" s="337" t="s">
        <v>32</v>
      </c>
      <c r="H51" s="337"/>
      <c r="I51" s="31">
        <v>400000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37" t="s">
        <v>34</v>
      </c>
      <c r="E59" s="337"/>
      <c r="F59" s="344" t="s">
        <v>1235</v>
      </c>
      <c r="G59" s="344"/>
      <c r="H59" s="344"/>
      <c r="I59" s="344"/>
      <c r="J59" s="344"/>
      <c r="K59" s="344"/>
      <c r="L59" s="344"/>
      <c r="M59" s="344"/>
      <c r="O59" s="2"/>
    </row>
    <row r="60" spans="2:15" ht="66" customHeight="1" x14ac:dyDescent="0.25">
      <c r="B60" s="2"/>
      <c r="D60" s="359" t="s">
        <v>35</v>
      </c>
      <c r="E60" s="359"/>
      <c r="F60" s="344" t="s">
        <v>376</v>
      </c>
      <c r="G60" s="344"/>
      <c r="H60" s="344"/>
      <c r="I60" s="344"/>
      <c r="J60" s="344"/>
      <c r="K60" s="344"/>
      <c r="L60" s="344"/>
      <c r="M60" s="344"/>
      <c r="O60" s="2"/>
    </row>
    <row r="61" spans="2:15" ht="41.25" customHeight="1" x14ac:dyDescent="0.25">
      <c r="B61" s="2"/>
      <c r="D61" s="359" t="s">
        <v>36</v>
      </c>
      <c r="E61" s="359"/>
      <c r="F61" s="340" t="s">
        <v>1236</v>
      </c>
      <c r="G61" s="341"/>
      <c r="H61" s="341"/>
      <c r="I61" s="341"/>
      <c r="J61" s="341"/>
      <c r="K61" s="341"/>
      <c r="L61" s="341"/>
      <c r="M61" s="342"/>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43" t="s">
        <v>39</v>
      </c>
      <c r="E71" s="343"/>
      <c r="F71" s="4" t="s">
        <v>47</v>
      </c>
      <c r="G71" s="3">
        <v>3</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v>0.14899999999999999</v>
      </c>
      <c r="H77" s="16">
        <v>0.15</v>
      </c>
      <c r="I77" s="16">
        <v>0.219</v>
      </c>
      <c r="J77" s="16">
        <v>0.22</v>
      </c>
      <c r="K77" s="16">
        <v>0.29899999999999999</v>
      </c>
      <c r="L77" s="16">
        <v>0.3</v>
      </c>
      <c r="M77" s="16" t="s">
        <v>500</v>
      </c>
      <c r="O77" s="2"/>
      <c r="AE77" s="3" t="s">
        <v>47</v>
      </c>
      <c r="AF77" s="3">
        <v>3</v>
      </c>
      <c r="AG77" s="3">
        <f t="shared" si="0"/>
        <v>1</v>
      </c>
      <c r="AH77" s="3">
        <f>+IF(AG77=0,0,IF(AG77=1,(SUM($AG$75:AG77)-1),1))</f>
        <v>0</v>
      </c>
      <c r="AI77" s="3">
        <f t="shared" si="1"/>
        <v>0</v>
      </c>
      <c r="AJ77" s="3">
        <f t="shared" si="2"/>
        <v>1</v>
      </c>
      <c r="AK77" s="3">
        <f t="shared" si="3"/>
        <v>1</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2</v>
      </c>
      <c r="AI79" s="3">
        <f t="shared" si="1"/>
        <v>0</v>
      </c>
      <c r="AJ79" s="3">
        <f t="shared" si="2"/>
        <v>0</v>
      </c>
      <c r="AK79" s="3">
        <f t="shared" si="3"/>
        <v>0</v>
      </c>
    </row>
    <row r="80" spans="2:37" x14ac:dyDescent="0.25">
      <c r="B80" s="2"/>
      <c r="D80" s="360" t="s">
        <v>50</v>
      </c>
      <c r="E80" s="360"/>
      <c r="F80" s="16" t="s">
        <v>500</v>
      </c>
      <c r="G80" s="16">
        <v>0.29899999999999999</v>
      </c>
      <c r="H80" s="16">
        <v>0.3</v>
      </c>
      <c r="I80" s="16">
        <v>0.39900000000000002</v>
      </c>
      <c r="J80" s="16">
        <v>0.4</v>
      </c>
      <c r="K80" s="16">
        <v>0.59899999999999998</v>
      </c>
      <c r="L80" s="16">
        <v>0.6</v>
      </c>
      <c r="M80" s="16" t="s">
        <v>500</v>
      </c>
      <c r="O80" s="2"/>
      <c r="AE80" s="3" t="s">
        <v>50</v>
      </c>
      <c r="AF80" s="3">
        <v>6</v>
      </c>
      <c r="AG80" s="3">
        <f t="shared" si="0"/>
        <v>1</v>
      </c>
      <c r="AH80" s="3">
        <f>+IF(AG80=0,0,IF(AG80=1,(SUM($AG$75:AG80)-1),1))</f>
        <v>3</v>
      </c>
      <c r="AI80" s="3">
        <f t="shared" si="1"/>
        <v>1</v>
      </c>
      <c r="AJ80" s="3">
        <f t="shared" si="2"/>
        <v>0</v>
      </c>
      <c r="AK80" s="3">
        <f t="shared" si="3"/>
        <v>1</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4</v>
      </c>
      <c r="AI81" s="3">
        <f t="shared" si="1"/>
        <v>0</v>
      </c>
      <c r="AJ81" s="3">
        <f t="shared" si="2"/>
        <v>0</v>
      </c>
      <c r="AK81" s="3">
        <f t="shared" si="3"/>
        <v>0</v>
      </c>
    </row>
    <row r="82" spans="2:37" x14ac:dyDescent="0.25">
      <c r="B82" s="2"/>
      <c r="D82" s="360" t="s">
        <v>54</v>
      </c>
      <c r="E82" s="360"/>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60" t="s">
        <v>55</v>
      </c>
      <c r="E83" s="360"/>
      <c r="F83" s="16" t="s">
        <v>500</v>
      </c>
      <c r="G83" s="16">
        <v>0.59899999999999998</v>
      </c>
      <c r="H83" s="16">
        <v>0.6</v>
      </c>
      <c r="I83" s="16">
        <v>0.67900000000000005</v>
      </c>
      <c r="J83" s="16">
        <v>0.68</v>
      </c>
      <c r="K83" s="16">
        <v>0.749</v>
      </c>
      <c r="L83" s="16">
        <v>0.75</v>
      </c>
      <c r="M83" s="16" t="s">
        <v>500</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60" t="s">
        <v>58</v>
      </c>
      <c r="E86" s="360"/>
      <c r="F86" s="16" t="s">
        <v>500</v>
      </c>
      <c r="G86" s="16">
        <v>0.749</v>
      </c>
      <c r="H86" s="16">
        <v>0.75</v>
      </c>
      <c r="I86" s="16">
        <v>0.84899999999999998</v>
      </c>
      <c r="J86" s="16">
        <v>0.85</v>
      </c>
      <c r="K86" s="16">
        <v>0.999</v>
      </c>
      <c r="L86" s="16" t="s">
        <v>500</v>
      </c>
      <c r="M86" s="16">
        <v>1</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66" customHeight="1" x14ac:dyDescent="0.25">
      <c r="B88" s="2"/>
      <c r="D88" s="338" t="s">
        <v>59</v>
      </c>
      <c r="E88" s="339"/>
      <c r="F88" s="340"/>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2" customHeight="1" x14ac:dyDescent="0.25">
      <c r="B97" s="2"/>
      <c r="D97" s="359" t="s">
        <v>35</v>
      </c>
      <c r="E97" s="359"/>
      <c r="F97" s="344" t="s">
        <v>1567</v>
      </c>
      <c r="G97" s="344"/>
      <c r="H97" s="344"/>
      <c r="I97" s="344"/>
      <c r="J97" s="344"/>
      <c r="K97" s="344"/>
      <c r="L97" s="344"/>
      <c r="M97" s="344"/>
      <c r="O97" s="2"/>
    </row>
    <row r="98" spans="2:15" ht="42" customHeight="1" x14ac:dyDescent="0.25">
      <c r="B98" s="2"/>
      <c r="D98" s="359" t="s">
        <v>36</v>
      </c>
      <c r="E98" s="359"/>
      <c r="F98" s="344" t="s">
        <v>1566</v>
      </c>
      <c r="G98" s="344"/>
      <c r="H98" s="344"/>
      <c r="I98" s="344"/>
      <c r="J98" s="344"/>
      <c r="K98" s="344"/>
      <c r="L98" s="344"/>
      <c r="M98" s="344"/>
      <c r="O98" s="2"/>
    </row>
    <row r="99" spans="2:15" ht="3.95" customHeight="1" x14ac:dyDescent="0.25">
      <c r="B99" s="2"/>
      <c r="O99" s="2"/>
    </row>
    <row r="100" spans="2:15" ht="58.5" customHeight="1" x14ac:dyDescent="0.25">
      <c r="B100" s="2"/>
      <c r="D100" s="338" t="s">
        <v>62</v>
      </c>
      <c r="E100" s="339"/>
      <c r="F100" s="333"/>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2</v>
      </c>
      <c r="K102" s="20"/>
      <c r="O102" s="2"/>
    </row>
    <row r="103" spans="2:15" ht="19.5" customHeight="1" x14ac:dyDescent="0.25">
      <c r="B103" s="2"/>
      <c r="D103" s="331"/>
      <c r="E103" s="332"/>
      <c r="F103" s="19" t="s">
        <v>66</v>
      </c>
      <c r="G103" s="4"/>
      <c r="K103" s="21"/>
      <c r="O103" s="2"/>
    </row>
    <row r="104" spans="2:15" ht="27.75" customHeight="1" x14ac:dyDescent="0.25">
      <c r="B104" s="2"/>
      <c r="D104" s="331"/>
      <c r="E104" s="332"/>
      <c r="F104" s="19" t="s">
        <v>67</v>
      </c>
      <c r="G104" s="333"/>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 xml:space="preserve">Jefe Oficina de Cooperación y Convenios </v>
      </c>
      <c r="H108" s="334"/>
      <c r="I108" s="334"/>
      <c r="J108" s="334"/>
      <c r="K108" s="334"/>
      <c r="L108" s="334"/>
      <c r="M108" s="335"/>
      <c r="O108" s="2"/>
    </row>
    <row r="109" spans="2:15" ht="17.25" customHeight="1" x14ac:dyDescent="0.25">
      <c r="B109" s="2"/>
      <c r="D109" s="331"/>
      <c r="E109" s="332"/>
      <c r="F109" s="19" t="s">
        <v>2042</v>
      </c>
      <c r="G109" s="333" t="str">
        <f>+IF(M23="Si","Coordinador(a) Planeación y Sistemas","")</f>
        <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039" priority="31">
      <formula>+IF($F$43="no",1,0)</formula>
    </cfRule>
  </conditionalFormatting>
  <conditionalFormatting sqref="F32:M33">
    <cfRule type="expression" dxfId="1038" priority="30">
      <formula>+IF($Q$30="NA",1,0)</formula>
    </cfRule>
  </conditionalFormatting>
  <conditionalFormatting sqref="F33:M33">
    <cfRule type="expression" dxfId="1037" priority="29">
      <formula>+IF($Q$33=0,1,0)</formula>
    </cfRule>
  </conditionalFormatting>
  <conditionalFormatting sqref="F47:M47">
    <cfRule type="expression" dxfId="1036" priority="28">
      <formula>+IF($Q$47=0,1,0)</formula>
    </cfRule>
  </conditionalFormatting>
  <conditionalFormatting sqref="F73:G73">
    <cfRule type="cellIs" dxfId="1035" priority="14" operator="equal">
      <formula>"optimo"</formula>
    </cfRule>
    <cfRule type="cellIs" dxfId="1034" priority="15" operator="equal">
      <formula>"critico"</formula>
    </cfRule>
  </conditionalFormatting>
  <conditionalFormatting sqref="H73:I73">
    <cfRule type="cellIs" dxfId="1033" priority="12" operator="equal">
      <formula>"Adecuado"</formula>
    </cfRule>
    <cfRule type="cellIs" dxfId="1032" priority="13" operator="equal">
      <formula>"en riesgo"</formula>
    </cfRule>
  </conditionalFormatting>
  <conditionalFormatting sqref="J73:K73">
    <cfRule type="cellIs" dxfId="1031" priority="10" operator="equal">
      <formula>"Adecuado"</formula>
    </cfRule>
    <cfRule type="cellIs" dxfId="1030" priority="11" operator="equal">
      <formula>"en riesgo"</formula>
    </cfRule>
  </conditionalFormatting>
  <conditionalFormatting sqref="L73:M73">
    <cfRule type="cellIs" dxfId="1029" priority="8" operator="equal">
      <formula>"optimo"</formula>
    </cfRule>
    <cfRule type="cellIs" dxfId="1028" priority="9" operator="equal">
      <formula>"critico"</formula>
    </cfRule>
  </conditionalFormatting>
  <conditionalFormatting sqref="F75:M86">
    <cfRule type="expression" dxfId="1027" priority="7">
      <formula>+IF($AK75=0,1)</formula>
    </cfRule>
  </conditionalFormatting>
  <conditionalFormatting sqref="F103:G104">
    <cfRule type="expression" dxfId="1026" priority="6">
      <formula>+IF($G$102="No",1,0)</formula>
    </cfRule>
  </conditionalFormatting>
  <conditionalFormatting sqref="F51">
    <cfRule type="expression" dxfId="1025" priority="5">
      <formula>+IF($F$43="no",1,0)</formula>
    </cfRule>
  </conditionalFormatting>
  <conditionalFormatting sqref="I51">
    <cfRule type="expression" dxfId="1024"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9">
    <tabColor rgb="FF0070C0"/>
  </sheetPr>
  <dimension ref="B1:AV113"/>
  <sheetViews>
    <sheetView topLeftCell="A61" zoomScale="90" zoomScaleNormal="90" workbookViewId="0">
      <selection activeCell="A86" sqref="A86:XFD86"/>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377</v>
      </c>
      <c r="O10" s="2"/>
    </row>
    <row r="11" spans="2:24" ht="3.95" customHeight="1" x14ac:dyDescent="0.25">
      <c r="B11" s="2"/>
      <c r="D11" s="6"/>
      <c r="O11" s="2"/>
    </row>
    <row r="12" spans="2:24" ht="36" customHeight="1" x14ac:dyDescent="0.25">
      <c r="B12" s="2"/>
      <c r="D12" s="338" t="s">
        <v>5</v>
      </c>
      <c r="E12" s="339"/>
      <c r="F12" s="340" t="s">
        <v>378</v>
      </c>
      <c r="G12" s="341"/>
      <c r="H12" s="341"/>
      <c r="I12" s="341"/>
      <c r="J12" s="341"/>
      <c r="K12" s="341"/>
      <c r="L12" s="341"/>
      <c r="M12" s="342"/>
      <c r="O12" s="2"/>
      <c r="W12" s="3" t="str">
        <f>+F23</f>
        <v>Mensual</v>
      </c>
      <c r="X12" s="3" t="str">
        <f>+F71</f>
        <v>Enero</v>
      </c>
    </row>
    <row r="13" spans="2:24" ht="3.95" customHeight="1" x14ac:dyDescent="0.25">
      <c r="B13" s="2"/>
      <c r="O13" s="2"/>
    </row>
    <row r="14" spans="2:24" ht="38.25" customHeight="1" x14ac:dyDescent="0.25">
      <c r="B14" s="2"/>
      <c r="D14" s="338" t="s">
        <v>6</v>
      </c>
      <c r="E14" s="339"/>
      <c r="F14" s="340" t="s">
        <v>1229</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9">
        <v>20000</v>
      </c>
      <c r="G22" s="337" t="s">
        <v>9</v>
      </c>
      <c r="H22" s="337"/>
      <c r="I22" s="9">
        <v>40000</v>
      </c>
      <c r="K22" s="337" t="s">
        <v>10</v>
      </c>
      <c r="L22" s="337"/>
      <c r="M22" s="9" t="s">
        <v>496</v>
      </c>
      <c r="O22" s="2"/>
    </row>
    <row r="23" spans="2:17" ht="19.5" customHeight="1" x14ac:dyDescent="0.25">
      <c r="B23" s="2"/>
      <c r="D23" s="337" t="s">
        <v>11</v>
      </c>
      <c r="E23" s="337"/>
      <c r="F23" s="4" t="s">
        <v>84</v>
      </c>
      <c r="G23" s="337" t="s">
        <v>12</v>
      </c>
      <c r="H23" s="337"/>
      <c r="I23" s="4" t="s">
        <v>1227</v>
      </c>
      <c r="K23" s="337" t="s">
        <v>13</v>
      </c>
      <c r="L23" s="337"/>
      <c r="M23" s="9" t="s">
        <v>2</v>
      </c>
      <c r="O23" s="2"/>
    </row>
    <row r="24" spans="2:17" ht="20.100000000000001" customHeight="1" x14ac:dyDescent="0.25">
      <c r="B24" s="2"/>
      <c r="D24" s="337" t="s">
        <v>14</v>
      </c>
      <c r="E24" s="337"/>
      <c r="F24" s="4" t="s">
        <v>498</v>
      </c>
      <c r="G24" s="337" t="s">
        <v>15</v>
      </c>
      <c r="H24" s="337"/>
      <c r="I24" s="4" t="s">
        <v>533</v>
      </c>
      <c r="K24" s="337" t="s">
        <v>16</v>
      </c>
      <c r="L24" s="337"/>
      <c r="M24" s="9" t="s">
        <v>2</v>
      </c>
      <c r="O24" s="2"/>
    </row>
    <row r="25" spans="2:17" ht="20.100000000000001" customHeight="1" x14ac:dyDescent="0.25">
      <c r="B25" s="2"/>
      <c r="D25" s="337" t="s">
        <v>17</v>
      </c>
      <c r="E25" s="337"/>
      <c r="F25" s="4" t="s">
        <v>683</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NA</v>
      </c>
    </row>
    <row r="31" spans="2:17" ht="24" customHeight="1" x14ac:dyDescent="0.25">
      <c r="B31" s="2"/>
      <c r="D31" s="347"/>
      <c r="E31" s="348"/>
      <c r="F31" s="4" t="s">
        <v>370</v>
      </c>
      <c r="G31" s="340" t="s">
        <v>371</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1025</v>
      </c>
      <c r="G33" s="340"/>
      <c r="H33" s="341"/>
      <c r="I33" s="341"/>
      <c r="J33" s="341"/>
      <c r="K33" s="341"/>
      <c r="L33" s="341"/>
      <c r="M33" s="342"/>
      <c r="O33" s="2"/>
      <c r="Q33" s="3" t="str">
        <f>+IFERROR(IF(VLOOKUP(G33,base!$A$26:$C$40,3,FALSE)=F31,1,0),"")</f>
        <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1716</v>
      </c>
      <c r="G35" s="340" t="s">
        <v>1592</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501</v>
      </c>
      <c r="G45" s="340" t="s">
        <v>515</v>
      </c>
      <c r="H45" s="341"/>
      <c r="I45" s="341"/>
      <c r="J45" s="341"/>
      <c r="K45" s="341"/>
      <c r="L45" s="341"/>
      <c r="M45" s="342"/>
      <c r="O45" s="2"/>
      <c r="Q45" s="3" t="str">
        <f>+IFERROR(VLOOKUP(G45,base!$A$41:$C$45,3,FALSE),"")</f>
        <v>misional</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503</v>
      </c>
      <c r="G47" s="340" t="s">
        <v>995</v>
      </c>
      <c r="H47" s="341"/>
      <c r="I47" s="341"/>
      <c r="J47" s="341"/>
      <c r="K47" s="341"/>
      <c r="L47" s="341"/>
      <c r="M47" s="342"/>
      <c r="O47" s="2"/>
      <c r="Q47" s="3">
        <f>+IF(VLOOKUP(G47,base!$A$46:$C$66,3,FALSE)=F45,1,0)</f>
        <v>1</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920</v>
      </c>
      <c r="G49" s="340" t="s">
        <v>899</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496</v>
      </c>
      <c r="G51" s="337" t="s">
        <v>32</v>
      </c>
      <c r="H51" s="337"/>
      <c r="I51" s="9">
        <v>200000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37" t="s">
        <v>34</v>
      </c>
      <c r="E59" s="337"/>
      <c r="F59" s="344" t="s">
        <v>1230</v>
      </c>
      <c r="G59" s="344"/>
      <c r="H59" s="344"/>
      <c r="I59" s="344"/>
      <c r="J59" s="344"/>
      <c r="K59" s="344"/>
      <c r="L59" s="344"/>
      <c r="M59" s="344"/>
      <c r="O59" s="2"/>
    </row>
    <row r="60" spans="2:15" ht="49.5" customHeight="1" x14ac:dyDescent="0.25">
      <c r="B60" s="2"/>
      <c r="D60" s="359" t="s">
        <v>35</v>
      </c>
      <c r="E60" s="359"/>
      <c r="F60" s="344" t="s">
        <v>1231</v>
      </c>
      <c r="G60" s="344"/>
      <c r="H60" s="344"/>
      <c r="I60" s="344"/>
      <c r="J60" s="344"/>
      <c r="K60" s="344"/>
      <c r="L60" s="344"/>
      <c r="M60" s="344"/>
      <c r="O60" s="2"/>
    </row>
    <row r="61" spans="2:15" ht="41.25" customHeight="1" x14ac:dyDescent="0.25">
      <c r="B61" s="2"/>
      <c r="D61" s="359" t="s">
        <v>36</v>
      </c>
      <c r="E61" s="359"/>
      <c r="F61" s="340" t="s">
        <v>1232</v>
      </c>
      <c r="G61" s="341"/>
      <c r="H61" s="341"/>
      <c r="I61" s="341"/>
      <c r="J61" s="341"/>
      <c r="K61" s="341"/>
      <c r="L61" s="341"/>
      <c r="M61" s="342"/>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43" t="s">
        <v>39</v>
      </c>
      <c r="E71" s="343"/>
      <c r="F71" s="4" t="s">
        <v>46</v>
      </c>
      <c r="G71" s="3">
        <v>1</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24">
        <v>2.9999999999999997E-4</v>
      </c>
      <c r="H75" s="24">
        <v>2.9999999999999997E-4</v>
      </c>
      <c r="I75" s="24">
        <v>1.1999999999999999E-3</v>
      </c>
      <c r="J75" s="24">
        <v>1.2999999999999999E-3</v>
      </c>
      <c r="K75" s="24">
        <v>1.5E-3</v>
      </c>
      <c r="L75" s="24">
        <v>2.5000000000000001E-3</v>
      </c>
      <c r="M75" s="16" t="s">
        <v>500</v>
      </c>
      <c r="O75" s="2"/>
      <c r="AE75" s="3" t="s">
        <v>46</v>
      </c>
      <c r="AF75" s="3">
        <v>1</v>
      </c>
      <c r="AG75" s="3">
        <f>+IF(AF75&gt;=$G$71,1,0)</f>
        <v>1</v>
      </c>
      <c r="AH75" s="3">
        <f>+IF(AG75=0,0,IF(AG75=1,(SUM($AG$75:AG75)-1),1))</f>
        <v>0</v>
      </c>
      <c r="AI75" s="3">
        <f>+IF(AH75=0,0,IF(MOD(AH75,$U$69)=0,1,0))</f>
        <v>0</v>
      </c>
      <c r="AJ75" s="3">
        <f>+IF(AE75=$F$71,1,0)</f>
        <v>1</v>
      </c>
      <c r="AK75" s="3">
        <f>+MAX(AI75:AJ75)</f>
        <v>1</v>
      </c>
    </row>
    <row r="76" spans="2:37" x14ac:dyDescent="0.25">
      <c r="B76" s="2"/>
      <c r="D76" s="360" t="s">
        <v>40</v>
      </c>
      <c r="E76" s="360"/>
      <c r="F76" s="16" t="s">
        <v>500</v>
      </c>
      <c r="G76" s="24">
        <v>1.5E-3</v>
      </c>
      <c r="H76" s="24">
        <v>2.5000000000000001E-3</v>
      </c>
      <c r="I76" s="24">
        <v>4.0000000000000001E-3</v>
      </c>
      <c r="J76" s="24">
        <v>5.0000000000000001E-3</v>
      </c>
      <c r="K76" s="24">
        <v>1.15E-2</v>
      </c>
      <c r="L76" s="24">
        <v>1.2500000000000001E-2</v>
      </c>
      <c r="M76" s="16" t="s">
        <v>500</v>
      </c>
      <c r="O76" s="2"/>
      <c r="AE76" s="3" t="s">
        <v>40</v>
      </c>
      <c r="AF76" s="3">
        <v>2</v>
      </c>
      <c r="AG76" s="3">
        <f t="shared" ref="AG76:AG86" si="0">+IF(AF76&gt;=$G$71,1,0)</f>
        <v>1</v>
      </c>
      <c r="AH76" s="3">
        <f>+IF(AG76=0,0,IF(AG76=1,(SUM($AG$75:AG76)-1),1))</f>
        <v>1</v>
      </c>
      <c r="AI76" s="3">
        <f t="shared" ref="AI76:AI86" si="1">+IF(AH76=0,0,IF(MOD(AH76,$U$69)=0,1,0))</f>
        <v>1</v>
      </c>
      <c r="AJ76" s="3">
        <f t="shared" ref="AJ76:AJ86" si="2">+IF(AE76=$F$71,1,0)</f>
        <v>0</v>
      </c>
      <c r="AK76" s="3">
        <f t="shared" ref="AK76:AK86" si="3">+MAX(AI76:AJ76)</f>
        <v>1</v>
      </c>
    </row>
    <row r="77" spans="2:37" x14ac:dyDescent="0.25">
      <c r="B77" s="2"/>
      <c r="D77" s="360" t="s">
        <v>47</v>
      </c>
      <c r="E77" s="360"/>
      <c r="F77" s="16" t="s">
        <v>500</v>
      </c>
      <c r="G77" s="24">
        <v>1.1800000000000001E-2</v>
      </c>
      <c r="H77" s="24">
        <v>1.2800000000000001E-2</v>
      </c>
      <c r="I77" s="24">
        <v>1.6500000000000001E-2</v>
      </c>
      <c r="J77" s="24">
        <v>1.7500000000000002E-2</v>
      </c>
      <c r="K77" s="24">
        <v>2.4E-2</v>
      </c>
      <c r="L77" s="24">
        <v>2.5000000000000001E-2</v>
      </c>
      <c r="M77" s="16" t="s">
        <v>500</v>
      </c>
      <c r="O77" s="2"/>
      <c r="AE77" s="3" t="s">
        <v>47</v>
      </c>
      <c r="AF77" s="3">
        <v>3</v>
      </c>
      <c r="AG77" s="3">
        <f t="shared" si="0"/>
        <v>1</v>
      </c>
      <c r="AH77" s="3">
        <f>+IF(AG77=0,0,IF(AG77=1,(SUM($AG$75:AG77)-1),1))</f>
        <v>2</v>
      </c>
      <c r="AI77" s="3">
        <f t="shared" si="1"/>
        <v>1</v>
      </c>
      <c r="AJ77" s="3">
        <f t="shared" si="2"/>
        <v>0</v>
      </c>
      <c r="AK77" s="3">
        <f t="shared" si="3"/>
        <v>1</v>
      </c>
    </row>
    <row r="78" spans="2:37" x14ac:dyDescent="0.25">
      <c r="B78" s="2"/>
      <c r="D78" s="360" t="s">
        <v>48</v>
      </c>
      <c r="E78" s="360"/>
      <c r="F78" s="16" t="s">
        <v>500</v>
      </c>
      <c r="G78" s="24">
        <v>2.4299999999999999E-2</v>
      </c>
      <c r="H78" s="24">
        <v>2.53E-2</v>
      </c>
      <c r="I78" s="24">
        <v>3.6499999999999998E-2</v>
      </c>
      <c r="J78" s="24">
        <v>3.7499999999999999E-2</v>
      </c>
      <c r="K78" s="24">
        <v>9.9000000000000005E-2</v>
      </c>
      <c r="L78" s="24">
        <v>0.1</v>
      </c>
      <c r="M78" s="16" t="s">
        <v>500</v>
      </c>
      <c r="O78" s="2"/>
      <c r="AE78" s="3" t="s">
        <v>48</v>
      </c>
      <c r="AF78" s="3">
        <v>4</v>
      </c>
      <c r="AG78" s="3">
        <f t="shared" si="0"/>
        <v>1</v>
      </c>
      <c r="AH78" s="3">
        <f>+IF(AG78=0,0,IF(AG78=1,(SUM($AG$75:AG78)-1),1))</f>
        <v>3</v>
      </c>
      <c r="AI78" s="3">
        <f t="shared" si="1"/>
        <v>1</v>
      </c>
      <c r="AJ78" s="3">
        <f t="shared" si="2"/>
        <v>0</v>
      </c>
      <c r="AK78" s="3">
        <f t="shared" si="3"/>
        <v>1</v>
      </c>
    </row>
    <row r="79" spans="2:37" x14ac:dyDescent="0.25">
      <c r="B79" s="2"/>
      <c r="D79" s="360" t="s">
        <v>49</v>
      </c>
      <c r="E79" s="360"/>
      <c r="F79" s="16" t="s">
        <v>500</v>
      </c>
      <c r="G79" s="24">
        <v>9.9000000000000005E-2</v>
      </c>
      <c r="H79" s="24">
        <v>0.1</v>
      </c>
      <c r="I79" s="24">
        <v>0.124</v>
      </c>
      <c r="J79" s="24">
        <v>0.125</v>
      </c>
      <c r="K79" s="24">
        <v>0.17399999999999999</v>
      </c>
      <c r="L79" s="24">
        <v>0.17499999999999999</v>
      </c>
      <c r="M79" s="16" t="s">
        <v>500</v>
      </c>
      <c r="O79" s="2"/>
      <c r="AE79" s="3" t="s">
        <v>49</v>
      </c>
      <c r="AF79" s="3">
        <v>5</v>
      </c>
      <c r="AG79" s="3">
        <f t="shared" si="0"/>
        <v>1</v>
      </c>
      <c r="AH79" s="3">
        <f>+IF(AG79=0,0,IF(AG79=1,(SUM($AG$75:AG79)-1),1))</f>
        <v>4</v>
      </c>
      <c r="AI79" s="3">
        <f t="shared" si="1"/>
        <v>1</v>
      </c>
      <c r="AJ79" s="3">
        <f t="shared" si="2"/>
        <v>0</v>
      </c>
      <c r="AK79" s="3">
        <f t="shared" si="3"/>
        <v>1</v>
      </c>
    </row>
    <row r="80" spans="2:37" x14ac:dyDescent="0.25">
      <c r="B80" s="2"/>
      <c r="D80" s="360" t="s">
        <v>50</v>
      </c>
      <c r="E80" s="360"/>
      <c r="F80" s="16" t="s">
        <v>500</v>
      </c>
      <c r="G80" s="24">
        <v>0.17399999999999999</v>
      </c>
      <c r="H80" s="24">
        <v>0.17499999999999999</v>
      </c>
      <c r="I80" s="24">
        <v>0.19900000000000001</v>
      </c>
      <c r="J80" s="24">
        <v>0.2</v>
      </c>
      <c r="K80" s="24">
        <v>0.249</v>
      </c>
      <c r="L80" s="24">
        <v>0.25</v>
      </c>
      <c r="M80" s="16" t="s">
        <v>500</v>
      </c>
      <c r="O80" s="2"/>
      <c r="AE80" s="3" t="s">
        <v>50</v>
      </c>
      <c r="AF80" s="3">
        <v>6</v>
      </c>
      <c r="AG80" s="3">
        <f t="shared" si="0"/>
        <v>1</v>
      </c>
      <c r="AH80" s="3">
        <f>+IF(AG80=0,0,IF(AG80=1,(SUM($AG$75:AG80)-1),1))</f>
        <v>5</v>
      </c>
      <c r="AI80" s="3">
        <f t="shared" si="1"/>
        <v>1</v>
      </c>
      <c r="AJ80" s="3">
        <f t="shared" si="2"/>
        <v>0</v>
      </c>
      <c r="AK80" s="3">
        <f t="shared" si="3"/>
        <v>1</v>
      </c>
    </row>
    <row r="81" spans="2:37" x14ac:dyDescent="0.25">
      <c r="B81" s="2"/>
      <c r="D81" s="360" t="s">
        <v>53</v>
      </c>
      <c r="E81" s="360"/>
      <c r="F81" s="16" t="s">
        <v>500</v>
      </c>
      <c r="G81" s="24">
        <v>0.249</v>
      </c>
      <c r="H81" s="24">
        <v>0.25</v>
      </c>
      <c r="I81" s="24">
        <v>0.27400000000000002</v>
      </c>
      <c r="J81" s="24">
        <v>0.27500000000000002</v>
      </c>
      <c r="K81" s="24">
        <v>0.34899999999999998</v>
      </c>
      <c r="L81" s="24">
        <v>0.35</v>
      </c>
      <c r="M81" s="16" t="s">
        <v>500</v>
      </c>
      <c r="O81" s="2"/>
      <c r="AE81" s="3" t="s">
        <v>53</v>
      </c>
      <c r="AF81" s="3">
        <v>7</v>
      </c>
      <c r="AG81" s="3">
        <f t="shared" si="0"/>
        <v>1</v>
      </c>
      <c r="AH81" s="3">
        <f>+IF(AG81=0,0,IF(AG81=1,(SUM($AG$75:AG81)-1),1))</f>
        <v>6</v>
      </c>
      <c r="AI81" s="3">
        <f t="shared" si="1"/>
        <v>1</v>
      </c>
      <c r="AJ81" s="3">
        <f t="shared" si="2"/>
        <v>0</v>
      </c>
      <c r="AK81" s="3">
        <f t="shared" si="3"/>
        <v>1</v>
      </c>
    </row>
    <row r="82" spans="2:37" x14ac:dyDescent="0.25">
      <c r="B82" s="2"/>
      <c r="D82" s="360" t="s">
        <v>54</v>
      </c>
      <c r="E82" s="360"/>
      <c r="F82" s="16" t="s">
        <v>500</v>
      </c>
      <c r="G82" s="24">
        <v>0.34899999999999998</v>
      </c>
      <c r="H82" s="24">
        <v>0.35</v>
      </c>
      <c r="I82" s="24">
        <v>0.374</v>
      </c>
      <c r="J82" s="24">
        <v>0.375</v>
      </c>
      <c r="K82" s="24">
        <v>0.39900000000000002</v>
      </c>
      <c r="L82" s="24">
        <v>0.4</v>
      </c>
      <c r="M82" s="16" t="s">
        <v>500</v>
      </c>
      <c r="O82" s="2"/>
      <c r="AE82" s="3" t="s">
        <v>54</v>
      </c>
      <c r="AF82" s="3">
        <v>8</v>
      </c>
      <c r="AG82" s="3">
        <f t="shared" si="0"/>
        <v>1</v>
      </c>
      <c r="AH82" s="3">
        <f>+IF(AG82=0,0,IF(AG82=1,(SUM($AG$75:AG82)-1),1))</f>
        <v>7</v>
      </c>
      <c r="AI82" s="3">
        <f t="shared" si="1"/>
        <v>1</v>
      </c>
      <c r="AJ82" s="3">
        <f t="shared" si="2"/>
        <v>0</v>
      </c>
      <c r="AK82" s="3">
        <f t="shared" si="3"/>
        <v>1</v>
      </c>
    </row>
    <row r="83" spans="2:37" x14ac:dyDescent="0.25">
      <c r="B83" s="2"/>
      <c r="D83" s="360" t="s">
        <v>55</v>
      </c>
      <c r="E83" s="360"/>
      <c r="F83" s="16" t="s">
        <v>500</v>
      </c>
      <c r="G83" s="24">
        <v>0.39900000000000002</v>
      </c>
      <c r="H83" s="24">
        <v>0.4</v>
      </c>
      <c r="I83" s="24">
        <v>0.42399999999999999</v>
      </c>
      <c r="J83" s="24">
        <v>0.42499999999999999</v>
      </c>
      <c r="K83" s="24">
        <v>0.499</v>
      </c>
      <c r="L83" s="24">
        <v>0.5</v>
      </c>
      <c r="M83" s="16" t="s">
        <v>500</v>
      </c>
      <c r="O83" s="2"/>
      <c r="AE83" s="3" t="s">
        <v>55</v>
      </c>
      <c r="AF83" s="3">
        <v>9</v>
      </c>
      <c r="AG83" s="3">
        <f t="shared" si="0"/>
        <v>1</v>
      </c>
      <c r="AH83" s="3">
        <f>+IF(AG83=0,0,IF(AG83=1,(SUM($AG$75:AG83)-1),1))</f>
        <v>8</v>
      </c>
      <c r="AI83" s="3">
        <f t="shared" si="1"/>
        <v>1</v>
      </c>
      <c r="AJ83" s="3">
        <f t="shared" si="2"/>
        <v>0</v>
      </c>
      <c r="AK83" s="3">
        <f t="shared" si="3"/>
        <v>1</v>
      </c>
    </row>
    <row r="84" spans="2:37" x14ac:dyDescent="0.25">
      <c r="B84" s="2"/>
      <c r="D84" s="360" t="s">
        <v>56</v>
      </c>
      <c r="E84" s="360"/>
      <c r="F84" s="16" t="s">
        <v>500</v>
      </c>
      <c r="G84" s="24">
        <v>0.499</v>
      </c>
      <c r="H84" s="24">
        <v>0.5</v>
      </c>
      <c r="I84" s="24">
        <v>0.52400000000000002</v>
      </c>
      <c r="J84" s="24">
        <v>0.52500000000000002</v>
      </c>
      <c r="K84" s="24">
        <v>0.61899999999999999</v>
      </c>
      <c r="L84" s="24">
        <v>0.62</v>
      </c>
      <c r="M84" s="16" t="s">
        <v>500</v>
      </c>
      <c r="O84" s="2"/>
      <c r="AE84" s="3" t="s">
        <v>56</v>
      </c>
      <c r="AF84" s="3">
        <v>10</v>
      </c>
      <c r="AG84" s="3">
        <f t="shared" si="0"/>
        <v>1</v>
      </c>
      <c r="AH84" s="3">
        <f>+IF(AG84=0,0,IF(AG84=1,(SUM($AG$75:AG84)-1),1))</f>
        <v>9</v>
      </c>
      <c r="AI84" s="3">
        <f t="shared" si="1"/>
        <v>1</v>
      </c>
      <c r="AJ84" s="3">
        <f t="shared" si="2"/>
        <v>0</v>
      </c>
      <c r="AK84" s="3">
        <f t="shared" si="3"/>
        <v>1</v>
      </c>
    </row>
    <row r="85" spans="2:37" x14ac:dyDescent="0.25">
      <c r="B85" s="2"/>
      <c r="D85" s="360" t="s">
        <v>57</v>
      </c>
      <c r="E85" s="360"/>
      <c r="F85" s="16" t="s">
        <v>500</v>
      </c>
      <c r="G85" s="24">
        <v>0.624</v>
      </c>
      <c r="H85" s="24">
        <v>0.625</v>
      </c>
      <c r="I85" s="24">
        <v>0.64900000000000002</v>
      </c>
      <c r="J85" s="24">
        <v>0.65</v>
      </c>
      <c r="K85" s="24">
        <v>0.749</v>
      </c>
      <c r="L85" s="24">
        <v>0.75</v>
      </c>
      <c r="M85" s="16" t="s">
        <v>500</v>
      </c>
      <c r="O85" s="2"/>
      <c r="AE85" s="3" t="s">
        <v>57</v>
      </c>
      <c r="AF85" s="3">
        <v>11</v>
      </c>
      <c r="AG85" s="3">
        <f t="shared" si="0"/>
        <v>1</v>
      </c>
      <c r="AH85" s="3">
        <f>+IF(AG85=0,0,IF(AG85=1,(SUM($AG$75:AG85)-1),1))</f>
        <v>10</v>
      </c>
      <c r="AI85" s="3">
        <f t="shared" si="1"/>
        <v>1</v>
      </c>
      <c r="AJ85" s="3">
        <f t="shared" si="2"/>
        <v>0</v>
      </c>
      <c r="AK85" s="3">
        <f t="shared" si="3"/>
        <v>1</v>
      </c>
    </row>
    <row r="86" spans="2:37" x14ac:dyDescent="0.25">
      <c r="B86" s="2"/>
      <c r="D86" s="360" t="s">
        <v>58</v>
      </c>
      <c r="E86" s="360"/>
      <c r="F86" s="16" t="s">
        <v>500</v>
      </c>
      <c r="G86" s="24">
        <v>0.749</v>
      </c>
      <c r="H86" s="24">
        <v>0.75</v>
      </c>
      <c r="I86" s="24">
        <v>0.82399999999999995</v>
      </c>
      <c r="J86" s="24">
        <v>0.82499999999999996</v>
      </c>
      <c r="K86" s="24">
        <v>0.999</v>
      </c>
      <c r="L86" s="16" t="s">
        <v>500</v>
      </c>
      <c r="M86" s="16">
        <v>1</v>
      </c>
      <c r="O86" s="2"/>
      <c r="AE86" s="3" t="s">
        <v>58</v>
      </c>
      <c r="AF86" s="65">
        <v>12</v>
      </c>
      <c r="AG86" s="3">
        <f t="shared" si="0"/>
        <v>1</v>
      </c>
      <c r="AH86" s="3">
        <f>+IF(AG86=0,0,IF(AG86=1,(SUM($AG$75:AG86)-1),1))</f>
        <v>11</v>
      </c>
      <c r="AI86" s="3">
        <f t="shared" si="1"/>
        <v>1</v>
      </c>
      <c r="AJ86" s="3">
        <f t="shared" si="2"/>
        <v>0</v>
      </c>
      <c r="AK86" s="3">
        <f t="shared" si="3"/>
        <v>1</v>
      </c>
    </row>
    <row r="87" spans="2:37" ht="3.75" customHeight="1" x14ac:dyDescent="0.25">
      <c r="B87" s="2"/>
      <c r="O87" s="2"/>
    </row>
    <row r="88" spans="2:37" ht="66" customHeight="1" x14ac:dyDescent="0.25">
      <c r="B88" s="2"/>
      <c r="D88" s="338" t="s">
        <v>59</v>
      </c>
      <c r="E88" s="339"/>
      <c r="F88" s="340" t="s">
        <v>1228</v>
      </c>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2" customHeight="1" x14ac:dyDescent="0.25">
      <c r="B97" s="2"/>
      <c r="D97" s="359" t="s">
        <v>35</v>
      </c>
      <c r="E97" s="359"/>
      <c r="F97" s="344" t="s">
        <v>1233</v>
      </c>
      <c r="G97" s="344"/>
      <c r="H97" s="344"/>
      <c r="I97" s="344"/>
      <c r="J97" s="344"/>
      <c r="K97" s="344"/>
      <c r="L97" s="344"/>
      <c r="M97" s="344"/>
      <c r="O97" s="2"/>
    </row>
    <row r="98" spans="2:15" ht="42" customHeight="1" x14ac:dyDescent="0.25">
      <c r="B98" s="2"/>
      <c r="D98" s="359" t="s">
        <v>36</v>
      </c>
      <c r="E98" s="359"/>
      <c r="F98" s="344" t="s">
        <v>1568</v>
      </c>
      <c r="G98" s="344"/>
      <c r="H98" s="344"/>
      <c r="I98" s="344"/>
      <c r="J98" s="344"/>
      <c r="K98" s="344"/>
      <c r="L98" s="344"/>
      <c r="M98" s="344"/>
      <c r="O98" s="2"/>
    </row>
    <row r="99" spans="2:15" ht="3.95" customHeight="1" x14ac:dyDescent="0.25">
      <c r="B99" s="2"/>
      <c r="O99" s="2"/>
    </row>
    <row r="100" spans="2:15" ht="58.5" customHeight="1" x14ac:dyDescent="0.25">
      <c r="B100" s="2"/>
      <c r="D100" s="338" t="s">
        <v>62</v>
      </c>
      <c r="E100" s="339"/>
      <c r="F100" s="333"/>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496</v>
      </c>
      <c r="K102" s="20"/>
      <c r="O102" s="2"/>
    </row>
    <row r="103" spans="2:15" ht="19.5" customHeight="1" x14ac:dyDescent="0.25">
      <c r="B103" s="2"/>
      <c r="D103" s="331"/>
      <c r="E103" s="332"/>
      <c r="F103" s="19" t="s">
        <v>66</v>
      </c>
      <c r="G103" s="4" t="s">
        <v>1841</v>
      </c>
      <c r="K103" s="21"/>
      <c r="O103" s="2"/>
    </row>
    <row r="104" spans="2:15" ht="27.75" customHeight="1" x14ac:dyDescent="0.25">
      <c r="B104" s="2"/>
      <c r="D104" s="331"/>
      <c r="E104" s="332"/>
      <c r="F104" s="19" t="s">
        <v>67</v>
      </c>
      <c r="G104" s="333" t="s">
        <v>1840</v>
      </c>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 xml:space="preserve">Jefe Oficina de Cooperación y Convenios </v>
      </c>
      <c r="H108" s="334"/>
      <c r="I108" s="334"/>
      <c r="J108" s="334"/>
      <c r="K108" s="334"/>
      <c r="L108" s="334"/>
      <c r="M108" s="335"/>
      <c r="O108" s="2"/>
    </row>
    <row r="109" spans="2:15" ht="17.25" customHeight="1" x14ac:dyDescent="0.25">
      <c r="B109" s="2"/>
      <c r="D109" s="331"/>
      <c r="E109" s="332"/>
      <c r="F109" s="19" t="s">
        <v>2042</v>
      </c>
      <c r="G109" s="333" t="str">
        <f>+IF(M23="Si","Coordinador(a) Planeación y Sistemas","")</f>
        <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023" priority="31">
      <formula>+IF($F$43="no",1,0)</formula>
    </cfRule>
  </conditionalFormatting>
  <conditionalFormatting sqref="F32:M33">
    <cfRule type="expression" dxfId="1022" priority="30">
      <formula>+IF($Q$30="NA",1,0)</formula>
    </cfRule>
  </conditionalFormatting>
  <conditionalFormatting sqref="F33:M33">
    <cfRule type="expression" dxfId="1021" priority="29">
      <formula>+IF($Q$33=0,1,0)</formula>
    </cfRule>
  </conditionalFormatting>
  <conditionalFormatting sqref="F47:M47">
    <cfRule type="expression" dxfId="1020" priority="28">
      <formula>+IF($Q$47=0,1,0)</formula>
    </cfRule>
  </conditionalFormatting>
  <conditionalFormatting sqref="F73:G73">
    <cfRule type="cellIs" dxfId="1019" priority="14" operator="equal">
      <formula>"optimo"</formula>
    </cfRule>
    <cfRule type="cellIs" dxfId="1018" priority="15" operator="equal">
      <formula>"critico"</formula>
    </cfRule>
  </conditionalFormatting>
  <conditionalFormatting sqref="H73:I73">
    <cfRule type="cellIs" dxfId="1017" priority="12" operator="equal">
      <formula>"Adecuado"</formula>
    </cfRule>
    <cfRule type="cellIs" dxfId="1016" priority="13" operator="equal">
      <formula>"en riesgo"</formula>
    </cfRule>
  </conditionalFormatting>
  <conditionalFormatting sqref="J73:K73">
    <cfRule type="cellIs" dxfId="1015" priority="10" operator="equal">
      <formula>"Adecuado"</formula>
    </cfRule>
    <cfRule type="cellIs" dxfId="1014" priority="11" operator="equal">
      <formula>"en riesgo"</formula>
    </cfRule>
  </conditionalFormatting>
  <conditionalFormatting sqref="L73:M73">
    <cfRule type="cellIs" dxfId="1013" priority="8" operator="equal">
      <formula>"optimo"</formula>
    </cfRule>
    <cfRule type="cellIs" dxfId="1012" priority="9" operator="equal">
      <formula>"critico"</formula>
    </cfRule>
  </conditionalFormatting>
  <conditionalFormatting sqref="F75:M86">
    <cfRule type="expression" dxfId="1011" priority="7">
      <formula>+IF($AK75=0,1)</formula>
    </cfRule>
  </conditionalFormatting>
  <conditionalFormatting sqref="F103:G104">
    <cfRule type="expression" dxfId="1010" priority="6">
      <formula>+IF($G$102="No",1,0)</formula>
    </cfRule>
  </conditionalFormatting>
  <conditionalFormatting sqref="F51">
    <cfRule type="expression" dxfId="1009" priority="5">
      <formula>+IF($F$43="no",1,0)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9">
    <tabColor rgb="FF0070C0"/>
  </sheetPr>
  <dimension ref="B1:AV113"/>
  <sheetViews>
    <sheetView topLeftCell="A49" zoomScaleNormal="100" workbookViewId="0">
      <selection activeCell="G81" sqref="G81"/>
    </sheetView>
  </sheetViews>
  <sheetFormatPr baseColWidth="10" defaultRowHeight="12.75" x14ac:dyDescent="0.25"/>
  <cols>
    <col min="1" max="1" width="1.140625" style="104" customWidth="1"/>
    <col min="2" max="2" width="0.5703125" style="104" customWidth="1"/>
    <col min="3" max="3" width="1.42578125" style="104" customWidth="1"/>
    <col min="4" max="4" width="11" style="104" customWidth="1"/>
    <col min="5" max="13" width="11.42578125" style="104" customWidth="1"/>
    <col min="14" max="14" width="1.42578125" style="104" customWidth="1"/>
    <col min="15" max="15" width="0.5703125" style="104" customWidth="1"/>
    <col min="16" max="16" width="11.42578125" style="105"/>
    <col min="17" max="18" width="11.42578125" style="105" customWidth="1"/>
    <col min="19" max="19" width="11.42578125" style="105"/>
    <col min="20" max="20" width="2.7109375" style="105" customWidth="1"/>
    <col min="21" max="21" width="11.42578125" style="105"/>
    <col min="22" max="22" width="2.7109375" style="105" customWidth="1"/>
    <col min="23" max="23" width="11.42578125" style="105"/>
    <col min="24" max="24" width="2.7109375" style="105" customWidth="1"/>
    <col min="25" max="25" width="11.42578125" style="105"/>
    <col min="26" max="26" width="2.7109375" style="105" customWidth="1"/>
    <col min="27" max="27" width="11.42578125" style="105"/>
    <col min="28" max="28" width="2.7109375" style="105" customWidth="1"/>
    <col min="29" max="31" width="11.42578125" style="105"/>
    <col min="32" max="37" width="3.140625" style="105" customWidth="1"/>
    <col min="38" max="45" width="7.42578125" style="105" customWidth="1"/>
    <col min="46" max="48" width="11.42578125" style="105"/>
    <col min="49" max="16384" width="11.42578125" style="104"/>
  </cols>
  <sheetData>
    <row r="1" spans="2:19" ht="3.95" customHeight="1" x14ac:dyDescent="0.25"/>
    <row r="2" spans="2:19" ht="3.95" customHeight="1" x14ac:dyDescent="0.25">
      <c r="B2" s="106"/>
      <c r="C2" s="106"/>
      <c r="D2" s="106"/>
      <c r="E2" s="106"/>
      <c r="F2" s="106"/>
      <c r="G2" s="106"/>
      <c r="H2" s="106"/>
      <c r="I2" s="106"/>
      <c r="J2" s="106"/>
      <c r="K2" s="106"/>
      <c r="L2" s="106"/>
      <c r="M2" s="106"/>
      <c r="N2" s="106"/>
      <c r="O2" s="106"/>
    </row>
    <row r="3" spans="2:19" ht="20.25" customHeight="1" x14ac:dyDescent="0.25">
      <c r="B3" s="106"/>
      <c r="C3" s="411" t="s">
        <v>0</v>
      </c>
      <c r="D3" s="411"/>
      <c r="E3" s="411"/>
      <c r="F3" s="411"/>
      <c r="G3" s="411"/>
      <c r="H3" s="411"/>
      <c r="I3" s="411"/>
      <c r="J3" s="411"/>
      <c r="K3" s="411"/>
      <c r="L3" s="411"/>
      <c r="M3" s="411"/>
      <c r="N3" s="411"/>
      <c r="O3" s="106"/>
    </row>
    <row r="4" spans="2:19" ht="20.25" customHeight="1" x14ac:dyDescent="0.25">
      <c r="B4" s="106"/>
      <c r="C4" s="411"/>
      <c r="D4" s="411"/>
      <c r="E4" s="411"/>
      <c r="F4" s="411"/>
      <c r="G4" s="411"/>
      <c r="H4" s="411"/>
      <c r="I4" s="411"/>
      <c r="J4" s="411"/>
      <c r="K4" s="411"/>
      <c r="L4" s="411"/>
      <c r="M4" s="411"/>
      <c r="N4" s="411"/>
      <c r="O4" s="106"/>
      <c r="Q4" s="3"/>
      <c r="R4" s="3"/>
      <c r="S4" s="105" t="s">
        <v>1</v>
      </c>
    </row>
    <row r="5" spans="2:19" ht="20.25" customHeight="1" x14ac:dyDescent="0.25">
      <c r="B5" s="106"/>
      <c r="C5" s="411"/>
      <c r="D5" s="411"/>
      <c r="E5" s="411"/>
      <c r="F5" s="411"/>
      <c r="G5" s="411"/>
      <c r="H5" s="411"/>
      <c r="I5" s="411"/>
      <c r="J5" s="411"/>
      <c r="K5" s="411"/>
      <c r="L5" s="411"/>
      <c r="M5" s="411"/>
      <c r="N5" s="411"/>
      <c r="O5" s="106"/>
      <c r="S5" s="105" t="s">
        <v>2</v>
      </c>
    </row>
    <row r="6" spans="2:19" ht="3" customHeight="1" x14ac:dyDescent="0.25">
      <c r="B6" s="106"/>
      <c r="C6" s="106"/>
      <c r="D6" s="106"/>
      <c r="E6" s="106"/>
      <c r="F6" s="106"/>
      <c r="G6" s="106"/>
      <c r="H6" s="106"/>
      <c r="I6" s="106"/>
      <c r="J6" s="106"/>
      <c r="K6" s="106"/>
      <c r="L6" s="106"/>
      <c r="M6" s="106"/>
      <c r="N6" s="106"/>
      <c r="O6" s="106"/>
    </row>
    <row r="7" spans="2:19" ht="3" customHeight="1" x14ac:dyDescent="0.25"/>
    <row r="8" spans="2:19" ht="3.95" customHeight="1" x14ac:dyDescent="0.25">
      <c r="B8" s="106"/>
      <c r="C8" s="106"/>
      <c r="D8" s="106"/>
      <c r="E8" s="106"/>
      <c r="F8" s="106"/>
      <c r="G8" s="106"/>
      <c r="H8" s="106"/>
      <c r="I8" s="106"/>
      <c r="J8" s="106"/>
      <c r="K8" s="106"/>
      <c r="L8" s="106"/>
      <c r="M8" s="106"/>
      <c r="N8" s="106"/>
      <c r="O8" s="106"/>
    </row>
    <row r="9" spans="2:19" ht="3.95" customHeight="1" x14ac:dyDescent="0.25">
      <c r="B9" s="106"/>
      <c r="O9" s="106"/>
    </row>
    <row r="10" spans="2:19" ht="15.75" customHeight="1" x14ac:dyDescent="0.25">
      <c r="B10" s="106"/>
      <c r="D10" s="387" t="s">
        <v>3</v>
      </c>
      <c r="E10" s="387"/>
      <c r="F10" s="107">
        <v>2015</v>
      </c>
      <c r="G10" s="108" t="s">
        <v>4</v>
      </c>
      <c r="H10" s="107" t="s">
        <v>1362</v>
      </c>
      <c r="O10" s="106"/>
    </row>
    <row r="11" spans="2:19" ht="3.95" customHeight="1" x14ac:dyDescent="0.25">
      <c r="B11" s="106"/>
      <c r="D11" s="109"/>
      <c r="O11" s="106"/>
    </row>
    <row r="12" spans="2:19" ht="36" customHeight="1" x14ac:dyDescent="0.25">
      <c r="B12" s="106"/>
      <c r="D12" s="378" t="s">
        <v>5</v>
      </c>
      <c r="E12" s="379"/>
      <c r="F12" s="389" t="s">
        <v>1355</v>
      </c>
      <c r="G12" s="390"/>
      <c r="H12" s="390"/>
      <c r="I12" s="390"/>
      <c r="J12" s="390"/>
      <c r="K12" s="390"/>
      <c r="L12" s="390"/>
      <c r="M12" s="391"/>
      <c r="O12" s="106"/>
      <c r="Q12" s="110" t="s">
        <v>1977</v>
      </c>
      <c r="S12" s="111">
        <v>154</v>
      </c>
    </row>
    <row r="13" spans="2:19" ht="3.95" customHeight="1" x14ac:dyDescent="0.25">
      <c r="B13" s="106"/>
      <c r="O13" s="106"/>
    </row>
    <row r="14" spans="2:19" ht="38.25" customHeight="1" x14ac:dyDescent="0.25">
      <c r="B14" s="106"/>
      <c r="D14" s="378" t="s">
        <v>6</v>
      </c>
      <c r="E14" s="379"/>
      <c r="F14" s="389" t="s">
        <v>1327</v>
      </c>
      <c r="G14" s="390"/>
      <c r="H14" s="390"/>
      <c r="I14" s="390"/>
      <c r="J14" s="390"/>
      <c r="K14" s="390"/>
      <c r="L14" s="390"/>
      <c r="M14" s="391"/>
      <c r="O14" s="106"/>
    </row>
    <row r="15" spans="2:19" ht="3.95" customHeight="1" x14ac:dyDescent="0.25">
      <c r="B15" s="106"/>
      <c r="O15" s="106"/>
    </row>
    <row r="16" spans="2:19" ht="3" customHeight="1" x14ac:dyDescent="0.25">
      <c r="B16" s="106"/>
      <c r="C16" s="106"/>
      <c r="D16" s="106"/>
      <c r="E16" s="106"/>
      <c r="F16" s="106"/>
      <c r="G16" s="106"/>
      <c r="H16" s="106"/>
      <c r="I16" s="106"/>
      <c r="J16" s="106"/>
      <c r="K16" s="106"/>
      <c r="L16" s="106"/>
      <c r="M16" s="106"/>
      <c r="N16" s="106"/>
      <c r="O16" s="106"/>
    </row>
    <row r="17" spans="2:17" ht="3" customHeight="1" x14ac:dyDescent="0.25"/>
    <row r="18" spans="2:17" ht="3" customHeight="1" x14ac:dyDescent="0.25">
      <c r="B18" s="106"/>
      <c r="C18" s="106"/>
      <c r="D18" s="106"/>
      <c r="E18" s="106"/>
      <c r="F18" s="106"/>
      <c r="G18" s="106"/>
      <c r="H18" s="106"/>
      <c r="I18" s="106"/>
      <c r="J18" s="106"/>
      <c r="K18" s="106"/>
      <c r="L18" s="106"/>
      <c r="M18" s="106"/>
      <c r="N18" s="106"/>
      <c r="O18" s="106"/>
    </row>
    <row r="19" spans="2:17" ht="3.95" customHeight="1" x14ac:dyDescent="0.25">
      <c r="B19" s="106"/>
      <c r="O19" s="106"/>
    </row>
    <row r="20" spans="2:17" x14ac:dyDescent="0.25">
      <c r="B20" s="106"/>
      <c r="D20" s="112" t="s">
        <v>7</v>
      </c>
      <c r="O20" s="106"/>
    </row>
    <row r="21" spans="2:17" ht="3.95" customHeight="1" x14ac:dyDescent="0.25">
      <c r="B21" s="106"/>
      <c r="O21" s="106"/>
    </row>
    <row r="22" spans="2:17" ht="18.75" customHeight="1" x14ac:dyDescent="0.25">
      <c r="B22" s="106"/>
      <c r="D22" s="387" t="s">
        <v>8</v>
      </c>
      <c r="E22" s="387"/>
      <c r="F22" s="113" t="s">
        <v>1978</v>
      </c>
      <c r="G22" s="387" t="s">
        <v>9</v>
      </c>
      <c r="H22" s="387"/>
      <c r="I22" s="114">
        <f>+IFERROR(VLOOKUP($S$12,[1]Hoja1!$B$5:$AT$190,19,FALSE),"")</f>
        <v>1</v>
      </c>
      <c r="K22" s="387" t="s">
        <v>10</v>
      </c>
      <c r="L22" s="387"/>
      <c r="M22" s="115" t="str">
        <f>+IFERROR(VLOOKUP($S$12,[1]Hoja1!$B$5:$AT$190,22,FALSE),"")</f>
        <v>Si</v>
      </c>
      <c r="O22" s="106"/>
    </row>
    <row r="23" spans="2:17" ht="19.5" customHeight="1" x14ac:dyDescent="0.25">
      <c r="B23" s="106"/>
      <c r="D23" s="387" t="s">
        <v>11</v>
      </c>
      <c r="E23" s="387"/>
      <c r="F23" s="107" t="str">
        <f>+IFERROR(VLOOKUP($S$12,[1]Hoja1!$B$5:$AT$190,33,FALSE),"")</f>
        <v>Mensual</v>
      </c>
      <c r="G23" s="387" t="s">
        <v>12</v>
      </c>
      <c r="H23" s="387"/>
      <c r="I23" s="107" t="str">
        <f>+IFERROR(VLOOKUP($S$12,[1]Hoja1!$B$5:$AT$190,21,FALSE),"")</f>
        <v>Porcentaje</v>
      </c>
      <c r="K23" s="387" t="s">
        <v>13</v>
      </c>
      <c r="L23" s="387"/>
      <c r="M23" s="115" t="str">
        <f>+IFERROR(VLOOKUP($S$12,[1]Hoja1!$B$5:$AT$190,23,FALSE),"")</f>
        <v>No</v>
      </c>
      <c r="O23" s="106"/>
    </row>
    <row r="24" spans="2:17" ht="20.100000000000001" customHeight="1" x14ac:dyDescent="0.25">
      <c r="B24" s="106"/>
      <c r="D24" s="387" t="s">
        <v>14</v>
      </c>
      <c r="E24" s="387"/>
      <c r="F24" s="107" t="s">
        <v>498</v>
      </c>
      <c r="G24" s="387" t="s">
        <v>15</v>
      </c>
      <c r="H24" s="387"/>
      <c r="I24" s="107" t="s">
        <v>103</v>
      </c>
      <c r="K24" s="387" t="s">
        <v>16</v>
      </c>
      <c r="L24" s="387"/>
      <c r="M24" s="115" t="str">
        <f>+IFERROR(VLOOKUP($S$12,[1]Hoja1!$B$5:$AT$190,24,FALSE),"")</f>
        <v>No</v>
      </c>
      <c r="O24" s="106"/>
    </row>
    <row r="25" spans="2:17" ht="20.100000000000001" customHeight="1" x14ac:dyDescent="0.25">
      <c r="B25" s="106"/>
      <c r="D25" s="387" t="s">
        <v>17</v>
      </c>
      <c r="E25" s="387"/>
      <c r="F25" s="107" t="str">
        <f>+IFERROR(VLOOKUP($S$12,[1]Hoja1!$B$5:$AT$190,18,FALSE),"")</f>
        <v>Eficiencia</v>
      </c>
      <c r="O25" s="106"/>
    </row>
    <row r="26" spans="2:17" ht="3.95" customHeight="1" x14ac:dyDescent="0.25">
      <c r="B26" s="106"/>
      <c r="O26" s="106"/>
    </row>
    <row r="27" spans="2:17" x14ac:dyDescent="0.25">
      <c r="B27" s="106"/>
      <c r="D27" s="112" t="s">
        <v>18</v>
      </c>
      <c r="O27" s="106"/>
    </row>
    <row r="28" spans="2:17" ht="3.95" customHeight="1" x14ac:dyDescent="0.25">
      <c r="B28" s="106"/>
      <c r="O28" s="106"/>
    </row>
    <row r="29" spans="2:17" ht="36" customHeight="1" x14ac:dyDescent="0.25">
      <c r="B29" s="106"/>
      <c r="D29" s="393" t="s">
        <v>19</v>
      </c>
      <c r="E29" s="393"/>
      <c r="F29" s="344" t="s">
        <v>891</v>
      </c>
      <c r="G29" s="344"/>
      <c r="H29" s="344"/>
      <c r="I29" s="344"/>
      <c r="J29" s="344"/>
      <c r="K29" s="344"/>
      <c r="L29" s="344"/>
      <c r="M29" s="344"/>
      <c r="O29" s="106"/>
      <c r="P29" s="105" t="s">
        <v>1993</v>
      </c>
    </row>
    <row r="30" spans="2:17" ht="18" customHeight="1" x14ac:dyDescent="0.25">
      <c r="B30" s="106"/>
      <c r="D30" s="404" t="s">
        <v>21</v>
      </c>
      <c r="E30" s="405"/>
      <c r="F30" s="10" t="s">
        <v>22</v>
      </c>
      <c r="G30" s="349" t="s">
        <v>5</v>
      </c>
      <c r="H30" s="350"/>
      <c r="I30" s="350"/>
      <c r="J30" s="350"/>
      <c r="K30" s="350"/>
      <c r="L30" s="350"/>
      <c r="M30" s="351"/>
      <c r="O30" s="106"/>
      <c r="Q30" s="105" t="str">
        <f>+IFERROR(VLOOKUP(G31,[1]base!$A$9:$C$25,3,FALSE),"")</f>
        <v>NA</v>
      </c>
    </row>
    <row r="31" spans="2:17" ht="24" customHeight="1" x14ac:dyDescent="0.25">
      <c r="B31" s="106"/>
      <c r="D31" s="406"/>
      <c r="E31" s="407"/>
      <c r="F31" s="4" t="s">
        <v>370</v>
      </c>
      <c r="G31" s="340" t="s">
        <v>371</v>
      </c>
      <c r="H31" s="341"/>
      <c r="I31" s="341"/>
      <c r="J31" s="341"/>
      <c r="K31" s="341"/>
      <c r="L31" s="341"/>
      <c r="M31" s="342"/>
      <c r="O31" s="106"/>
    </row>
    <row r="32" spans="2:17" ht="18" customHeight="1" x14ac:dyDescent="0.25">
      <c r="B32" s="106"/>
      <c r="D32" s="404" t="s">
        <v>23</v>
      </c>
      <c r="E32" s="405"/>
      <c r="F32" s="10" t="s">
        <v>22</v>
      </c>
      <c r="G32" s="349" t="s">
        <v>5</v>
      </c>
      <c r="H32" s="350"/>
      <c r="I32" s="350"/>
      <c r="J32" s="350"/>
      <c r="K32" s="350"/>
      <c r="L32" s="350"/>
      <c r="M32" s="351"/>
      <c r="O32" s="106"/>
    </row>
    <row r="33" spans="2:17" ht="24" customHeight="1" x14ac:dyDescent="0.25">
      <c r="B33" s="106"/>
      <c r="D33" s="406"/>
      <c r="E33" s="407"/>
      <c r="F33" s="11" t="s">
        <v>1025</v>
      </c>
      <c r="G33" s="340"/>
      <c r="H33" s="341"/>
      <c r="I33" s="341"/>
      <c r="J33" s="341"/>
      <c r="K33" s="341"/>
      <c r="L33" s="341"/>
      <c r="M33" s="342"/>
      <c r="O33" s="106"/>
      <c r="Q33" s="105" t="str">
        <f>+IFERROR(IF(VLOOKUP(G33,[1]base!$A$26:$C$40,3,FALSE)=F31,1,0),"")</f>
        <v/>
      </c>
    </row>
    <row r="34" spans="2:17" ht="18" customHeight="1" x14ac:dyDescent="0.25">
      <c r="B34" s="106"/>
      <c r="D34" s="404" t="s">
        <v>24</v>
      </c>
      <c r="E34" s="405"/>
      <c r="F34" s="116" t="s">
        <v>22</v>
      </c>
      <c r="G34" s="408" t="s">
        <v>5</v>
      </c>
      <c r="H34" s="409"/>
      <c r="I34" s="409"/>
      <c r="J34" s="409"/>
      <c r="K34" s="409"/>
      <c r="L34" s="409"/>
      <c r="M34" s="410"/>
      <c r="O34" s="106"/>
    </row>
    <row r="35" spans="2:17" ht="37.5" customHeight="1" x14ac:dyDescent="0.25">
      <c r="B35" s="106"/>
      <c r="D35" s="406"/>
      <c r="E35" s="407"/>
      <c r="F35" s="4" t="s">
        <v>1716</v>
      </c>
      <c r="G35" s="340" t="s">
        <v>1592</v>
      </c>
      <c r="H35" s="341"/>
      <c r="I35" s="341"/>
      <c r="J35" s="341"/>
      <c r="K35" s="341"/>
      <c r="L35" s="341"/>
      <c r="M35" s="342"/>
      <c r="O35" s="106"/>
    </row>
    <row r="36" spans="2:17" ht="3.95" customHeight="1" x14ac:dyDescent="0.25">
      <c r="B36" s="106"/>
      <c r="O36" s="106"/>
    </row>
    <row r="37" spans="2:17" ht="3" customHeight="1" x14ac:dyDescent="0.25">
      <c r="B37" s="106"/>
      <c r="C37" s="106"/>
      <c r="D37" s="106"/>
      <c r="E37" s="106"/>
      <c r="F37" s="106"/>
      <c r="G37" s="106"/>
      <c r="H37" s="106"/>
      <c r="I37" s="106"/>
      <c r="J37" s="106"/>
      <c r="K37" s="106"/>
      <c r="L37" s="106"/>
      <c r="M37" s="106"/>
      <c r="N37" s="106"/>
      <c r="O37" s="106"/>
    </row>
    <row r="38" spans="2:17" ht="3" customHeight="1" x14ac:dyDescent="0.25"/>
    <row r="39" spans="2:17" ht="3" customHeight="1" x14ac:dyDescent="0.25">
      <c r="B39" s="106"/>
      <c r="C39" s="106"/>
      <c r="D39" s="106"/>
      <c r="E39" s="106"/>
      <c r="F39" s="106"/>
      <c r="G39" s="106"/>
      <c r="H39" s="106"/>
      <c r="I39" s="106"/>
      <c r="J39" s="106"/>
      <c r="K39" s="106"/>
      <c r="L39" s="106"/>
      <c r="M39" s="106"/>
      <c r="N39" s="106"/>
      <c r="O39" s="106"/>
    </row>
    <row r="40" spans="2:17" ht="3.95" customHeight="1" x14ac:dyDescent="0.25">
      <c r="B40" s="106"/>
      <c r="D40" s="112"/>
      <c r="O40" s="106"/>
    </row>
    <row r="41" spans="2:17" x14ac:dyDescent="0.25">
      <c r="B41" s="106"/>
      <c r="D41" s="112" t="s">
        <v>25</v>
      </c>
      <c r="O41" s="106"/>
    </row>
    <row r="42" spans="2:17" ht="3.95" customHeight="1" x14ac:dyDescent="0.25">
      <c r="B42" s="106"/>
      <c r="O42" s="106"/>
    </row>
    <row r="43" spans="2:17" ht="20.100000000000001" customHeight="1" x14ac:dyDescent="0.25">
      <c r="B43" s="106"/>
      <c r="D43" s="387" t="s">
        <v>26</v>
      </c>
      <c r="E43" s="387"/>
      <c r="F43" s="107" t="s">
        <v>2</v>
      </c>
      <c r="O43" s="106"/>
    </row>
    <row r="44" spans="2:17" ht="18" customHeight="1" x14ac:dyDescent="0.25">
      <c r="B44" s="106"/>
      <c r="D44" s="397" t="s">
        <v>27</v>
      </c>
      <c r="E44" s="398"/>
      <c r="F44" s="118" t="s">
        <v>22</v>
      </c>
      <c r="G44" s="401" t="s">
        <v>5</v>
      </c>
      <c r="H44" s="402"/>
      <c r="I44" s="402"/>
      <c r="J44" s="402"/>
      <c r="K44" s="402"/>
      <c r="L44" s="402"/>
      <c r="M44" s="403"/>
      <c r="O44" s="106"/>
    </row>
    <row r="45" spans="2:17" ht="18" customHeight="1" x14ac:dyDescent="0.25">
      <c r="B45" s="106"/>
      <c r="D45" s="399"/>
      <c r="E45" s="400"/>
      <c r="F45" s="107" t="str">
        <f>+IFERROR(VLOOKUP(G45,[1]base!$A$41:$B$45,2,FALSE),"")</f>
        <v>LP5</v>
      </c>
      <c r="G45" s="389" t="str">
        <f>+IFERROR(VLOOKUP($S$12,[1]Hoja1!$B$5:$AT$190,6,FALSE),"")</f>
        <v>Gestión Financiera</v>
      </c>
      <c r="H45" s="390"/>
      <c r="I45" s="390"/>
      <c r="J45" s="390"/>
      <c r="K45" s="390"/>
      <c r="L45" s="390"/>
      <c r="M45" s="391"/>
      <c r="O45" s="106"/>
      <c r="Q45" s="105" t="str">
        <f>+IFERROR(VLOOKUP(G45,[1]base!$A$41:$C$45,3,FALSE),"")</f>
        <v>financiera</v>
      </c>
    </row>
    <row r="46" spans="2:17" ht="18" customHeight="1" x14ac:dyDescent="0.25">
      <c r="B46" s="106"/>
      <c r="D46" s="397" t="s">
        <v>28</v>
      </c>
      <c r="E46" s="398"/>
      <c r="F46" s="118" t="s">
        <v>22</v>
      </c>
      <c r="G46" s="401" t="s">
        <v>5</v>
      </c>
      <c r="H46" s="402"/>
      <c r="I46" s="402"/>
      <c r="J46" s="402"/>
      <c r="K46" s="402"/>
      <c r="L46" s="402"/>
      <c r="M46" s="403"/>
      <c r="O46" s="106"/>
    </row>
    <row r="47" spans="2:17" ht="18" customHeight="1" x14ac:dyDescent="0.25">
      <c r="B47" s="106"/>
      <c r="D47" s="399"/>
      <c r="E47" s="400"/>
      <c r="F47" s="107" t="str">
        <f>+IFERROR(VLOOKUP(G47,[1]base!$A$46:$B$66,2,FALSE),"")</f>
        <v/>
      </c>
      <c r="G47" s="389"/>
      <c r="H47" s="390"/>
      <c r="I47" s="390"/>
      <c r="J47" s="390"/>
      <c r="K47" s="390"/>
      <c r="L47" s="390"/>
      <c r="M47" s="391"/>
      <c r="O47" s="106"/>
      <c r="Q47" s="105" t="e">
        <f>+IF(VLOOKUP(G47,[1]base!$A$46:$C$66,3,FALSE)=F45,1,0)</f>
        <v>#N/A</v>
      </c>
    </row>
    <row r="48" spans="2:17" ht="18" customHeight="1" x14ac:dyDescent="0.25">
      <c r="B48" s="106"/>
      <c r="D48" s="397" t="s">
        <v>29</v>
      </c>
      <c r="E48" s="398"/>
      <c r="F48" s="118" t="s">
        <v>22</v>
      </c>
      <c r="G48" s="401" t="s">
        <v>5</v>
      </c>
      <c r="H48" s="402"/>
      <c r="I48" s="402"/>
      <c r="J48" s="402"/>
      <c r="K48" s="402"/>
      <c r="L48" s="402"/>
      <c r="M48" s="403"/>
      <c r="O48" s="106"/>
    </row>
    <row r="49" spans="2:15" ht="29.25" customHeight="1" x14ac:dyDescent="0.25">
      <c r="B49" s="106"/>
      <c r="D49" s="399"/>
      <c r="E49" s="400"/>
      <c r="F49" s="119" t="str">
        <f>+IFERROR(VLOOKUP(G49,[1]base!$G$37:$H$47,2,FALSE),"")</f>
        <v>C-310-300-2</v>
      </c>
      <c r="G49" s="389" t="s">
        <v>899</v>
      </c>
      <c r="H49" s="390"/>
      <c r="I49" s="390"/>
      <c r="J49" s="390"/>
      <c r="K49" s="390"/>
      <c r="L49" s="390"/>
      <c r="M49" s="391"/>
      <c r="O49" s="106"/>
    </row>
    <row r="50" spans="2:15" ht="3.95" customHeight="1" x14ac:dyDescent="0.25">
      <c r="B50" s="106"/>
      <c r="O50" s="106"/>
    </row>
    <row r="51" spans="2:15" ht="20.100000000000001" customHeight="1" x14ac:dyDescent="0.25">
      <c r="B51" s="106"/>
      <c r="D51" s="387" t="s">
        <v>31</v>
      </c>
      <c r="E51" s="387"/>
      <c r="F51" s="107" t="str">
        <f>+IFERROR(VLOOKUP($S$12,[1]Hoja1!$B$5:$AT$190,26,FALSE),"")</f>
        <v>No</v>
      </c>
      <c r="G51" s="387" t="s">
        <v>32</v>
      </c>
      <c r="H51" s="387"/>
      <c r="I51" s="120" t="str">
        <f>+IFERROR(IF(F51="No","",VLOOKUP($S$12,[1]Hoja1!$B$5:$AT$190,20,FALSE)),"")</f>
        <v/>
      </c>
      <c r="O51" s="106"/>
    </row>
    <row r="52" spans="2:15" ht="3.95" customHeight="1" x14ac:dyDescent="0.25">
      <c r="B52" s="106"/>
      <c r="O52" s="106"/>
    </row>
    <row r="53" spans="2:15" ht="3" customHeight="1" x14ac:dyDescent="0.25">
      <c r="B53" s="106"/>
      <c r="C53" s="106"/>
      <c r="D53" s="106"/>
      <c r="E53" s="106"/>
      <c r="F53" s="106"/>
      <c r="G53" s="106"/>
      <c r="H53" s="106"/>
      <c r="I53" s="106"/>
      <c r="J53" s="106"/>
      <c r="K53" s="106"/>
      <c r="L53" s="106"/>
      <c r="M53" s="106"/>
      <c r="N53" s="106"/>
      <c r="O53" s="106"/>
    </row>
    <row r="54" spans="2:15" ht="3" customHeight="1" x14ac:dyDescent="0.25"/>
    <row r="55" spans="2:15" ht="3.95" customHeight="1" x14ac:dyDescent="0.25">
      <c r="B55" s="106"/>
      <c r="C55" s="106"/>
      <c r="D55" s="106"/>
      <c r="E55" s="106"/>
      <c r="F55" s="106"/>
      <c r="G55" s="106"/>
      <c r="H55" s="106"/>
      <c r="I55" s="106"/>
      <c r="J55" s="106"/>
      <c r="K55" s="106"/>
      <c r="L55" s="106"/>
      <c r="M55" s="106"/>
      <c r="N55" s="106"/>
      <c r="O55" s="106"/>
    </row>
    <row r="56" spans="2:15" ht="3.95" customHeight="1" x14ac:dyDescent="0.25">
      <c r="B56" s="106"/>
      <c r="O56" s="106"/>
    </row>
    <row r="57" spans="2:15" x14ac:dyDescent="0.25">
      <c r="B57" s="106"/>
      <c r="D57" s="112" t="s">
        <v>33</v>
      </c>
      <c r="O57" s="106"/>
    </row>
    <row r="58" spans="2:15" ht="3.95" customHeight="1" x14ac:dyDescent="0.25">
      <c r="B58" s="106"/>
      <c r="O58" s="106"/>
    </row>
    <row r="59" spans="2:15" ht="30" customHeight="1" x14ac:dyDescent="0.25">
      <c r="B59" s="106"/>
      <c r="D59" s="387" t="s">
        <v>34</v>
      </c>
      <c r="E59" s="387"/>
      <c r="F59" s="370" t="str">
        <f>+IF(F60="","",F60&amp;" / "&amp;F61)</f>
        <v>Recursos Comprometidos / Meta Mensual de Compromisos</v>
      </c>
      <c r="G59" s="370"/>
      <c r="H59" s="370"/>
      <c r="I59" s="370"/>
      <c r="J59" s="370"/>
      <c r="K59" s="370"/>
      <c r="L59" s="370"/>
      <c r="M59" s="370"/>
      <c r="O59" s="106"/>
    </row>
    <row r="60" spans="2:15" ht="30" customHeight="1" x14ac:dyDescent="0.25">
      <c r="B60" s="106"/>
      <c r="D60" s="369" t="s">
        <v>35</v>
      </c>
      <c r="E60" s="369"/>
      <c r="F60" s="370" t="str">
        <f>+IFERROR(VLOOKUP($S$12,[1]Hoja1!$B$5:$AT$190,28,FALSE),"")</f>
        <v>Recursos Comprometidos</v>
      </c>
      <c r="G60" s="370"/>
      <c r="H60" s="370"/>
      <c r="I60" s="370"/>
      <c r="J60" s="370"/>
      <c r="K60" s="370"/>
      <c r="L60" s="370"/>
      <c r="M60" s="370"/>
      <c r="O60" s="106"/>
    </row>
    <row r="61" spans="2:15" ht="30" customHeight="1" x14ac:dyDescent="0.25">
      <c r="B61" s="106"/>
      <c r="D61" s="369" t="s">
        <v>36</v>
      </c>
      <c r="E61" s="369"/>
      <c r="F61" s="389" t="str">
        <f>+IFERROR(VLOOKUP($S$12,[1]Hoja1!$B$5:$AT$190,30,FALSE),"")</f>
        <v>Meta Mensual de Compromisos</v>
      </c>
      <c r="G61" s="390"/>
      <c r="H61" s="390"/>
      <c r="I61" s="390"/>
      <c r="J61" s="390"/>
      <c r="K61" s="390"/>
      <c r="L61" s="390"/>
      <c r="M61" s="391"/>
      <c r="O61" s="106"/>
    </row>
    <row r="62" spans="2:15" ht="3.95" customHeight="1" x14ac:dyDescent="0.25">
      <c r="B62" s="106"/>
      <c r="O62" s="106"/>
    </row>
    <row r="63" spans="2:15" ht="3" customHeight="1" x14ac:dyDescent="0.25">
      <c r="B63" s="106"/>
      <c r="C63" s="106"/>
      <c r="D63" s="106"/>
      <c r="E63" s="106"/>
      <c r="F63" s="106"/>
      <c r="G63" s="106"/>
      <c r="H63" s="106"/>
      <c r="I63" s="106"/>
      <c r="J63" s="106"/>
      <c r="K63" s="106"/>
      <c r="L63" s="106"/>
      <c r="M63" s="106"/>
      <c r="N63" s="106"/>
      <c r="O63" s="106"/>
    </row>
    <row r="64" spans="2:15" x14ac:dyDescent="0.25">
      <c r="M64" s="121" t="s">
        <v>37</v>
      </c>
    </row>
    <row r="65" spans="2:45" ht="3" customHeight="1" x14ac:dyDescent="0.25">
      <c r="B65" s="106"/>
      <c r="C65" s="106"/>
      <c r="D65" s="106"/>
      <c r="E65" s="106"/>
      <c r="F65" s="106"/>
      <c r="G65" s="106"/>
      <c r="H65" s="106"/>
      <c r="I65" s="106"/>
      <c r="J65" s="106"/>
      <c r="K65" s="106"/>
      <c r="L65" s="106"/>
      <c r="M65" s="106"/>
      <c r="N65" s="106"/>
      <c r="O65" s="106"/>
    </row>
    <row r="66" spans="2:45" ht="3.95" customHeight="1" x14ac:dyDescent="0.25">
      <c r="B66" s="106"/>
      <c r="O66" s="106"/>
    </row>
    <row r="67" spans="2:45" x14ac:dyDescent="0.25">
      <c r="B67" s="106"/>
      <c r="D67" s="392" t="s">
        <v>38</v>
      </c>
      <c r="E67" s="392"/>
      <c r="O67" s="106"/>
    </row>
    <row r="68" spans="2:45" ht="3.95" customHeight="1" x14ac:dyDescent="0.25">
      <c r="B68" s="106"/>
      <c r="D68" s="112"/>
      <c r="E68" s="112"/>
      <c r="O68" s="106"/>
    </row>
    <row r="69" spans="2:45" ht="18.75" customHeight="1" x14ac:dyDescent="0.25">
      <c r="B69" s="106"/>
      <c r="O69" s="106"/>
      <c r="Q69" s="122" t="s">
        <v>11</v>
      </c>
      <c r="S69" s="105" t="str">
        <f>+IF(F23=0,"",F23)</f>
        <v>Mensual</v>
      </c>
      <c r="U69" s="105">
        <f>+IFERROR(VLOOKUP(S69,[1]base!$H$23:$I$28,2,FALSE),"")</f>
        <v>1</v>
      </c>
    </row>
    <row r="70" spans="2:45" ht="3.95" customHeight="1" x14ac:dyDescent="0.25">
      <c r="B70" s="106"/>
      <c r="D70" s="112"/>
      <c r="E70" s="112"/>
      <c r="O70" s="106"/>
    </row>
    <row r="71" spans="2:45" ht="18.75" customHeight="1" x14ac:dyDescent="0.25">
      <c r="B71" s="106"/>
      <c r="D71" s="393" t="s">
        <v>39</v>
      </c>
      <c r="E71" s="393"/>
      <c r="F71" s="107" t="s">
        <v>47</v>
      </c>
      <c r="G71" s="105">
        <f>+IFERROR(VLOOKUP(F71,$AE$75:$AF$86,2,FALSE),"")</f>
        <v>3</v>
      </c>
      <c r="O71" s="106"/>
      <c r="Q71" s="122" t="s">
        <v>14</v>
      </c>
      <c r="S71" s="105" t="str">
        <f>+IF(F24=0,"",F24)</f>
        <v>Creciente</v>
      </c>
    </row>
    <row r="72" spans="2:45" ht="3.95" customHeight="1" x14ac:dyDescent="0.25">
      <c r="B72" s="106"/>
      <c r="D72" s="112"/>
      <c r="E72" s="112"/>
      <c r="O72" s="106"/>
    </row>
    <row r="73" spans="2:45" x14ac:dyDescent="0.25">
      <c r="B73" s="106"/>
      <c r="D73" s="394" t="s">
        <v>41</v>
      </c>
      <c r="E73" s="394"/>
      <c r="F73" s="395" t="s">
        <v>42</v>
      </c>
      <c r="G73" s="396"/>
      <c r="H73" s="395" t="s">
        <v>43</v>
      </c>
      <c r="I73" s="396"/>
      <c r="J73" s="395" t="s">
        <v>44</v>
      </c>
      <c r="K73" s="396"/>
      <c r="L73" s="395" t="s">
        <v>45</v>
      </c>
      <c r="M73" s="396"/>
      <c r="O73" s="106"/>
      <c r="S73" s="111">
        <f>+IFERROR(VLOOKUP(S74,$AE$75:$AK$86,7,FALSE),"")</f>
        <v>0</v>
      </c>
      <c r="U73" s="111">
        <f>+IFERROR(VLOOKUP(U74,$AE$75:$AK$86,7,FALSE),"")</f>
        <v>0</v>
      </c>
      <c r="W73" s="111">
        <f>+IFERROR(VLOOKUP(W74,$AE$75:$AK$86,7,FALSE),"")</f>
        <v>1</v>
      </c>
      <c r="Y73" s="111">
        <f>+IFERROR(VLOOKUP(Y74,$AE$75:$AK$86,7,FALSE),"")</f>
        <v>1</v>
      </c>
      <c r="AA73" s="111">
        <f>+IFERROR(VLOOKUP(AA74,$AE$75:$AK$86,7,FALSE),"")</f>
        <v>1</v>
      </c>
      <c r="AC73" s="111">
        <f>+IFERROR(VLOOKUP(AC74,$AE$75:$AK$86,7,FALSE),"")</f>
        <v>1</v>
      </c>
      <c r="AL73" s="388" t="s">
        <v>42</v>
      </c>
      <c r="AM73" s="388"/>
      <c r="AN73" s="388" t="s">
        <v>43</v>
      </c>
      <c r="AO73" s="388"/>
      <c r="AP73" s="388" t="s">
        <v>44</v>
      </c>
      <c r="AQ73" s="388"/>
      <c r="AR73" s="388" t="s">
        <v>45</v>
      </c>
      <c r="AS73" s="388"/>
    </row>
    <row r="74" spans="2:45" x14ac:dyDescent="0.25">
      <c r="B74" s="106"/>
      <c r="D74" s="394"/>
      <c r="E74" s="394"/>
      <c r="F74" s="123" t="str">
        <f>+IF($F$24="Decreciente","Max","Min")</f>
        <v>Min</v>
      </c>
      <c r="G74" s="123" t="str">
        <f>+IF($F$24="Decreciente","MIn","Max")</f>
        <v>Max</v>
      </c>
      <c r="H74" s="123" t="str">
        <f>+IF($F$24="Decreciente","Max","Min")</f>
        <v>Min</v>
      </c>
      <c r="I74" s="123" t="str">
        <f>+IF($F$24="Decreciente","MIn","Max")</f>
        <v>Max</v>
      </c>
      <c r="J74" s="123" t="str">
        <f>+IF($F$24="Decreciente","Max","Min")</f>
        <v>Min</v>
      </c>
      <c r="K74" s="123" t="str">
        <f>+IF($F$24="Decreciente","MIn","Max")</f>
        <v>Max</v>
      </c>
      <c r="L74" s="123" t="str">
        <f>+IF($F$24="Decreciente","Max","Min")</f>
        <v>Min</v>
      </c>
      <c r="M74" s="123" t="str">
        <f>+IF($F$24="Decreciente","MIn","Max")</f>
        <v>Max</v>
      </c>
      <c r="O74" s="106"/>
      <c r="S74" s="124" t="s">
        <v>46</v>
      </c>
      <c r="T74" s="124"/>
      <c r="U74" s="124" t="s">
        <v>40</v>
      </c>
      <c r="V74" s="124"/>
      <c r="W74" s="124" t="s">
        <v>47</v>
      </c>
      <c r="X74" s="124"/>
      <c r="Y74" s="124" t="s">
        <v>48</v>
      </c>
      <c r="Z74" s="124"/>
      <c r="AA74" s="124" t="s">
        <v>49</v>
      </c>
      <c r="AB74" s="124"/>
      <c r="AC74" s="124" t="s">
        <v>50</v>
      </c>
      <c r="AL74" s="125" t="s">
        <v>51</v>
      </c>
      <c r="AM74" s="125" t="s">
        <v>52</v>
      </c>
      <c r="AN74" s="125" t="s">
        <v>51</v>
      </c>
      <c r="AO74" s="125" t="s">
        <v>52</v>
      </c>
      <c r="AP74" s="125" t="s">
        <v>51</v>
      </c>
      <c r="AQ74" s="125" t="s">
        <v>52</v>
      </c>
      <c r="AR74" s="125" t="s">
        <v>51</v>
      </c>
      <c r="AS74" s="125" t="s">
        <v>52</v>
      </c>
    </row>
    <row r="75" spans="2:45" x14ac:dyDescent="0.25">
      <c r="B75" s="106"/>
      <c r="D75" s="386" t="s">
        <v>46</v>
      </c>
      <c r="E75" s="386"/>
      <c r="F75" s="126"/>
      <c r="G75" s="126"/>
      <c r="H75" s="126"/>
      <c r="I75" s="126"/>
      <c r="J75" s="126"/>
      <c r="K75" s="126"/>
      <c r="L75" s="126"/>
      <c r="M75" s="126"/>
      <c r="O75" s="106"/>
      <c r="Q75" s="122" t="s">
        <v>1980</v>
      </c>
      <c r="R75" s="111"/>
      <c r="S75" s="127"/>
      <c r="T75" s="111"/>
      <c r="U75" s="127"/>
      <c r="V75" s="111"/>
      <c r="W75" s="127"/>
      <c r="X75" s="111"/>
      <c r="Y75" s="127"/>
      <c r="Z75" s="111"/>
      <c r="AA75" s="127"/>
      <c r="AB75" s="111"/>
      <c r="AC75" s="127"/>
      <c r="AE75" s="105" t="s">
        <v>46</v>
      </c>
      <c r="AF75" s="105">
        <v>1</v>
      </c>
      <c r="AG75" s="105">
        <f>+IF(AF75&gt;=$G$71,1,0)</f>
        <v>0</v>
      </c>
      <c r="AH75" s="105">
        <f>+IF(AG75=0,0,IF(AG75=1,(SUM($AG$75:AG75)-1),1))</f>
        <v>0</v>
      </c>
      <c r="AI75" s="105">
        <f>+IF(AH75=0,0,IF(MOD(AH75,$U$69)=0,1,0))</f>
        <v>0</v>
      </c>
      <c r="AJ75" s="105">
        <f>+IF(AE75=$F$71,1,0)</f>
        <v>0</v>
      </c>
      <c r="AK75" s="105">
        <f>+MAX(AI75:AJ75)</f>
        <v>0</v>
      </c>
      <c r="AL75" s="128" t="str">
        <f>+""</f>
        <v/>
      </c>
      <c r="AM75" s="128" t="str">
        <f>+IF(AK75=0,"",IF(R78="&gt;",S78+0.001,IF(R78="&lt;",S78-0.001,S78)))</f>
        <v/>
      </c>
      <c r="AN75" s="128" t="str">
        <f>+IF(R77="NA","",IF(AK75=0,"",IF(R78="≥",S78-0.001,IF(R78="≤",S78+0.001,S78))))</f>
        <v/>
      </c>
      <c r="AO75" s="128" t="str">
        <f>IF(R77="NA","",IF(AK75=0,"",IF(R77="&gt;",S77+0.001,IF(R77="&lt;",S77-0.001,S77))))</f>
        <v/>
      </c>
      <c r="AP75" s="128" t="str">
        <f>+IF(R76="NA","",IF(AK75=0,"",IF(R77="≥",S77-0.001,IF(R77="≤",S77+0.001,S77))))</f>
        <v/>
      </c>
      <c r="AQ75" s="128" t="str">
        <f>+IF(R76="NA","",IF(AK75=0,"",IF(R76="&gt;",S76+0.001,IF(R76="&lt;",S76-0.001,S76))))</f>
        <v/>
      </c>
      <c r="AR75" s="128" t="str">
        <f>IF(AK75=0,"",IF(R76="≥",S75-0.001,IF(R76="≤",S75+0.001,"")))</f>
        <v/>
      </c>
      <c r="AS75" s="128" t="str">
        <f>+IF(AK75=0,"",IF(R75="=",S75,""))</f>
        <v/>
      </c>
    </row>
    <row r="76" spans="2:45" x14ac:dyDescent="0.25">
      <c r="B76" s="106"/>
      <c r="D76" s="386" t="s">
        <v>40</v>
      </c>
      <c r="E76" s="386"/>
      <c r="F76" s="126"/>
      <c r="G76" s="126"/>
      <c r="H76" s="126"/>
      <c r="I76" s="126"/>
      <c r="J76" s="126"/>
      <c r="K76" s="126"/>
      <c r="L76" s="126"/>
      <c r="M76" s="126"/>
      <c r="O76" s="106"/>
      <c r="Q76" s="122" t="s">
        <v>1981</v>
      </c>
      <c r="R76" s="111"/>
      <c r="S76" s="127"/>
      <c r="T76" s="111"/>
      <c r="U76" s="127"/>
      <c r="V76" s="111"/>
      <c r="W76" s="127"/>
      <c r="X76" s="111"/>
      <c r="Y76" s="127"/>
      <c r="Z76" s="111"/>
      <c r="AA76" s="127"/>
      <c r="AB76" s="111"/>
      <c r="AC76" s="127"/>
      <c r="AE76" s="105" t="s">
        <v>40</v>
      </c>
      <c r="AF76" s="105">
        <v>2</v>
      </c>
      <c r="AG76" s="105">
        <f t="shared" ref="AG76:AG86" si="0">+IF(AF76&gt;=$G$71,1,0)</f>
        <v>0</v>
      </c>
      <c r="AH76" s="105">
        <f>+IF(AG76=0,0,IF(AG76=1,(SUM($AG$75:AG76)-1),1))</f>
        <v>0</v>
      </c>
      <c r="AI76" s="105">
        <f t="shared" ref="AI76:AI86" si="1">+IF(AH76=0,0,IF(MOD(AH76,$U$69)=0,1,0))</f>
        <v>0</v>
      </c>
      <c r="AJ76" s="105">
        <f t="shared" ref="AJ76:AJ86" si="2">+IF(AE76=$F$71,1,0)</f>
        <v>0</v>
      </c>
      <c r="AK76" s="105">
        <f t="shared" ref="AK76:AK86" si="3">+MAX(AI76:AJ76)</f>
        <v>0</v>
      </c>
      <c r="AL76" s="128" t="str">
        <f>+""</f>
        <v/>
      </c>
      <c r="AM76" s="128" t="str">
        <f>+IF(AK76=0,"",IF(T78="&gt;",U78+0.001,IF(T78="&lt;",U78-0.001,U78)))</f>
        <v/>
      </c>
      <c r="AN76" s="128" t="str">
        <f>+IF(T77="NA","",IF(AK76=0,"",IF(T78="≥",U78-0.001,IF(T78="≤",U78+0.001,U78))))</f>
        <v/>
      </c>
      <c r="AO76" s="128" t="str">
        <f>IF(T77="NA","",IF(AK76=0,"",IF(T77="&gt;",U77+0.001,IF(T77="&lt;",U77-0.001,U77))))</f>
        <v/>
      </c>
      <c r="AP76" s="128" t="str">
        <f>+IF(T76="NA","",IF(AK76=0,"",IF(T77="≥",U77-0.001,IF(T77="≤",U77+0.001,U77))))</f>
        <v/>
      </c>
      <c r="AQ76" s="128" t="str">
        <f>+IF(T76="NA","",IF(AK76=0,"",IF(T76="&gt;",U76+0.001,IF(T76="&lt;",U76-0.001,U76))))</f>
        <v/>
      </c>
      <c r="AR76" s="128" t="str">
        <f>IF(AK76=0,"",IF(T76="≥",U75-0.001,IF(T76="≤",U75+0.001,"")))</f>
        <v/>
      </c>
      <c r="AS76" s="128" t="str">
        <f>+IF(AK76=0,"",IF(T75="=",U75,""))</f>
        <v/>
      </c>
    </row>
    <row r="77" spans="2:45" x14ac:dyDescent="0.25">
      <c r="B77" s="106"/>
      <c r="D77" s="386" t="s">
        <v>47</v>
      </c>
      <c r="E77" s="386"/>
      <c r="F77" s="126"/>
      <c r="G77" s="126">
        <v>0.94</v>
      </c>
      <c r="H77" s="126">
        <v>0.94099999999999995</v>
      </c>
      <c r="I77" s="126">
        <v>0.96899999999999997</v>
      </c>
      <c r="J77" s="126">
        <v>0.97</v>
      </c>
      <c r="K77" s="126">
        <v>0.999</v>
      </c>
      <c r="L77" s="126">
        <v>1</v>
      </c>
      <c r="M77" s="126"/>
      <c r="O77" s="106"/>
      <c r="Q77" s="122" t="s">
        <v>1982</v>
      </c>
      <c r="R77" s="111"/>
      <c r="S77" s="127"/>
      <c r="T77" s="111"/>
      <c r="U77" s="127"/>
      <c r="V77" s="111"/>
      <c r="W77" s="127"/>
      <c r="X77" s="111"/>
      <c r="Y77" s="127"/>
      <c r="Z77" s="111"/>
      <c r="AA77" s="127"/>
      <c r="AB77" s="111"/>
      <c r="AC77" s="127"/>
      <c r="AE77" s="105" t="s">
        <v>47</v>
      </c>
      <c r="AF77" s="105">
        <v>3</v>
      </c>
      <c r="AG77" s="105">
        <f t="shared" si="0"/>
        <v>1</v>
      </c>
      <c r="AH77" s="105">
        <f>+IF(AG77=0,0,IF(AG77=1,(SUM($AG$75:AG77)-1),1))</f>
        <v>0</v>
      </c>
      <c r="AI77" s="105">
        <f t="shared" si="1"/>
        <v>0</v>
      </c>
      <c r="AJ77" s="105">
        <f t="shared" si="2"/>
        <v>1</v>
      </c>
      <c r="AK77" s="105">
        <f t="shared" si="3"/>
        <v>1</v>
      </c>
      <c r="AL77" s="128" t="str">
        <f>+""</f>
        <v/>
      </c>
      <c r="AM77" s="128">
        <f>+IF(AK77=0,"",IF(V78="&gt;",W78+0.001,IF(V78="&lt;",W78-0.001,W78)))</f>
        <v>0</v>
      </c>
      <c r="AN77" s="128">
        <f>+IF(V77="NA","",IF(AK77=0,"",IF(V78="≥",W78-0.001,IF(V78="≤",W78+0.001,W78))))</f>
        <v>0</v>
      </c>
      <c r="AO77" s="128">
        <f>IF(V77="NA","",IF(AK77=0,"",IF(V77="&gt;",W77+0.001,IF(V77="&lt;",W77-0.001,W77))))</f>
        <v>0</v>
      </c>
      <c r="AP77" s="128">
        <f>+IF(V76="NA","",IF(AK77=0,"",IF(V77="≥",W77-0.001,IF(V77="≤",W77+0.001,W77))))</f>
        <v>0</v>
      </c>
      <c r="AQ77" s="128">
        <f>+IF(V76="NA","",IF(AK77=0,"",IF(V76="&gt;",W76+0.001,IF(V76="&lt;",W76-0.001,W76))))</f>
        <v>0</v>
      </c>
      <c r="AR77" s="128" t="str">
        <f>IF(AK77=0,"",IF(V76="≥",W75-0.001,IF(V76="≤",W75+0.001,"")))</f>
        <v/>
      </c>
      <c r="AS77" s="128" t="str">
        <f>+IF(AK77=0,"",IF(V75="=",W75,""))</f>
        <v/>
      </c>
    </row>
    <row r="78" spans="2:45" x14ac:dyDescent="0.25">
      <c r="B78" s="106"/>
      <c r="D78" s="386" t="s">
        <v>48</v>
      </c>
      <c r="E78" s="386"/>
      <c r="F78" s="126"/>
      <c r="G78" s="126">
        <v>0.94</v>
      </c>
      <c r="H78" s="126">
        <v>0.94099999999999995</v>
      </c>
      <c r="I78" s="126">
        <v>0.96899999999999997</v>
      </c>
      <c r="J78" s="126">
        <v>0.97</v>
      </c>
      <c r="K78" s="126">
        <v>0.999</v>
      </c>
      <c r="L78" s="126">
        <v>1</v>
      </c>
      <c r="M78" s="126"/>
      <c r="O78" s="106"/>
      <c r="Q78" s="122" t="s">
        <v>1983</v>
      </c>
      <c r="R78" s="111"/>
      <c r="S78" s="127"/>
      <c r="T78" s="111"/>
      <c r="U78" s="127"/>
      <c r="V78" s="111"/>
      <c r="W78" s="127"/>
      <c r="X78" s="111"/>
      <c r="Y78" s="127"/>
      <c r="Z78" s="111"/>
      <c r="AA78" s="127"/>
      <c r="AB78" s="111"/>
      <c r="AC78" s="127"/>
      <c r="AE78" s="105" t="s">
        <v>48</v>
      </c>
      <c r="AF78" s="105">
        <v>4</v>
      </c>
      <c r="AG78" s="105">
        <f t="shared" si="0"/>
        <v>1</v>
      </c>
      <c r="AH78" s="105">
        <f>+IF(AG78=0,0,IF(AG78=1,(SUM($AG$75:AG78)-1),1))</f>
        <v>1</v>
      </c>
      <c r="AI78" s="105">
        <f t="shared" si="1"/>
        <v>1</v>
      </c>
      <c r="AJ78" s="105">
        <f t="shared" si="2"/>
        <v>0</v>
      </c>
      <c r="AK78" s="105">
        <f t="shared" si="3"/>
        <v>1</v>
      </c>
      <c r="AL78" s="128" t="str">
        <f>+""</f>
        <v/>
      </c>
      <c r="AM78" s="128">
        <f>+IF(AK78=0,"",IF(X78="&gt;",Y78+0.001,IF(X78="&lt;",Y78-0.001,Y78)))</f>
        <v>0</v>
      </c>
      <c r="AN78" s="128">
        <f>+IF(X77="NA","",IF(AK78=0,"",IF(X78="≥",Y78-0.001,IF(X78="≤",Y78+0.001,Y78))))</f>
        <v>0</v>
      </c>
      <c r="AO78" s="128">
        <f>IF(X77="NA","",IF(AK78=0,"",IF(X77="&gt;",Y77+0.001,IF(X77="&lt;",Y77-0.001,Y77))))</f>
        <v>0</v>
      </c>
      <c r="AP78" s="128">
        <f>+IF(X76="NA","",IF(AK78=0,"",IF(X77="≥",Y77-0.001,IF(X77="≤",Y77+0.001,Y77))))</f>
        <v>0</v>
      </c>
      <c r="AQ78" s="128">
        <f>+IF(X76="NA","",IF(AK78=0,"",IF(X76="&gt;",Y76+0.001,IF(X76="&lt;",Y76-0.001,Y76))))</f>
        <v>0</v>
      </c>
      <c r="AR78" s="128" t="str">
        <f>IF(AK78=0,"",IF(X76="≥",Y75-0.001,IF(X76="≤",Y75+0.001,"")))</f>
        <v/>
      </c>
      <c r="AS78" s="128" t="str">
        <f>+IF(AK78=0,"",IF(X75="=",Y75,""))</f>
        <v/>
      </c>
    </row>
    <row r="79" spans="2:45" x14ac:dyDescent="0.25">
      <c r="B79" s="106"/>
      <c r="D79" s="386" t="s">
        <v>49</v>
      </c>
      <c r="E79" s="386"/>
      <c r="F79" s="126"/>
      <c r="G79" s="126">
        <v>0.94</v>
      </c>
      <c r="H79" s="126">
        <v>0.94099999999999995</v>
      </c>
      <c r="I79" s="126">
        <v>0.96899999999999997</v>
      </c>
      <c r="J79" s="126">
        <v>0.97</v>
      </c>
      <c r="K79" s="126">
        <v>0.999</v>
      </c>
      <c r="L79" s="126">
        <v>1</v>
      </c>
      <c r="M79" s="126"/>
      <c r="O79" s="106"/>
      <c r="R79" s="111"/>
      <c r="S79" s="111">
        <f>+IFERROR(VLOOKUP(S80,$AE$75:$AK$86,7,FALSE),"")</f>
        <v>1</v>
      </c>
      <c r="U79" s="111">
        <f>+IFERROR(VLOOKUP(U80,$AE$75:$AK$86,7,FALSE),"")</f>
        <v>1</v>
      </c>
      <c r="W79" s="111">
        <f>+IFERROR(VLOOKUP(W80,$AE$75:$AK$86,7,FALSE),"")</f>
        <v>1</v>
      </c>
      <c r="Y79" s="111">
        <f>+IFERROR(VLOOKUP(Y80,$AE$75:$AK$86,7,FALSE),"")</f>
        <v>1</v>
      </c>
      <c r="AA79" s="111">
        <f>+IFERROR(VLOOKUP(AA80,$AE$75:$AK$86,7,FALSE),"")</f>
        <v>1</v>
      </c>
      <c r="AC79" s="111">
        <f>+IFERROR(VLOOKUP(AC80,$AE$75:$AK$86,7,FALSE),"")</f>
        <v>1</v>
      </c>
      <c r="AE79" s="105" t="s">
        <v>49</v>
      </c>
      <c r="AF79" s="105">
        <v>5</v>
      </c>
      <c r="AG79" s="105">
        <f t="shared" si="0"/>
        <v>1</v>
      </c>
      <c r="AH79" s="105">
        <f>+IF(AG79=0,0,IF(AG79=1,(SUM($AG$75:AG79)-1),1))</f>
        <v>2</v>
      </c>
      <c r="AI79" s="105">
        <f t="shared" si="1"/>
        <v>1</v>
      </c>
      <c r="AJ79" s="105">
        <f t="shared" si="2"/>
        <v>0</v>
      </c>
      <c r="AK79" s="105">
        <f t="shared" si="3"/>
        <v>1</v>
      </c>
      <c r="AL79" s="128" t="str">
        <f>+""</f>
        <v/>
      </c>
      <c r="AM79" s="128">
        <f>+IF(AK79=0,"",IF(Z78="&gt;",AA78+0.001,IF(Z78="&lt;",AA78-0.001,AA78)))</f>
        <v>0</v>
      </c>
      <c r="AN79" s="128">
        <f>+IF(Z77="NA","",IF(AK79=0,"",IF(Z78="≥",AA78-0.001,IF(Z78="≤",AA78+0.001,AA78))))</f>
        <v>0</v>
      </c>
      <c r="AO79" s="128">
        <f>IF(Z77="NA","",IF(AK79=0,"",IF(Z77="&gt;",AA77+0.001,IF(Z77="&lt;",AA77-0.001,AA77))))</f>
        <v>0</v>
      </c>
      <c r="AP79" s="128">
        <f>+IF(Z76="NA","",IF(AK79=0,"",IF(Z77="≥",AA77-0.001,IF(Z77="≤",AA77+0.001,AA77))))</f>
        <v>0</v>
      </c>
      <c r="AQ79" s="128">
        <f>+IF(Z76="NA","",IF(AK79=0,"",IF(Z76="&gt;",AA76+0.001,IF(Z76="&lt;",AA76-0.001,AA76))))</f>
        <v>0</v>
      </c>
      <c r="AR79" s="128" t="str">
        <f>IF(AK79=0,"",IF(Z76="≥",AA75-0.001,IF(Z76="≤",AA75+0.001,"")))</f>
        <v/>
      </c>
      <c r="AS79" s="128" t="str">
        <f>+IF(AK79=0,"",IF(Z75="=",AA75,""))</f>
        <v/>
      </c>
    </row>
    <row r="80" spans="2:45" x14ac:dyDescent="0.25">
      <c r="B80" s="106"/>
      <c r="D80" s="386" t="s">
        <v>50</v>
      </c>
      <c r="E80" s="386"/>
      <c r="F80" s="126"/>
      <c r="G80" s="126">
        <v>0.94</v>
      </c>
      <c r="H80" s="126">
        <v>0.94099999999999995</v>
      </c>
      <c r="I80" s="126">
        <v>0.96899999999999997</v>
      </c>
      <c r="J80" s="126">
        <v>0.97</v>
      </c>
      <c r="K80" s="126">
        <v>0.999</v>
      </c>
      <c r="L80" s="126">
        <v>1</v>
      </c>
      <c r="M80" s="126"/>
      <c r="O80" s="106"/>
      <c r="R80" s="111"/>
      <c r="S80" s="124" t="s">
        <v>53</v>
      </c>
      <c r="T80" s="124"/>
      <c r="U80" s="124" t="s">
        <v>54</v>
      </c>
      <c r="V80" s="124"/>
      <c r="W80" s="124" t="s">
        <v>55</v>
      </c>
      <c r="X80" s="124"/>
      <c r="Y80" s="124" t="s">
        <v>56</v>
      </c>
      <c r="Z80" s="124"/>
      <c r="AA80" s="124" t="s">
        <v>57</v>
      </c>
      <c r="AB80" s="124"/>
      <c r="AC80" s="124" t="s">
        <v>58</v>
      </c>
      <c r="AE80" s="105" t="s">
        <v>50</v>
      </c>
      <c r="AF80" s="105">
        <v>6</v>
      </c>
      <c r="AG80" s="105">
        <f t="shared" si="0"/>
        <v>1</v>
      </c>
      <c r="AH80" s="105">
        <f>+IF(AG80=0,0,IF(AG80=1,(SUM($AG$75:AG80)-1),1))</f>
        <v>3</v>
      </c>
      <c r="AI80" s="105">
        <f t="shared" si="1"/>
        <v>1</v>
      </c>
      <c r="AJ80" s="105">
        <f t="shared" si="2"/>
        <v>0</v>
      </c>
      <c r="AK80" s="105">
        <f t="shared" si="3"/>
        <v>1</v>
      </c>
      <c r="AL80" s="128" t="str">
        <f>+""</f>
        <v/>
      </c>
      <c r="AM80" s="128">
        <f>+IF(AK80=0,"",IF(AB78="&gt;",AC78+0.001,IF(AB78="&lt;",AC78-0.001,AC78)))</f>
        <v>0</v>
      </c>
      <c r="AN80" s="128">
        <f>+IF(AB77="NA","",IF(AK80=0,"",IF(AB78="≥",AC78-0.001,IF(AB78="≤",AC78+0.001,AC78))))</f>
        <v>0</v>
      </c>
      <c r="AO80" s="128">
        <f>IF(AB77="NA","",IF(AK80=0,"",IF(AB77="&gt;",AC77+0.001,IF(AB77="&lt;",AC77-0.001,AC77))))</f>
        <v>0</v>
      </c>
      <c r="AP80" s="128">
        <f>+IF(AB76="NA","",IF(AK80=0,"",IF(AB77="≥",AC77-0.001,IF(AB77="≤",AC77+0.001,AC77))))</f>
        <v>0</v>
      </c>
      <c r="AQ80" s="128">
        <f>+IF(AB76="NA","",IF(AK80=0,"",IF(AB76="&gt;",AC76+0.001,IF(AB76="&lt;",AC76-0.001,AC76))))</f>
        <v>0</v>
      </c>
      <c r="AR80" s="128" t="str">
        <f>IF(AK80=0,"",IF(AB76="≥",AC75-0.001,IF(AB76="≤",AC75+0.001,"")))</f>
        <v/>
      </c>
      <c r="AS80" s="128" t="str">
        <f>+IF(AK80=0,"",IF(AB75="=",AC75,""))</f>
        <v/>
      </c>
    </row>
    <row r="81" spans="2:45" x14ac:dyDescent="0.25">
      <c r="B81" s="106"/>
      <c r="D81" s="386" t="s">
        <v>53</v>
      </c>
      <c r="E81" s="386"/>
      <c r="F81" s="126"/>
      <c r="G81" s="126">
        <v>0.94</v>
      </c>
      <c r="H81" s="126">
        <v>0.94099999999999995</v>
      </c>
      <c r="I81" s="126">
        <v>0.96899999999999997</v>
      </c>
      <c r="J81" s="126">
        <v>0.97</v>
      </c>
      <c r="K81" s="126">
        <v>0.999</v>
      </c>
      <c r="L81" s="126">
        <v>1</v>
      </c>
      <c r="M81" s="126"/>
      <c r="O81" s="106"/>
      <c r="Q81" s="122" t="s">
        <v>1980</v>
      </c>
      <c r="R81" s="111"/>
      <c r="S81" s="127"/>
      <c r="T81" s="111"/>
      <c r="U81" s="127"/>
      <c r="V81" s="111"/>
      <c r="W81" s="127"/>
      <c r="X81" s="111"/>
      <c r="Y81" s="127"/>
      <c r="Z81" s="111"/>
      <c r="AA81" s="127"/>
      <c r="AB81" s="111"/>
      <c r="AC81" s="127"/>
      <c r="AE81" s="105" t="s">
        <v>53</v>
      </c>
      <c r="AF81" s="105">
        <v>7</v>
      </c>
      <c r="AG81" s="105">
        <f t="shared" si="0"/>
        <v>1</v>
      </c>
      <c r="AH81" s="105">
        <f>+IF(AG81=0,0,IF(AG81=1,(SUM($AG$75:AG81)-1),1))</f>
        <v>4</v>
      </c>
      <c r="AI81" s="105">
        <f t="shared" si="1"/>
        <v>1</v>
      </c>
      <c r="AJ81" s="105">
        <f t="shared" si="2"/>
        <v>0</v>
      </c>
      <c r="AK81" s="105">
        <f t="shared" si="3"/>
        <v>1</v>
      </c>
      <c r="AL81" s="128" t="str">
        <f>+""</f>
        <v/>
      </c>
      <c r="AM81" s="128">
        <f>+IF(AK81=0,"",IF(R84="&gt;",S84+0.001,IF(R84="&lt;",S84-0.001,S84)))</f>
        <v>0</v>
      </c>
      <c r="AN81" s="128">
        <f>+IF(R83="NA","",IF(AK81=0,"",IF(R84="≥",S84-0.001,IF(R84="≤",S84+0.001,S84))))</f>
        <v>0</v>
      </c>
      <c r="AO81" s="128">
        <f>IF(R83="NA","",IF(AK81=0,"",IF(R83="&gt;",S83+0.001,IF(R83="&lt;",S83-0.001,S83))))</f>
        <v>0</v>
      </c>
      <c r="AP81" s="128">
        <f>+IF(R82="NA","",IF(AK81=0,"",IF(R83="≥",S83-0.001,IF(R83="≤",S83+0.001,S83))))</f>
        <v>0</v>
      </c>
      <c r="AQ81" s="128">
        <f>+IF(R82="NA","",IF(AK81=0,"",IF(R82="&gt;",S82+0.001,IF(R82="&lt;",S82-0.001,S82))))</f>
        <v>0</v>
      </c>
      <c r="AR81" s="128" t="str">
        <f>IF(AK81=0,"",IF(R82="≥",S81-0.001,IF(R82="≤",S81+0.001,"")))</f>
        <v/>
      </c>
      <c r="AS81" s="128" t="str">
        <f>+IF(AK81=0,"",IF(R81="=",S81,""))</f>
        <v/>
      </c>
    </row>
    <row r="82" spans="2:45" x14ac:dyDescent="0.25">
      <c r="B82" s="106"/>
      <c r="D82" s="386" t="s">
        <v>54</v>
      </c>
      <c r="E82" s="386"/>
      <c r="F82" s="126"/>
      <c r="G82" s="126">
        <v>0.94</v>
      </c>
      <c r="H82" s="126">
        <v>0.94099999999999995</v>
      </c>
      <c r="I82" s="126">
        <v>0.96899999999999997</v>
      </c>
      <c r="J82" s="126">
        <v>0.97</v>
      </c>
      <c r="K82" s="126">
        <v>0.999</v>
      </c>
      <c r="L82" s="126">
        <v>1</v>
      </c>
      <c r="M82" s="126"/>
      <c r="O82" s="106"/>
      <c r="Q82" s="122" t="s">
        <v>1981</v>
      </c>
      <c r="R82" s="111"/>
      <c r="S82" s="127"/>
      <c r="T82" s="111"/>
      <c r="U82" s="127"/>
      <c r="V82" s="111"/>
      <c r="W82" s="127"/>
      <c r="X82" s="111"/>
      <c r="Y82" s="127"/>
      <c r="Z82" s="111"/>
      <c r="AA82" s="127"/>
      <c r="AB82" s="111"/>
      <c r="AC82" s="127"/>
      <c r="AE82" s="105" t="s">
        <v>54</v>
      </c>
      <c r="AF82" s="105">
        <v>8</v>
      </c>
      <c r="AG82" s="105">
        <f t="shared" si="0"/>
        <v>1</v>
      </c>
      <c r="AH82" s="105">
        <f>+IF(AG82=0,0,IF(AG82=1,(SUM($AG$75:AG82)-1),1))</f>
        <v>5</v>
      </c>
      <c r="AI82" s="105">
        <f t="shared" si="1"/>
        <v>1</v>
      </c>
      <c r="AJ82" s="105">
        <f t="shared" si="2"/>
        <v>0</v>
      </c>
      <c r="AK82" s="105">
        <f t="shared" si="3"/>
        <v>1</v>
      </c>
      <c r="AL82" s="128" t="str">
        <f>+""</f>
        <v/>
      </c>
      <c r="AM82" s="128">
        <f>+IF(AK82=0,"",IF(T84="&gt;",U84+0.001,IF(T84="&lt;",U84-0.001,U84)))</f>
        <v>0</v>
      </c>
      <c r="AN82" s="128">
        <f>+IF(T83="NA","",IF(AK82=0,"",IF(T84="≥",U84-0.001,IF(T84="≤",U84+0.001,U84))))</f>
        <v>0</v>
      </c>
      <c r="AO82" s="128">
        <f>IF(T83="NA","",IF(AK82=0,"",IF(T83="&gt;",U83+0.001,IF(T83="&lt;",U83-0.001,U83))))</f>
        <v>0</v>
      </c>
      <c r="AP82" s="128">
        <f>+IF(T82="NA","",IF(AK82=0,"",IF(T83="≥",U83-0.001,IF(T83="≤",U83+0.001,U83))))</f>
        <v>0</v>
      </c>
      <c r="AQ82" s="128">
        <f>+IF(T82="NA","",IF(AK82=0,"",IF(T82="&gt;",U82+0.001,IF(T82="&lt;",U82-0.001,U82))))</f>
        <v>0</v>
      </c>
      <c r="AR82" s="128" t="str">
        <f>IF(AK82=0,"",IF(T82="≥",U81-0.001,IF(T82="≤",U81+0.001,"")))</f>
        <v/>
      </c>
      <c r="AS82" s="128" t="str">
        <f>+IF(AK82=0,"",IF(T81="=",U81,""))</f>
        <v/>
      </c>
    </row>
    <row r="83" spans="2:45" x14ac:dyDescent="0.25">
      <c r="B83" s="106"/>
      <c r="D83" s="386" t="s">
        <v>55</v>
      </c>
      <c r="E83" s="386"/>
      <c r="F83" s="126"/>
      <c r="G83" s="126">
        <v>0.94</v>
      </c>
      <c r="H83" s="126">
        <v>0.94099999999999995</v>
      </c>
      <c r="I83" s="126">
        <v>0.96899999999999997</v>
      </c>
      <c r="J83" s="126">
        <v>0.97</v>
      </c>
      <c r="K83" s="126">
        <v>0.999</v>
      </c>
      <c r="L83" s="126">
        <v>1</v>
      </c>
      <c r="M83" s="126"/>
      <c r="O83" s="106"/>
      <c r="Q83" s="122" t="s">
        <v>1982</v>
      </c>
      <c r="R83" s="111"/>
      <c r="S83" s="127"/>
      <c r="T83" s="111"/>
      <c r="U83" s="127"/>
      <c r="V83" s="111"/>
      <c r="W83" s="127"/>
      <c r="X83" s="111"/>
      <c r="Y83" s="127"/>
      <c r="Z83" s="111"/>
      <c r="AA83" s="127"/>
      <c r="AB83" s="111"/>
      <c r="AC83" s="127"/>
      <c r="AE83" s="105" t="s">
        <v>55</v>
      </c>
      <c r="AF83" s="105">
        <v>9</v>
      </c>
      <c r="AG83" s="105">
        <f t="shared" si="0"/>
        <v>1</v>
      </c>
      <c r="AH83" s="105">
        <f>+IF(AG83=0,0,IF(AG83=1,(SUM($AG$75:AG83)-1),1))</f>
        <v>6</v>
      </c>
      <c r="AI83" s="105">
        <f t="shared" si="1"/>
        <v>1</v>
      </c>
      <c r="AJ83" s="105">
        <f t="shared" si="2"/>
        <v>0</v>
      </c>
      <c r="AK83" s="105">
        <f t="shared" si="3"/>
        <v>1</v>
      </c>
      <c r="AL83" s="128" t="str">
        <f>+""</f>
        <v/>
      </c>
      <c r="AM83" s="128">
        <f>+IF(AK83=0,"",IF(V84="&gt;",W84+0.001,IF(V84="&lt;",W84-0.001,W84)))</f>
        <v>0</v>
      </c>
      <c r="AN83" s="128">
        <f>+IF(V83="NA","",IF(AK83=0,"",IF(V84="≥",W84-0.001,IF(V84="≤",W84+0.001,W84))))</f>
        <v>0</v>
      </c>
      <c r="AO83" s="128">
        <f>IF(V83="NA","",IF(AK83=0,"",IF(V83="&gt;",W83+0.001,IF(V83="&lt;",W83-0.001,W83))))</f>
        <v>0</v>
      </c>
      <c r="AP83" s="128">
        <f>+IF(V82="NA","",IF(AK83=0,"",IF(V83="≥",W83-0.001,IF(V83="≤",W83+0.001,W83))))</f>
        <v>0</v>
      </c>
      <c r="AQ83" s="128">
        <f>+IF(V82="NA","",IF(AK83=0,"",IF(V82="&gt;",W82+0.001,IF(V82="&lt;",W82-0.001,W82))))</f>
        <v>0</v>
      </c>
      <c r="AR83" s="128" t="str">
        <f>IF(AK83=0,"",IF(V82="≥",W81-0.001,IF(V82="≤",W81+0.001,"")))</f>
        <v/>
      </c>
      <c r="AS83" s="128" t="str">
        <f>+IF(AK83=0,"",IF(V81="=",W81,""))</f>
        <v/>
      </c>
    </row>
    <row r="84" spans="2:45" x14ac:dyDescent="0.25">
      <c r="B84" s="106"/>
      <c r="D84" s="386" t="s">
        <v>56</v>
      </c>
      <c r="E84" s="386"/>
      <c r="F84" s="126"/>
      <c r="G84" s="126">
        <v>0.94</v>
      </c>
      <c r="H84" s="126">
        <v>0.94099999999999995</v>
      </c>
      <c r="I84" s="126">
        <v>0.96899999999999997</v>
      </c>
      <c r="J84" s="126">
        <v>0.97</v>
      </c>
      <c r="K84" s="126">
        <v>0.999</v>
      </c>
      <c r="L84" s="126">
        <v>1</v>
      </c>
      <c r="M84" s="126"/>
      <c r="O84" s="106"/>
      <c r="Q84" s="122" t="s">
        <v>1983</v>
      </c>
      <c r="R84" s="111"/>
      <c r="S84" s="127"/>
      <c r="T84" s="111"/>
      <c r="U84" s="127"/>
      <c r="V84" s="111"/>
      <c r="W84" s="127"/>
      <c r="X84" s="111"/>
      <c r="Y84" s="127"/>
      <c r="Z84" s="111"/>
      <c r="AA84" s="127"/>
      <c r="AB84" s="111"/>
      <c r="AC84" s="127"/>
      <c r="AE84" s="105" t="s">
        <v>56</v>
      </c>
      <c r="AF84" s="105">
        <v>10</v>
      </c>
      <c r="AG84" s="105">
        <f t="shared" si="0"/>
        <v>1</v>
      </c>
      <c r="AH84" s="105">
        <f>+IF(AG84=0,0,IF(AG84=1,(SUM($AG$75:AG84)-1),1))</f>
        <v>7</v>
      </c>
      <c r="AI84" s="105">
        <f t="shared" si="1"/>
        <v>1</v>
      </c>
      <c r="AJ84" s="105">
        <f t="shared" si="2"/>
        <v>0</v>
      </c>
      <c r="AK84" s="105">
        <f t="shared" si="3"/>
        <v>1</v>
      </c>
      <c r="AL84" s="128" t="str">
        <f>+""</f>
        <v/>
      </c>
      <c r="AM84" s="128">
        <f>+IF(AK84=0,"",IF(X84="&gt;",Y84+0.001,IF(X84="&lt;",Y84-0.001,Y84)))</f>
        <v>0</v>
      </c>
      <c r="AN84" s="128">
        <f>+IF(X83="NA","",IF(AK84=0,"",IF(X84="≥",Y84-0.001,IF(X84="≤",Y84+0.001,Y84))))</f>
        <v>0</v>
      </c>
      <c r="AO84" s="128">
        <f>IF(X83="NA","",IF(AK84=0,"",IF(X83="&gt;",Y83+0.001,IF(X83="&lt;",Y83-0.001,Y83))))</f>
        <v>0</v>
      </c>
      <c r="AP84" s="128">
        <f>+IF(X82="NA","",IF(AK84=0,"",IF(X83="≥",Y83-0.001,IF(X83="≤",Y83+0.001,Y83))))</f>
        <v>0</v>
      </c>
      <c r="AQ84" s="128">
        <f>+IF(X82="NA","",IF(AK84=0,"",IF(X82="&gt;",Y82+0.001,IF(X82="&lt;",Y82-0.001,Y82))))</f>
        <v>0</v>
      </c>
      <c r="AR84" s="128" t="str">
        <f>IF(AK84=0,"",IF(X82="≥",Y81-0.001,IF(X82="≤",Y81+0.001,"")))</f>
        <v/>
      </c>
      <c r="AS84" s="128" t="str">
        <f>+IF(AK84=0,"",IF(X81="=",Y81,""))</f>
        <v/>
      </c>
    </row>
    <row r="85" spans="2:45" x14ac:dyDescent="0.25">
      <c r="B85" s="106"/>
      <c r="D85" s="386" t="s">
        <v>57</v>
      </c>
      <c r="E85" s="386"/>
      <c r="F85" s="126"/>
      <c r="G85" s="126">
        <v>0.94</v>
      </c>
      <c r="H85" s="126">
        <v>0.94099999999999995</v>
      </c>
      <c r="I85" s="126">
        <v>0.96899999999999997</v>
      </c>
      <c r="J85" s="126">
        <v>0.97</v>
      </c>
      <c r="K85" s="126">
        <v>0.999</v>
      </c>
      <c r="L85" s="126">
        <v>1</v>
      </c>
      <c r="M85" s="126"/>
      <c r="O85" s="106"/>
      <c r="AE85" s="105" t="s">
        <v>57</v>
      </c>
      <c r="AF85" s="105">
        <v>11</v>
      </c>
      <c r="AG85" s="105">
        <f t="shared" si="0"/>
        <v>1</v>
      </c>
      <c r="AH85" s="105">
        <f>+IF(AG85=0,0,IF(AG85=1,(SUM($AG$75:AG85)-1),1))</f>
        <v>8</v>
      </c>
      <c r="AI85" s="105">
        <f t="shared" si="1"/>
        <v>1</v>
      </c>
      <c r="AJ85" s="105">
        <f t="shared" si="2"/>
        <v>0</v>
      </c>
      <c r="AK85" s="105">
        <f t="shared" si="3"/>
        <v>1</v>
      </c>
      <c r="AL85" s="128" t="str">
        <f>+""</f>
        <v/>
      </c>
      <c r="AM85" s="128">
        <f>+IF(AK85=0,"",IF(Z84="&gt;",AA84+0.001,IF(Z84="&lt;",AA84-0.001,AA84)))</f>
        <v>0</v>
      </c>
      <c r="AN85" s="128">
        <f>+IF(Z83="NA","",IF(AK85=0,"",IF(Z84="≥",AA84-0.001,IF(Z84="≤",AA84+0.001,AA84))))</f>
        <v>0</v>
      </c>
      <c r="AO85" s="128">
        <f>IF(Z83="NA","",IF(AK85=0,"",IF(Z83="&gt;",AA83+0.001,IF(Z83="&lt;",AA83-0.001,AA83))))</f>
        <v>0</v>
      </c>
      <c r="AP85" s="128">
        <f>+IF(Z82="NA","",IF(AK85=0,"",IF(Z83="≥",AA83-0.001,IF(Z83="≤",AA83+0.001,AA83))))</f>
        <v>0</v>
      </c>
      <c r="AQ85" s="128">
        <f>+IF(Z82="NA","",IF(AK85=0,"",IF(Z82="&gt;",AA82+0.001,IF(Z82="&lt;",AA82-0.001,AA82))))</f>
        <v>0</v>
      </c>
      <c r="AR85" s="128" t="str">
        <f>IF(AK85=0,"",IF(Z82="≥",AA81-0.001,IF(Z82="≤",AA81+0.001,"")))</f>
        <v/>
      </c>
      <c r="AS85" s="128" t="str">
        <f>+IF(AK85=0,"",IF(Z81="=",AA81,""))</f>
        <v/>
      </c>
    </row>
    <row r="86" spans="2:45" x14ac:dyDescent="0.25">
      <c r="B86" s="106"/>
      <c r="D86" s="386" t="s">
        <v>58</v>
      </c>
      <c r="E86" s="386"/>
      <c r="F86" s="126"/>
      <c r="G86" s="126">
        <v>0.94</v>
      </c>
      <c r="H86" s="126">
        <v>0.94099999999999995</v>
      </c>
      <c r="I86" s="126">
        <v>0.96899999999999997</v>
      </c>
      <c r="J86" s="126">
        <v>0.97</v>
      </c>
      <c r="K86" s="126">
        <v>0.999</v>
      </c>
      <c r="L86" s="126">
        <v>1</v>
      </c>
      <c r="M86" s="126"/>
      <c r="O86" s="106"/>
      <c r="AE86" s="105" t="s">
        <v>58</v>
      </c>
      <c r="AF86" s="129">
        <v>12</v>
      </c>
      <c r="AG86" s="105">
        <f t="shared" si="0"/>
        <v>1</v>
      </c>
      <c r="AH86" s="105">
        <f>+IF(AG86=0,0,IF(AG86=1,(SUM($AG$75:AG86)-1),1))</f>
        <v>9</v>
      </c>
      <c r="AI86" s="105">
        <f t="shared" si="1"/>
        <v>1</v>
      </c>
      <c r="AJ86" s="105">
        <f t="shared" si="2"/>
        <v>0</v>
      </c>
      <c r="AK86" s="105">
        <f t="shared" si="3"/>
        <v>1</v>
      </c>
      <c r="AL86" s="128" t="str">
        <f>+""</f>
        <v/>
      </c>
      <c r="AM86" s="128">
        <f>+IF(AK86=0,"",IF(AB84="&gt;",AC84+0.001,IF(AB84="&lt;",AC84-0.001,AC84)))</f>
        <v>0</v>
      </c>
      <c r="AN86" s="128">
        <f>+IF(AB83="NA","",IF(AK86=0,"",IF(AB84="≥",AC84-0.001,IF(AB84="≤",AC84+0.001,AC84))))</f>
        <v>0</v>
      </c>
      <c r="AO86" s="128">
        <f>IF(AB83="NA","",IF(AK86=0,"",IF(AB83="&gt;",AC83+0.001,IF(AB83="&lt;",AC83-0.001,AC83))))</f>
        <v>0</v>
      </c>
      <c r="AP86" s="128">
        <f>+IF(AB82="NA","",IF(AK86=0,"",IF(AB83="≥",AC83-0.001,IF(AB83="≤",AC83+0.001,AC83))))</f>
        <v>0</v>
      </c>
      <c r="AQ86" s="128">
        <f>+IF(AB82="NA","",IF(AK86=0,"",IF(AB82="&gt;",AC82+0.001,IF(AB82="&lt;",AC82-0.001,AC82))))</f>
        <v>0</v>
      </c>
      <c r="AR86" s="128" t="str">
        <f>IF(AK86=0,"",IF(AB82="≥",AC81-0.001,IF(AB82="≤",AC81+0.001,"")))</f>
        <v/>
      </c>
      <c r="AS86" s="128" t="str">
        <f>+IF(AK86=0,"",IF(AB81="=",AC81,""))</f>
        <v/>
      </c>
    </row>
    <row r="87" spans="2:45" ht="3.75" customHeight="1" x14ac:dyDescent="0.25">
      <c r="B87" s="106"/>
      <c r="O87" s="106"/>
      <c r="AR87" s="128" t="str">
        <f>IF(AK87=0,"",IF(S83="Creciente",IF(R88="≥",S88-0.001,""),IF(R88="≤",S88+0.001,"")))</f>
        <v/>
      </c>
    </row>
    <row r="88" spans="2:45" ht="66" customHeight="1" x14ac:dyDescent="0.25">
      <c r="B88" s="106"/>
      <c r="D88" s="378" t="s">
        <v>59</v>
      </c>
      <c r="E88" s="379"/>
      <c r="F88" s="380" t="s">
        <v>2079</v>
      </c>
      <c r="G88" s="381"/>
      <c r="H88" s="381"/>
      <c r="I88" s="381"/>
      <c r="J88" s="381"/>
      <c r="K88" s="381"/>
      <c r="L88" s="381"/>
      <c r="M88" s="382"/>
      <c r="O88" s="106"/>
    </row>
    <row r="89" spans="2:45" ht="3.95" customHeight="1" x14ac:dyDescent="0.25">
      <c r="B89" s="106"/>
      <c r="O89" s="106"/>
    </row>
    <row r="90" spans="2:45" ht="3" customHeight="1" x14ac:dyDescent="0.25">
      <c r="B90" s="106"/>
      <c r="C90" s="106"/>
      <c r="D90" s="106"/>
      <c r="E90" s="106"/>
      <c r="F90" s="106"/>
      <c r="G90" s="106"/>
      <c r="H90" s="106"/>
      <c r="I90" s="106"/>
      <c r="J90" s="106"/>
      <c r="K90" s="106"/>
      <c r="L90" s="106"/>
      <c r="M90" s="106"/>
      <c r="N90" s="106"/>
      <c r="O90" s="106"/>
    </row>
    <row r="91" spans="2:45" ht="3" customHeight="1" x14ac:dyDescent="0.25"/>
    <row r="92" spans="2:45" ht="3" customHeight="1" x14ac:dyDescent="0.25">
      <c r="B92" s="106"/>
      <c r="C92" s="106"/>
      <c r="D92" s="106"/>
      <c r="E92" s="106"/>
      <c r="F92" s="106"/>
      <c r="G92" s="106"/>
      <c r="H92" s="106"/>
      <c r="I92" s="106"/>
      <c r="J92" s="106"/>
      <c r="K92" s="106"/>
      <c r="L92" s="106"/>
      <c r="M92" s="106"/>
      <c r="N92" s="106"/>
      <c r="O92" s="106"/>
    </row>
    <row r="93" spans="2:45" ht="3.95" customHeight="1" x14ac:dyDescent="0.25">
      <c r="B93" s="106"/>
      <c r="O93" s="106"/>
    </row>
    <row r="94" spans="2:45" x14ac:dyDescent="0.25">
      <c r="B94" s="106"/>
      <c r="D94" s="112" t="s">
        <v>60</v>
      </c>
      <c r="O94" s="106"/>
    </row>
    <row r="95" spans="2:45" ht="3.95" customHeight="1" x14ac:dyDescent="0.25">
      <c r="B95" s="106"/>
      <c r="O95" s="106"/>
    </row>
    <row r="96" spans="2:45" ht="20.100000000000001" customHeight="1" x14ac:dyDescent="0.25">
      <c r="B96" s="106"/>
      <c r="D96" s="387" t="s">
        <v>61</v>
      </c>
      <c r="E96" s="387"/>
      <c r="O96" s="106"/>
    </row>
    <row r="97" spans="2:15" ht="30" customHeight="1" x14ac:dyDescent="0.25">
      <c r="B97" s="106"/>
      <c r="D97" s="369" t="s">
        <v>35</v>
      </c>
      <c r="E97" s="369"/>
      <c r="F97" s="370" t="str">
        <f>+IFERROR(VLOOKUP($S$12,[1]Hoja1!$B$5:$AT$190,29,FALSE),"")</f>
        <v>Reportes de Ejecucion Presupuestal SIIF</v>
      </c>
      <c r="G97" s="370"/>
      <c r="H97" s="370"/>
      <c r="I97" s="370"/>
      <c r="J97" s="370"/>
      <c r="K97" s="370"/>
      <c r="L97" s="370"/>
      <c r="M97" s="370"/>
      <c r="O97" s="106"/>
    </row>
    <row r="98" spans="2:15" ht="30" customHeight="1" x14ac:dyDescent="0.25">
      <c r="B98" s="106"/>
      <c r="D98" s="369" t="s">
        <v>36</v>
      </c>
      <c r="E98" s="369"/>
      <c r="F98" s="370" t="s">
        <v>1984</v>
      </c>
      <c r="G98" s="370"/>
      <c r="H98" s="370"/>
      <c r="I98" s="370"/>
      <c r="J98" s="370"/>
      <c r="K98" s="370"/>
      <c r="L98" s="370"/>
      <c r="M98" s="370"/>
      <c r="O98" s="106"/>
    </row>
    <row r="99" spans="2:15" ht="3.95" customHeight="1" x14ac:dyDescent="0.25">
      <c r="B99" s="106"/>
      <c r="O99" s="106"/>
    </row>
    <row r="100" spans="2:15" ht="58.5" customHeight="1" x14ac:dyDescent="0.25">
      <c r="B100" s="106"/>
      <c r="D100" s="378" t="s">
        <v>62</v>
      </c>
      <c r="E100" s="379"/>
      <c r="F100" s="383"/>
      <c r="G100" s="384"/>
      <c r="H100" s="384"/>
      <c r="I100" s="384"/>
      <c r="J100" s="384"/>
      <c r="K100" s="384"/>
      <c r="L100" s="384"/>
      <c r="M100" s="385"/>
      <c r="O100" s="106"/>
    </row>
    <row r="101" spans="2:15" ht="3.95" customHeight="1" x14ac:dyDescent="0.25">
      <c r="B101" s="106"/>
      <c r="O101" s="106"/>
    </row>
    <row r="102" spans="2:15" ht="19.5" customHeight="1" x14ac:dyDescent="0.25">
      <c r="B102" s="106"/>
      <c r="D102" s="371" t="s">
        <v>64</v>
      </c>
      <c r="E102" s="372"/>
      <c r="F102" s="130" t="s">
        <v>65</v>
      </c>
      <c r="G102" s="107" t="s">
        <v>2</v>
      </c>
      <c r="K102" s="131"/>
      <c r="O102" s="106"/>
    </row>
    <row r="103" spans="2:15" ht="19.5" customHeight="1" x14ac:dyDescent="0.25">
      <c r="B103" s="106"/>
      <c r="D103" s="373"/>
      <c r="E103" s="374"/>
      <c r="F103" s="130" t="s">
        <v>66</v>
      </c>
      <c r="G103" s="132"/>
      <c r="K103" s="133"/>
      <c r="O103" s="106"/>
    </row>
    <row r="104" spans="2:15" ht="27.75" customHeight="1" x14ac:dyDescent="0.25">
      <c r="B104" s="106"/>
      <c r="D104" s="373"/>
      <c r="E104" s="374"/>
      <c r="F104" s="130" t="s">
        <v>67</v>
      </c>
      <c r="G104" s="375"/>
      <c r="H104" s="376"/>
      <c r="I104" s="376"/>
      <c r="J104" s="376"/>
      <c r="K104" s="376"/>
      <c r="L104" s="376"/>
      <c r="M104" s="377"/>
      <c r="O104" s="106"/>
    </row>
    <row r="105" spans="2:15" ht="3.95" customHeight="1" x14ac:dyDescent="0.25">
      <c r="B105" s="106"/>
      <c r="O105" s="106"/>
    </row>
    <row r="106" spans="2:15" ht="229.5" customHeight="1" x14ac:dyDescent="0.25">
      <c r="B106" s="106"/>
      <c r="D106" s="378" t="s">
        <v>68</v>
      </c>
      <c r="E106" s="379"/>
      <c r="F106" s="380" t="s">
        <v>102</v>
      </c>
      <c r="G106" s="381"/>
      <c r="H106" s="381"/>
      <c r="I106" s="381"/>
      <c r="J106" s="381"/>
      <c r="K106" s="381"/>
      <c r="L106" s="381"/>
      <c r="M106" s="382"/>
      <c r="O106" s="106"/>
    </row>
    <row r="107" spans="2:15" ht="3.95" customHeight="1" x14ac:dyDescent="0.25">
      <c r="B107" s="106"/>
      <c r="O107" s="106"/>
    </row>
    <row r="108" spans="2:15" ht="17.25" customHeight="1" x14ac:dyDescent="0.25">
      <c r="B108" s="106"/>
      <c r="D108" s="371" t="s">
        <v>2040</v>
      </c>
      <c r="E108" s="372"/>
      <c r="F108" s="130" t="s">
        <v>2041</v>
      </c>
      <c r="G108" s="375" t="str">
        <f>+VLOOKUP(H10,tablero!$P$5:$R$201,3,FALSE)</f>
        <v xml:space="preserve">Jefe Oficina de Cooperación y Convenios </v>
      </c>
      <c r="H108" s="376"/>
      <c r="I108" s="376"/>
      <c r="J108" s="376"/>
      <c r="K108" s="376"/>
      <c r="L108" s="376"/>
      <c r="M108" s="377"/>
      <c r="O108" s="106"/>
    </row>
    <row r="109" spans="2:15" ht="17.25" customHeight="1" x14ac:dyDescent="0.25">
      <c r="B109" s="106"/>
      <c r="D109" s="373"/>
      <c r="E109" s="374"/>
      <c r="F109" s="130" t="s">
        <v>2042</v>
      </c>
      <c r="G109" s="375" t="str">
        <f>+IF(M23="Si","Coordinador(a) Planeación y Sistemas","")</f>
        <v/>
      </c>
      <c r="H109" s="376"/>
      <c r="I109" s="376"/>
      <c r="J109" s="376"/>
      <c r="K109" s="376"/>
      <c r="L109" s="376"/>
      <c r="M109" s="377"/>
      <c r="O109" s="106"/>
    </row>
    <row r="110" spans="2:15" ht="17.25" customHeight="1" x14ac:dyDescent="0.25">
      <c r="B110" s="106"/>
      <c r="D110" s="373"/>
      <c r="E110" s="374"/>
      <c r="F110" s="130" t="s">
        <v>2043</v>
      </c>
      <c r="G110" s="375" t="str">
        <f>+IF(M24="Si","Coordinador(a) Centro Zonal","")</f>
        <v/>
      </c>
      <c r="H110" s="376"/>
      <c r="I110" s="376"/>
      <c r="J110" s="376"/>
      <c r="K110" s="376"/>
      <c r="L110" s="376"/>
      <c r="M110" s="377"/>
      <c r="O110" s="106"/>
    </row>
    <row r="111" spans="2:15" ht="3.95" customHeight="1" x14ac:dyDescent="0.25">
      <c r="B111" s="106"/>
      <c r="O111" s="106"/>
    </row>
    <row r="112" spans="2:15" ht="3" customHeight="1" x14ac:dyDescent="0.25">
      <c r="B112" s="106"/>
      <c r="C112" s="106"/>
      <c r="D112" s="106"/>
      <c r="E112" s="106"/>
      <c r="F112" s="106"/>
      <c r="G112" s="106"/>
      <c r="H112" s="106"/>
      <c r="I112" s="106"/>
      <c r="J112" s="106"/>
      <c r="K112" s="106"/>
      <c r="L112" s="106"/>
      <c r="M112" s="106"/>
      <c r="N112" s="106"/>
      <c r="O112" s="106"/>
    </row>
    <row r="113" spans="13:13" x14ac:dyDescent="0.25">
      <c r="M113" s="121" t="s">
        <v>70</v>
      </c>
    </row>
  </sheetData>
  <mergeCells count="85">
    <mergeCell ref="C3:N5"/>
    <mergeCell ref="D10:E10"/>
    <mergeCell ref="D12:E12"/>
    <mergeCell ref="F12:M12"/>
    <mergeCell ref="D14:E14"/>
    <mergeCell ref="F14:M14"/>
    <mergeCell ref="D22:E22"/>
    <mergeCell ref="G22:H22"/>
    <mergeCell ref="K22:L22"/>
    <mergeCell ref="D23:E23"/>
    <mergeCell ref="G23:H23"/>
    <mergeCell ref="K23:L23"/>
    <mergeCell ref="D24:E24"/>
    <mergeCell ref="G24:H24"/>
    <mergeCell ref="K24:L24"/>
    <mergeCell ref="D25:E25"/>
    <mergeCell ref="D29:E29"/>
    <mergeCell ref="F29:M29"/>
    <mergeCell ref="D30:E31"/>
    <mergeCell ref="G30:M30"/>
    <mergeCell ref="G31:M31"/>
    <mergeCell ref="D32:E33"/>
    <mergeCell ref="G32:M32"/>
    <mergeCell ref="G33:M33"/>
    <mergeCell ref="D34:E35"/>
    <mergeCell ref="G34:M34"/>
    <mergeCell ref="G35:M35"/>
    <mergeCell ref="D43:E43"/>
    <mergeCell ref="D44:E45"/>
    <mergeCell ref="G44:M44"/>
    <mergeCell ref="G45:M45"/>
    <mergeCell ref="D46:E47"/>
    <mergeCell ref="G46:M46"/>
    <mergeCell ref="G47:M47"/>
    <mergeCell ref="D48:E49"/>
    <mergeCell ref="G48:M48"/>
    <mergeCell ref="G49:M49"/>
    <mergeCell ref="D51:E51"/>
    <mergeCell ref="G51:H51"/>
    <mergeCell ref="D59:E59"/>
    <mergeCell ref="F59:M59"/>
    <mergeCell ref="D60:E60"/>
    <mergeCell ref="F60:M60"/>
    <mergeCell ref="D82:E82"/>
    <mergeCell ref="D83:E83"/>
    <mergeCell ref="D61:E61"/>
    <mergeCell ref="F61:M61"/>
    <mergeCell ref="D67:E67"/>
    <mergeCell ref="D71:E71"/>
    <mergeCell ref="D73:E74"/>
    <mergeCell ref="F73:G73"/>
    <mergeCell ref="H73:I73"/>
    <mergeCell ref="J73:K73"/>
    <mergeCell ref="L73:M73"/>
    <mergeCell ref="D77:E77"/>
    <mergeCell ref="D78:E78"/>
    <mergeCell ref="D79:E79"/>
    <mergeCell ref="D80:E80"/>
    <mergeCell ref="D81:E81"/>
    <mergeCell ref="AR73:AS73"/>
    <mergeCell ref="D75:E75"/>
    <mergeCell ref="D76:E76"/>
    <mergeCell ref="AL73:AM73"/>
    <mergeCell ref="AN73:AO73"/>
    <mergeCell ref="AP73:AQ73"/>
    <mergeCell ref="D84:E84"/>
    <mergeCell ref="D85:E85"/>
    <mergeCell ref="D86:E86"/>
    <mergeCell ref="D88:E88"/>
    <mergeCell ref="F97:M97"/>
    <mergeCell ref="D96:E96"/>
    <mergeCell ref="D97:E97"/>
    <mergeCell ref="F88:M88"/>
    <mergeCell ref="D98:E98"/>
    <mergeCell ref="F98:M98"/>
    <mergeCell ref="D108:E110"/>
    <mergeCell ref="G108:M108"/>
    <mergeCell ref="G109:M109"/>
    <mergeCell ref="G110:M110"/>
    <mergeCell ref="D102:E104"/>
    <mergeCell ref="G104:M104"/>
    <mergeCell ref="D106:E106"/>
    <mergeCell ref="F106:M106"/>
    <mergeCell ref="D100:E100"/>
    <mergeCell ref="F100:M100"/>
  </mergeCells>
  <conditionalFormatting sqref="F44:M49">
    <cfRule type="expression" dxfId="1008" priority="39">
      <formula>+IF($F$43="no",1,0)</formula>
    </cfRule>
  </conditionalFormatting>
  <conditionalFormatting sqref="F47:M47">
    <cfRule type="expression" dxfId="1007" priority="36">
      <formula>+IF($Q$47=0,1,0)</formula>
    </cfRule>
  </conditionalFormatting>
  <conditionalFormatting sqref="AA75:AA78">
    <cfRule type="expression" dxfId="1006" priority="31">
      <formula>+IF(AA$73=0,1,0)</formula>
    </cfRule>
  </conditionalFormatting>
  <conditionalFormatting sqref="AC75:AC78">
    <cfRule type="expression" dxfId="1005" priority="30">
      <formula>+IF(AC$73=0,1,0)</formula>
    </cfRule>
  </conditionalFormatting>
  <conditionalFormatting sqref="AA81:AA84">
    <cfRule type="expression" dxfId="1004" priority="25">
      <formula>+IF(AA$79=0,1,0)</formula>
    </cfRule>
  </conditionalFormatting>
  <conditionalFormatting sqref="AC81:AC84">
    <cfRule type="expression" dxfId="1003" priority="24">
      <formula>+IF(AC$79=0,1,0)</formula>
    </cfRule>
  </conditionalFormatting>
  <conditionalFormatting sqref="F73:G73">
    <cfRule type="cellIs" dxfId="1002" priority="22" operator="equal">
      <formula>"optimo"</formula>
    </cfRule>
    <cfRule type="cellIs" dxfId="1001" priority="23" operator="equal">
      <formula>"critico"</formula>
    </cfRule>
  </conditionalFormatting>
  <conditionalFormatting sqref="H73:I73">
    <cfRule type="cellIs" dxfId="1000" priority="20" operator="equal">
      <formula>"Adecuado"</formula>
    </cfRule>
    <cfRule type="cellIs" dxfId="999" priority="21" operator="equal">
      <formula>"en riesgo"</formula>
    </cfRule>
  </conditionalFormatting>
  <conditionalFormatting sqref="J73:K73">
    <cfRule type="cellIs" dxfId="998" priority="18" operator="equal">
      <formula>"Adecuado"</formula>
    </cfRule>
    <cfRule type="cellIs" dxfId="997" priority="19" operator="equal">
      <formula>"en riesgo"</formula>
    </cfRule>
  </conditionalFormatting>
  <conditionalFormatting sqref="L73:M73">
    <cfRule type="cellIs" dxfId="996" priority="16" operator="equal">
      <formula>"optimo"</formula>
    </cfRule>
    <cfRule type="cellIs" dxfId="995" priority="17" operator="equal">
      <formula>"critico"</formula>
    </cfRule>
  </conditionalFormatting>
  <conditionalFormatting sqref="F75:M76">
    <cfRule type="expression" dxfId="994" priority="15">
      <formula>+IF($AK75=0,1)</formula>
    </cfRule>
  </conditionalFormatting>
  <conditionalFormatting sqref="F103:G104">
    <cfRule type="expression" dxfId="993" priority="14">
      <formula>+IF($G$102="No",1,0)</formula>
    </cfRule>
  </conditionalFormatting>
  <conditionalFormatting sqref="F51">
    <cfRule type="expression" dxfId="992" priority="13">
      <formula>+IF($F$43="no",1,0)</formula>
    </cfRule>
  </conditionalFormatting>
  <conditionalFormatting sqref="I51">
    <cfRule type="expression" dxfId="991" priority="12">
      <formula>+IF($F$51="no",1,0)</formula>
    </cfRule>
  </conditionalFormatting>
  <conditionalFormatting sqref="F32:M33">
    <cfRule type="expression" dxfId="990" priority="7">
      <formula>+IF($Q$30="NA",1,0)</formula>
    </cfRule>
  </conditionalFormatting>
  <conditionalFormatting sqref="F33:M33">
    <cfRule type="expression" dxfId="989" priority="6">
      <formula>+IF($Q$33=0,1,0)</formula>
    </cfRule>
  </conditionalFormatting>
  <conditionalFormatting sqref="F77:F86 M77:M86">
    <cfRule type="expression" dxfId="988" priority="2">
      <formula>+IF($AK77=0,1)</formula>
    </cfRule>
  </conditionalFormatting>
  <conditionalFormatting sqref="G77:L86">
    <cfRule type="expression" dxfId="987" priority="1">
      <formula>+IF($AK77=0,1)</formula>
    </cfRule>
  </conditionalFormatting>
  <dataValidations count="13">
    <dataValidation type="list" allowBlank="1" showInputMessage="1" showErrorMessage="1" sqref="F25">
      <formula1>dimen</formula1>
    </dataValidation>
    <dataValidation type="list" allowBlank="1" showInputMessage="1" showErrorMessage="1" sqref="G49:M49">
      <formula1>proyectos</formula1>
    </dataValidation>
    <dataValidation type="list" allowBlank="1" showInputMessage="1" showErrorMessage="1" sqref="F71">
      <formula1>$D$75:$D$86</formula1>
    </dataValidation>
    <dataValidation type="list" allowBlank="1" showInputMessage="1" showErrorMessage="1" sqref="I24">
      <formula1>ambito</formula1>
    </dataValidation>
    <dataValidation type="list" allowBlank="1" showInputMessage="1" showErrorMessage="1" sqref="I23">
      <formula1>medidas</formula1>
    </dataValidation>
    <dataValidation type="list" allowBlank="1" showInputMessage="1" showErrorMessage="1" sqref="F24">
      <formula1>tendencia</formula1>
    </dataValidation>
    <dataValidation type="list" allowBlank="1" showInputMessage="1" showErrorMessage="1" sqref="G47:M47">
      <formula1>INDIRECT($Q$45)</formula1>
    </dataValidation>
    <dataValidation type="list" allowBlank="1" showInputMessage="1" showErrorMessage="1" sqref="G45:M45">
      <formula1>lineas</formula1>
    </dataValidation>
    <dataValidation type="list" allowBlank="1" showInputMessage="1" showErrorMessage="1" sqref="G31:M31">
      <formula1>macroproceso</formula1>
    </dataValidation>
    <dataValidation type="list" allowBlank="1" showInputMessage="1" showErrorMessage="1" sqref="G33:M33">
      <formula1>INDIRECT($Q$30)</formula1>
    </dataValidation>
    <dataValidation type="list" allowBlank="1" showInputMessage="1" showErrorMessage="1" sqref="F35:G35">
      <formula1>macroprocesos</formula1>
    </dataValidation>
    <dataValidation type="list" allowBlank="1" showInputMessage="1" showErrorMessage="1" sqref="F29:M29">
      <formula1>objetivos</formula1>
    </dataValidation>
    <dataValidation type="list" allowBlank="1" showInputMessage="1" showErrorMessage="1" sqref="G102 F43 F51">
      <formula1>$S$4:$S$5</formula1>
    </dataValidation>
  </dataValidations>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[1]Hoja1!#REF!</xm:f>
          </x14:formula1>
          <xm:sqref>S12</xm:sqref>
        </x14:dataValidation>
        <x14:dataValidation type="list" allowBlank="1" showInputMessage="1" showErrorMessage="1">
          <x14:formula1>
            <xm:f>[1]base!#REF!</xm:f>
          </x14:formula1>
          <xm:sqref>R75:R78 T75:T78 V75:V78 X75:X78 Z75:Z78 AB75:AB78 T81:T84 Z81:Z84 R81:R84 V81:V84 X81:X84 AB81:AB84 F23</xm:sqref>
        </x14:dataValidation>
      </x14:dataValidations>
    </ext>
  </extLst>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0">
    <tabColor rgb="FF0070C0"/>
  </sheetPr>
  <dimension ref="B1:AV113"/>
  <sheetViews>
    <sheetView zoomScale="90" zoomScaleNormal="90" workbookViewId="0"/>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382</v>
      </c>
      <c r="O10" s="2"/>
    </row>
    <row r="11" spans="2:24" ht="3.95" customHeight="1" x14ac:dyDescent="0.25">
      <c r="B11" s="2"/>
      <c r="D11" s="6"/>
      <c r="O11" s="2"/>
    </row>
    <row r="12" spans="2:24" ht="36" customHeight="1" x14ac:dyDescent="0.25">
      <c r="B12" s="2"/>
      <c r="D12" s="338" t="s">
        <v>5</v>
      </c>
      <c r="E12" s="339"/>
      <c r="F12" s="340" t="s">
        <v>1270</v>
      </c>
      <c r="G12" s="341"/>
      <c r="H12" s="341"/>
      <c r="I12" s="341"/>
      <c r="J12" s="341"/>
      <c r="K12" s="341"/>
      <c r="L12" s="341"/>
      <c r="M12" s="342"/>
      <c r="O12" s="2"/>
      <c r="W12" s="3" t="str">
        <f>+F23</f>
        <v>Anual</v>
      </c>
      <c r="X12" s="3" t="str">
        <f>+F71</f>
        <v>Diciembre</v>
      </c>
    </row>
    <row r="13" spans="2:24" ht="3.95" customHeight="1" x14ac:dyDescent="0.25">
      <c r="B13" s="2"/>
      <c r="O13" s="2"/>
    </row>
    <row r="14" spans="2:24" ht="38.25" customHeight="1" x14ac:dyDescent="0.25">
      <c r="B14" s="2"/>
      <c r="D14" s="338" t="s">
        <v>6</v>
      </c>
      <c r="E14" s="339"/>
      <c r="F14" s="340" t="s">
        <v>1248</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17">
        <v>0.86</v>
      </c>
      <c r="G22" s="337" t="s">
        <v>9</v>
      </c>
      <c r="H22" s="337"/>
      <c r="I22" s="17">
        <v>0.9</v>
      </c>
      <c r="K22" s="337" t="s">
        <v>10</v>
      </c>
      <c r="L22" s="337"/>
      <c r="M22" s="9" t="s">
        <v>496</v>
      </c>
      <c r="O22" s="2"/>
    </row>
    <row r="23" spans="2:17" ht="19.5" customHeight="1" x14ac:dyDescent="0.25">
      <c r="B23" s="2"/>
      <c r="D23" s="337" t="s">
        <v>11</v>
      </c>
      <c r="E23" s="337"/>
      <c r="F23" s="4" t="s">
        <v>1249</v>
      </c>
      <c r="G23" s="337" t="s">
        <v>12</v>
      </c>
      <c r="H23" s="337"/>
      <c r="I23" s="4" t="s">
        <v>497</v>
      </c>
      <c r="K23" s="337" t="s">
        <v>13</v>
      </c>
      <c r="L23" s="337"/>
      <c r="M23" s="9" t="s">
        <v>2</v>
      </c>
      <c r="O23" s="2"/>
    </row>
    <row r="24" spans="2:17" ht="20.100000000000001" customHeight="1" x14ac:dyDescent="0.25">
      <c r="B24" s="2"/>
      <c r="D24" s="337" t="s">
        <v>14</v>
      </c>
      <c r="E24" s="337"/>
      <c r="F24" s="4" t="s">
        <v>81</v>
      </c>
      <c r="G24" s="337" t="s">
        <v>15</v>
      </c>
      <c r="H24" s="337"/>
      <c r="I24" s="4" t="s">
        <v>103</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servicio</v>
      </c>
    </row>
    <row r="31" spans="2:17" ht="24" customHeight="1" x14ac:dyDescent="0.25">
      <c r="B31" s="2"/>
      <c r="D31" s="347"/>
      <c r="E31" s="348"/>
      <c r="F31" s="4" t="s">
        <v>379</v>
      </c>
      <c r="G31" s="340" t="s">
        <v>380</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1606</v>
      </c>
      <c r="G33" s="340" t="s">
        <v>1607</v>
      </c>
      <c r="H33" s="341"/>
      <c r="I33" s="341"/>
      <c r="J33" s="341"/>
      <c r="K33" s="341"/>
      <c r="L33" s="341"/>
      <c r="M33" s="342"/>
      <c r="O33" s="2"/>
      <c r="Q33" s="3">
        <f>+IFERROR(IF(VLOOKUP(G33,base!$A$26:$C$40,3,FALSE)=F31,1,0),"")</f>
        <v>1</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1719</v>
      </c>
      <c r="G35" s="340" t="s">
        <v>1596</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1250</v>
      </c>
      <c r="G45" s="340" t="s">
        <v>1251</v>
      </c>
      <c r="H45" s="341"/>
      <c r="I45" s="341"/>
      <c r="J45" s="341"/>
      <c r="K45" s="341"/>
      <c r="L45" s="341"/>
      <c r="M45" s="342"/>
      <c r="O45" s="2"/>
      <c r="Q45" s="3" t="str">
        <f>+IFERROR(VLOOKUP(G45,base!$A$41:$C$45,3,FALSE),"")</f>
        <v>transparencia</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1518</v>
      </c>
      <c r="G47" s="340" t="s">
        <v>1608</v>
      </c>
      <c r="H47" s="341"/>
      <c r="I47" s="341"/>
      <c r="J47" s="341"/>
      <c r="K47" s="341"/>
      <c r="L47" s="341"/>
      <c r="M47" s="342"/>
      <c r="O47" s="2"/>
      <c r="Q47" s="3">
        <f>+IF(VLOOKUP(G47,base!$A$46:$C$66,3,FALSE)=F45,1,0)</f>
        <v>1</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920</v>
      </c>
      <c r="G49" s="340" t="s">
        <v>899</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32"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37" t="s">
        <v>34</v>
      </c>
      <c r="E59" s="337"/>
      <c r="F59" s="344" t="s">
        <v>1252</v>
      </c>
      <c r="G59" s="344"/>
      <c r="H59" s="344"/>
      <c r="I59" s="344"/>
      <c r="J59" s="344"/>
      <c r="K59" s="344"/>
      <c r="L59" s="344"/>
      <c r="M59" s="344"/>
      <c r="O59" s="2"/>
    </row>
    <row r="60" spans="2:15" ht="66" customHeight="1" x14ac:dyDescent="0.25">
      <c r="B60" s="2"/>
      <c r="D60" s="359" t="s">
        <v>35</v>
      </c>
      <c r="E60" s="359"/>
      <c r="F60" s="344" t="s">
        <v>1253</v>
      </c>
      <c r="G60" s="344"/>
      <c r="H60" s="344"/>
      <c r="I60" s="344"/>
      <c r="J60" s="344"/>
      <c r="K60" s="344"/>
      <c r="L60" s="344"/>
      <c r="M60" s="344"/>
      <c r="O60" s="2"/>
    </row>
    <row r="61" spans="2:15" ht="41.25" customHeight="1" x14ac:dyDescent="0.25">
      <c r="B61" s="2"/>
      <c r="D61" s="359" t="s">
        <v>36</v>
      </c>
      <c r="E61" s="359"/>
      <c r="F61" s="340" t="s">
        <v>1254</v>
      </c>
      <c r="G61" s="341"/>
      <c r="H61" s="341"/>
      <c r="I61" s="341"/>
      <c r="J61" s="341"/>
      <c r="K61" s="341"/>
      <c r="L61" s="341"/>
      <c r="M61" s="342"/>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12</v>
      </c>
    </row>
    <row r="70" spans="2:37" ht="3.95" customHeight="1" x14ac:dyDescent="0.25">
      <c r="B70" s="2"/>
      <c r="D70" s="7"/>
      <c r="E70" s="7"/>
      <c r="O70" s="2"/>
    </row>
    <row r="71" spans="2:37" ht="18.75" customHeight="1" x14ac:dyDescent="0.25">
      <c r="B71" s="2"/>
      <c r="D71" s="343" t="s">
        <v>39</v>
      </c>
      <c r="E71" s="343"/>
      <c r="F71" s="4" t="s">
        <v>58</v>
      </c>
      <c r="G71" s="3">
        <v>12</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60" t="s">
        <v>50</v>
      </c>
      <c r="E80" s="360"/>
      <c r="F80" s="16" t="s">
        <v>500</v>
      </c>
      <c r="G80" s="16" t="s">
        <v>500</v>
      </c>
      <c r="H80" s="16" t="s">
        <v>500</v>
      </c>
      <c r="I80" s="16" t="s">
        <v>500</v>
      </c>
      <c r="J80" s="16" t="s">
        <v>500</v>
      </c>
      <c r="K80" s="16" t="s">
        <v>500</v>
      </c>
      <c r="L80" s="16" t="s">
        <v>500</v>
      </c>
      <c r="M80" s="16" t="s">
        <v>500</v>
      </c>
      <c r="O80" s="2"/>
      <c r="AE80" s="3" t="s">
        <v>50</v>
      </c>
      <c r="AF80" s="3">
        <v>6</v>
      </c>
      <c r="AG80" s="3">
        <f t="shared" si="0"/>
        <v>0</v>
      </c>
      <c r="AH80" s="3">
        <f>+IF(AG80=0,0,IF(AG80=1,(SUM($AG$75:AG80)-1),1))</f>
        <v>0</v>
      </c>
      <c r="AI80" s="3">
        <f t="shared" si="1"/>
        <v>0</v>
      </c>
      <c r="AJ80" s="3">
        <f t="shared" si="2"/>
        <v>0</v>
      </c>
      <c r="AK80" s="3">
        <f t="shared" si="3"/>
        <v>0</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0</v>
      </c>
      <c r="AH81" s="3">
        <f>+IF(AG81=0,0,IF(AG81=1,(SUM($AG$75:AG81)-1),1))</f>
        <v>0</v>
      </c>
      <c r="AI81" s="3">
        <f t="shared" si="1"/>
        <v>0</v>
      </c>
      <c r="AJ81" s="3">
        <f t="shared" si="2"/>
        <v>0</v>
      </c>
      <c r="AK81" s="3">
        <f t="shared" si="3"/>
        <v>0</v>
      </c>
    </row>
    <row r="82" spans="2:37" x14ac:dyDescent="0.25">
      <c r="B82" s="2"/>
      <c r="D82" s="360" t="s">
        <v>54</v>
      </c>
      <c r="E82" s="360"/>
      <c r="F82" s="16" t="s">
        <v>500</v>
      </c>
      <c r="G82" s="16" t="s">
        <v>500</v>
      </c>
      <c r="H82" s="16" t="s">
        <v>500</v>
      </c>
      <c r="I82" s="16" t="s">
        <v>500</v>
      </c>
      <c r="J82" s="16" t="s">
        <v>500</v>
      </c>
      <c r="K82" s="16" t="s">
        <v>500</v>
      </c>
      <c r="L82" s="16" t="s">
        <v>500</v>
      </c>
      <c r="M82" s="16" t="s">
        <v>500</v>
      </c>
      <c r="O82" s="2"/>
      <c r="AE82" s="3" t="s">
        <v>54</v>
      </c>
      <c r="AF82" s="3">
        <v>8</v>
      </c>
      <c r="AG82" s="3">
        <f t="shared" si="0"/>
        <v>0</v>
      </c>
      <c r="AH82" s="3">
        <f>+IF(AG82=0,0,IF(AG82=1,(SUM($AG$75:AG82)-1),1))</f>
        <v>0</v>
      </c>
      <c r="AI82" s="3">
        <f t="shared" si="1"/>
        <v>0</v>
      </c>
      <c r="AJ82" s="3">
        <f t="shared" si="2"/>
        <v>0</v>
      </c>
      <c r="AK82" s="3">
        <f t="shared" si="3"/>
        <v>0</v>
      </c>
    </row>
    <row r="83" spans="2:37" x14ac:dyDescent="0.25">
      <c r="B83" s="2"/>
      <c r="D83" s="360" t="s">
        <v>55</v>
      </c>
      <c r="E83" s="360"/>
      <c r="F83" s="16" t="s">
        <v>500</v>
      </c>
      <c r="G83" s="16" t="s">
        <v>500</v>
      </c>
      <c r="H83" s="16" t="s">
        <v>500</v>
      </c>
      <c r="I83" s="16" t="s">
        <v>500</v>
      </c>
      <c r="J83" s="16" t="s">
        <v>500</v>
      </c>
      <c r="K83" s="16" t="s">
        <v>500</v>
      </c>
      <c r="L83" s="16" t="s">
        <v>500</v>
      </c>
      <c r="M83" s="16" t="s">
        <v>500</v>
      </c>
      <c r="O83" s="2"/>
      <c r="AE83" s="3" t="s">
        <v>55</v>
      </c>
      <c r="AF83" s="3">
        <v>9</v>
      </c>
      <c r="AG83" s="3">
        <f t="shared" si="0"/>
        <v>0</v>
      </c>
      <c r="AH83" s="3">
        <f>+IF(AG83=0,0,IF(AG83=1,(SUM($AG$75:AG83)-1),1))</f>
        <v>0</v>
      </c>
      <c r="AI83" s="3">
        <f t="shared" si="1"/>
        <v>0</v>
      </c>
      <c r="AJ83" s="3">
        <f t="shared" si="2"/>
        <v>0</v>
      </c>
      <c r="AK83" s="3">
        <f t="shared" si="3"/>
        <v>0</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0</v>
      </c>
      <c r="AH84" s="3">
        <f>+IF(AG84=0,0,IF(AG84=1,(SUM($AG$75:AG84)-1),1))</f>
        <v>0</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0</v>
      </c>
      <c r="AH85" s="3">
        <f>+IF(AG85=0,0,IF(AG85=1,(SUM($AG$75:AG85)-1),1))</f>
        <v>0</v>
      </c>
      <c r="AI85" s="3">
        <f t="shared" si="1"/>
        <v>0</v>
      </c>
      <c r="AJ85" s="3">
        <f t="shared" si="2"/>
        <v>0</v>
      </c>
      <c r="AK85" s="3">
        <f t="shared" si="3"/>
        <v>0</v>
      </c>
    </row>
    <row r="86" spans="2:37" x14ac:dyDescent="0.25">
      <c r="B86" s="2"/>
      <c r="D86" s="360" t="s">
        <v>58</v>
      </c>
      <c r="E86" s="360"/>
      <c r="F86" s="16" t="s">
        <v>500</v>
      </c>
      <c r="G86" s="16">
        <v>0.79900000000000004</v>
      </c>
      <c r="H86" s="16" t="s">
        <v>500</v>
      </c>
      <c r="I86" s="16" t="s">
        <v>500</v>
      </c>
      <c r="J86" s="16">
        <v>0.8</v>
      </c>
      <c r="K86" s="16">
        <v>0.89900000000000002</v>
      </c>
      <c r="L86" s="16">
        <v>0.9</v>
      </c>
      <c r="M86" s="16" t="s">
        <v>500</v>
      </c>
      <c r="O86" s="2"/>
      <c r="AE86" s="3" t="s">
        <v>58</v>
      </c>
      <c r="AF86" s="65">
        <v>12</v>
      </c>
      <c r="AG86" s="3">
        <f t="shared" si="0"/>
        <v>1</v>
      </c>
      <c r="AH86" s="3">
        <f>+IF(AG86=0,0,IF(AG86=1,(SUM($AG$75:AG86)-1),1))</f>
        <v>0</v>
      </c>
      <c r="AI86" s="3">
        <f t="shared" si="1"/>
        <v>0</v>
      </c>
      <c r="AJ86" s="3">
        <f t="shared" si="2"/>
        <v>1</v>
      </c>
      <c r="AK86" s="3">
        <f t="shared" si="3"/>
        <v>1</v>
      </c>
    </row>
    <row r="87" spans="2:37" ht="3.75" customHeight="1" x14ac:dyDescent="0.25">
      <c r="B87" s="2"/>
      <c r="O87" s="2"/>
    </row>
    <row r="88" spans="2:37" ht="66" customHeight="1" x14ac:dyDescent="0.25">
      <c r="B88" s="2"/>
      <c r="D88" s="338" t="s">
        <v>59</v>
      </c>
      <c r="E88" s="339"/>
      <c r="F88" s="340"/>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2" customHeight="1" x14ac:dyDescent="0.25">
      <c r="B97" s="2"/>
      <c r="D97" s="359" t="s">
        <v>35</v>
      </c>
      <c r="E97" s="359"/>
      <c r="F97" s="344" t="s">
        <v>1255</v>
      </c>
      <c r="G97" s="344"/>
      <c r="H97" s="344"/>
      <c r="I97" s="344"/>
      <c r="J97" s="344"/>
      <c r="K97" s="344"/>
      <c r="L97" s="344"/>
      <c r="M97" s="344"/>
      <c r="O97" s="2"/>
    </row>
    <row r="98" spans="2:15" ht="42" customHeight="1" x14ac:dyDescent="0.25">
      <c r="B98" s="2"/>
      <c r="D98" s="359" t="s">
        <v>36</v>
      </c>
      <c r="E98" s="359"/>
      <c r="F98" s="344" t="s">
        <v>1255</v>
      </c>
      <c r="G98" s="344"/>
      <c r="H98" s="344"/>
      <c r="I98" s="344"/>
      <c r="J98" s="344"/>
      <c r="K98" s="344"/>
      <c r="L98" s="344"/>
      <c r="M98" s="344"/>
      <c r="O98" s="2"/>
    </row>
    <row r="99" spans="2:15" ht="3.95" customHeight="1" x14ac:dyDescent="0.25">
      <c r="B99" s="2"/>
      <c r="O99" s="2"/>
    </row>
    <row r="100" spans="2:15" ht="84" customHeight="1" x14ac:dyDescent="0.25">
      <c r="B100" s="2"/>
      <c r="D100" s="338" t="s">
        <v>62</v>
      </c>
      <c r="E100" s="339"/>
      <c r="F100" s="340" t="s">
        <v>1243</v>
      </c>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1</v>
      </c>
      <c r="K102" s="20"/>
      <c r="O102" s="2"/>
    </row>
    <row r="103" spans="2:15" ht="19.5" customHeight="1" x14ac:dyDescent="0.25">
      <c r="B103" s="2"/>
      <c r="D103" s="331"/>
      <c r="E103" s="332"/>
      <c r="F103" s="19" t="s">
        <v>66</v>
      </c>
      <c r="G103" s="4" t="s">
        <v>1842</v>
      </c>
      <c r="K103" s="21"/>
      <c r="O103" s="2"/>
    </row>
    <row r="104" spans="2:15" ht="27.75" customHeight="1" x14ac:dyDescent="0.25">
      <c r="B104" s="2"/>
      <c r="D104" s="331"/>
      <c r="E104" s="332"/>
      <c r="F104" s="19" t="s">
        <v>67</v>
      </c>
      <c r="G104" s="333" t="s">
        <v>1843</v>
      </c>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Director(a) Servicio y Atención</v>
      </c>
      <c r="H108" s="334"/>
      <c r="I108" s="334"/>
      <c r="J108" s="334"/>
      <c r="K108" s="334"/>
      <c r="L108" s="334"/>
      <c r="M108" s="335"/>
      <c r="O108" s="2"/>
    </row>
    <row r="109" spans="2:15" ht="17.25" customHeight="1" x14ac:dyDescent="0.25">
      <c r="B109" s="2"/>
      <c r="D109" s="331"/>
      <c r="E109" s="332"/>
      <c r="F109" s="19" t="s">
        <v>2042</v>
      </c>
      <c r="G109" s="333" t="str">
        <f>+IF(M23="Si","Coordinador(a) Planeación y Sistemas","")</f>
        <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6 F48:M49">
    <cfRule type="expression" dxfId="986" priority="31">
      <formula>+IF($F$43="no",1,0)</formula>
    </cfRule>
  </conditionalFormatting>
  <conditionalFormatting sqref="F32:M33">
    <cfRule type="expression" dxfId="985" priority="30">
      <formula>+IF($Q$30="NA",1,0)</formula>
    </cfRule>
  </conditionalFormatting>
  <conditionalFormatting sqref="F33:M33">
    <cfRule type="expression" dxfId="984" priority="29">
      <formula>+IF($Q$33=0,1,0)</formula>
    </cfRule>
  </conditionalFormatting>
  <conditionalFormatting sqref="F73:G73">
    <cfRule type="cellIs" dxfId="983" priority="14" operator="equal">
      <formula>"optimo"</formula>
    </cfRule>
    <cfRule type="cellIs" dxfId="982" priority="15" operator="equal">
      <formula>"critico"</formula>
    </cfRule>
  </conditionalFormatting>
  <conditionalFormatting sqref="H73:I73">
    <cfRule type="cellIs" dxfId="981" priority="12" operator="equal">
      <formula>"Adecuado"</formula>
    </cfRule>
    <cfRule type="cellIs" dxfId="980" priority="13" operator="equal">
      <formula>"en riesgo"</formula>
    </cfRule>
  </conditionalFormatting>
  <conditionalFormatting sqref="J73:K73">
    <cfRule type="cellIs" dxfId="979" priority="10" operator="equal">
      <formula>"Adecuado"</formula>
    </cfRule>
    <cfRule type="cellIs" dxfId="978" priority="11" operator="equal">
      <formula>"en riesgo"</formula>
    </cfRule>
  </conditionalFormatting>
  <conditionalFormatting sqref="L73:M73">
    <cfRule type="cellIs" dxfId="977" priority="8" operator="equal">
      <formula>"optimo"</formula>
    </cfRule>
    <cfRule type="cellIs" dxfId="976" priority="9" operator="equal">
      <formula>"critico"</formula>
    </cfRule>
  </conditionalFormatting>
  <conditionalFormatting sqref="F75:M86">
    <cfRule type="expression" dxfId="975" priority="7">
      <formula>+IF($AK75=0,1)</formula>
    </cfRule>
  </conditionalFormatting>
  <conditionalFormatting sqref="F103:G104">
    <cfRule type="expression" dxfId="974" priority="6">
      <formula>+IF($G$102="No",1,0)</formula>
    </cfRule>
  </conditionalFormatting>
  <conditionalFormatting sqref="F51">
    <cfRule type="expression" dxfId="973" priority="5">
      <formula>+IF($F$43="no",1,0)</formula>
    </cfRule>
  </conditionalFormatting>
  <conditionalFormatting sqref="I51">
    <cfRule type="expression" dxfId="972"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1">
    <tabColor rgb="FF0070C0"/>
  </sheetPr>
  <dimension ref="B1:AV113"/>
  <sheetViews>
    <sheetView zoomScale="90" zoomScaleNormal="90" workbookViewId="0">
      <selection activeCell="P1" sqref="P1"/>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11.42578125" style="3"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383</v>
      </c>
      <c r="O10" s="2"/>
    </row>
    <row r="11" spans="2:24" ht="3.95" customHeight="1" x14ac:dyDescent="0.25">
      <c r="B11" s="2"/>
      <c r="D11" s="6"/>
      <c r="O11" s="2"/>
    </row>
    <row r="12" spans="2:24" ht="36" customHeight="1" x14ac:dyDescent="0.25">
      <c r="B12" s="2"/>
      <c r="D12" s="338" t="s">
        <v>5</v>
      </c>
      <c r="E12" s="339"/>
      <c r="F12" s="340" t="s">
        <v>1271</v>
      </c>
      <c r="G12" s="341"/>
      <c r="H12" s="341"/>
      <c r="I12" s="341"/>
      <c r="J12" s="341"/>
      <c r="K12" s="341"/>
      <c r="L12" s="341"/>
      <c r="M12" s="342"/>
      <c r="O12" s="2"/>
      <c r="W12" s="3" t="str">
        <f>+F23</f>
        <v>Trimestral</v>
      </c>
      <c r="X12" s="3" t="str">
        <f>+F71</f>
        <v>Junio</v>
      </c>
    </row>
    <row r="13" spans="2:24" ht="3.95" customHeight="1" x14ac:dyDescent="0.25">
      <c r="B13" s="2"/>
      <c r="O13" s="2"/>
    </row>
    <row r="14" spans="2:24" ht="38.25" customHeight="1" x14ac:dyDescent="0.25">
      <c r="B14" s="2"/>
      <c r="D14" s="338" t="s">
        <v>6</v>
      </c>
      <c r="E14" s="339"/>
      <c r="F14" s="340" t="s">
        <v>1268</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17">
        <v>0</v>
      </c>
      <c r="G22" s="337" t="s">
        <v>9</v>
      </c>
      <c r="H22" s="337"/>
      <c r="I22" s="17">
        <v>0.3</v>
      </c>
      <c r="K22" s="337" t="s">
        <v>10</v>
      </c>
      <c r="L22" s="337"/>
      <c r="M22" s="9" t="s">
        <v>496</v>
      </c>
      <c r="O22" s="2"/>
    </row>
    <row r="23" spans="2:17" ht="19.5" customHeight="1" x14ac:dyDescent="0.25">
      <c r="B23" s="2"/>
      <c r="D23" s="337" t="s">
        <v>11</v>
      </c>
      <c r="E23" s="337"/>
      <c r="F23" s="4" t="s">
        <v>71</v>
      </c>
      <c r="G23" s="337" t="s">
        <v>12</v>
      </c>
      <c r="H23" s="337"/>
      <c r="I23" s="4" t="s">
        <v>497</v>
      </c>
      <c r="K23" s="337" t="s">
        <v>13</v>
      </c>
      <c r="L23" s="337"/>
      <c r="M23" s="9" t="s">
        <v>2</v>
      </c>
      <c r="O23" s="2"/>
    </row>
    <row r="24" spans="2:17" ht="20.100000000000001" customHeight="1" x14ac:dyDescent="0.25">
      <c r="B24" s="2"/>
      <c r="D24" s="337" t="s">
        <v>14</v>
      </c>
      <c r="E24" s="337"/>
      <c r="F24" s="4" t="s">
        <v>498</v>
      </c>
      <c r="G24" s="337" t="s">
        <v>15</v>
      </c>
      <c r="H24" s="337"/>
      <c r="I24" s="4" t="s">
        <v>533</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servicio</v>
      </c>
    </row>
    <row r="31" spans="2:17" ht="24" customHeight="1" x14ac:dyDescent="0.25">
      <c r="B31" s="2"/>
      <c r="D31" s="347"/>
      <c r="E31" s="348"/>
      <c r="F31" s="4" t="s">
        <v>379</v>
      </c>
      <c r="G31" s="340" t="s">
        <v>380</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1606</v>
      </c>
      <c r="G33" s="340" t="s">
        <v>1607</v>
      </c>
      <c r="H33" s="341"/>
      <c r="I33" s="341"/>
      <c r="J33" s="341"/>
      <c r="K33" s="341"/>
      <c r="L33" s="341"/>
      <c r="M33" s="342"/>
      <c r="O33" s="2"/>
      <c r="Q33" s="3">
        <f>+IFERROR(IF(VLOOKUP(G33,base!$A$26:$C$40,3,FALSE)=F31,1,0),"")</f>
        <v>1</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1716</v>
      </c>
      <c r="G35" s="340" t="s">
        <v>1592</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1250</v>
      </c>
      <c r="G45" s="340" t="s">
        <v>1251</v>
      </c>
      <c r="H45" s="341"/>
      <c r="I45" s="341"/>
      <c r="J45" s="341"/>
      <c r="K45" s="341"/>
      <c r="L45" s="341"/>
      <c r="M45" s="342"/>
      <c r="O45" s="2"/>
      <c r="Q45" s="3" t="str">
        <f>+IFERROR(VLOOKUP(G45,base!$A$41:$C$45,3,FALSE),"")</f>
        <v>transparencia</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1518</v>
      </c>
      <c r="G47" s="340" t="s">
        <v>1699</v>
      </c>
      <c r="H47" s="341"/>
      <c r="I47" s="341"/>
      <c r="J47" s="341"/>
      <c r="K47" s="341"/>
      <c r="L47" s="341"/>
      <c r="M47" s="342"/>
      <c r="O47" s="2"/>
      <c r="Q47" s="3">
        <f>+IF(VLOOKUP(G47,base!$A$46:$C$66,3,FALSE)=F45,1,0)</f>
        <v>1</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920</v>
      </c>
      <c r="G49" s="340" t="s">
        <v>899</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496</v>
      </c>
      <c r="G51" s="337" t="s">
        <v>32</v>
      </c>
      <c r="H51" s="337"/>
      <c r="I51" s="17">
        <v>1</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37" t="s">
        <v>34</v>
      </c>
      <c r="E59" s="337"/>
      <c r="F59" s="344" t="s">
        <v>1269</v>
      </c>
      <c r="G59" s="344"/>
      <c r="H59" s="344"/>
      <c r="I59" s="344"/>
      <c r="J59" s="344"/>
      <c r="K59" s="344"/>
      <c r="L59" s="344"/>
      <c r="M59" s="344"/>
      <c r="O59" s="2"/>
    </row>
    <row r="60" spans="2:15" ht="42" customHeight="1" x14ac:dyDescent="0.25">
      <c r="B60" s="2"/>
      <c r="D60" s="359" t="s">
        <v>35</v>
      </c>
      <c r="E60" s="359"/>
      <c r="F60" s="344" t="s">
        <v>1925</v>
      </c>
      <c r="G60" s="344"/>
      <c r="H60" s="344"/>
      <c r="I60" s="344"/>
      <c r="J60" s="344"/>
      <c r="K60" s="344"/>
      <c r="L60" s="344"/>
      <c r="M60" s="344"/>
      <c r="O60" s="2"/>
    </row>
    <row r="61" spans="2:15" ht="42" customHeight="1" x14ac:dyDescent="0.25">
      <c r="B61" s="2"/>
      <c r="D61" s="359" t="s">
        <v>36</v>
      </c>
      <c r="E61" s="359"/>
      <c r="F61" s="344" t="s">
        <v>1926</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43" t="s">
        <v>39</v>
      </c>
      <c r="E71" s="343"/>
      <c r="F71" s="4" t="s">
        <v>50</v>
      </c>
      <c r="G71" s="3">
        <v>12</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+IF(AE75&gt;=$G$71,1,0)</f>
        <v>1</v>
      </c>
      <c r="AH75" s="3">
        <v>1</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+IF(AE76&gt;=$G$71,1,0)</f>
        <v>1</v>
      </c>
      <c r="AH76" s="3">
        <v>2</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t="s">
        <v>500</v>
      </c>
      <c r="H77" s="16" t="s">
        <v>500</v>
      </c>
      <c r="I77" s="16" t="s">
        <v>500</v>
      </c>
      <c r="J77" s="16" t="s">
        <v>500</v>
      </c>
      <c r="K77" s="16" t="s">
        <v>500</v>
      </c>
      <c r="L77" s="16" t="s">
        <v>500</v>
      </c>
      <c r="M77" s="16" t="s">
        <v>500</v>
      </c>
      <c r="O77" s="2"/>
      <c r="AE77" s="3" t="s">
        <v>47</v>
      </c>
      <c r="AF77" s="3">
        <v>3</v>
      </c>
      <c r="AG77" s="3">
        <f t="shared" si="0"/>
        <v>1</v>
      </c>
      <c r="AH77" s="3">
        <v>3</v>
      </c>
      <c r="AI77" s="3">
        <f t="shared" si="1"/>
        <v>1</v>
      </c>
      <c r="AJ77" s="3">
        <f t="shared" si="2"/>
        <v>0</v>
      </c>
      <c r="AK77" s="3">
        <v>0</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1</v>
      </c>
      <c r="AH78" s="3">
        <v>4</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1</v>
      </c>
      <c r="AH79" s="3">
        <v>5</v>
      </c>
      <c r="AI79" s="3">
        <f t="shared" si="1"/>
        <v>0</v>
      </c>
      <c r="AJ79" s="3">
        <f t="shared" si="2"/>
        <v>0</v>
      </c>
      <c r="AK79" s="3">
        <f t="shared" si="3"/>
        <v>0</v>
      </c>
    </row>
    <row r="80" spans="2:37" x14ac:dyDescent="0.25">
      <c r="B80" s="2"/>
      <c r="D80" s="360" t="s">
        <v>50</v>
      </c>
      <c r="E80" s="360"/>
      <c r="F80" s="16" t="s">
        <v>500</v>
      </c>
      <c r="G80" s="16">
        <f>+M80-0.001</f>
        <v>7.3999999999999996E-2</v>
      </c>
      <c r="H80" s="16" t="s">
        <v>500</v>
      </c>
      <c r="I80" s="16" t="s">
        <v>500</v>
      </c>
      <c r="J80" s="16" t="s">
        <v>500</v>
      </c>
      <c r="K80" s="16" t="s">
        <v>500</v>
      </c>
      <c r="L80" s="16" t="s">
        <v>500</v>
      </c>
      <c r="M80" s="16">
        <v>7.4999999999999997E-2</v>
      </c>
      <c r="O80" s="2"/>
      <c r="AE80" s="3" t="s">
        <v>50</v>
      </c>
      <c r="AF80" s="3">
        <v>6</v>
      </c>
      <c r="AG80" s="3">
        <f t="shared" si="0"/>
        <v>1</v>
      </c>
      <c r="AH80" s="3">
        <v>6</v>
      </c>
      <c r="AI80" s="3">
        <f t="shared" si="1"/>
        <v>1</v>
      </c>
      <c r="AJ80" s="3">
        <f t="shared" si="2"/>
        <v>1</v>
      </c>
      <c r="AK80" s="3">
        <f t="shared" si="3"/>
        <v>1</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1</v>
      </c>
      <c r="AH81" s="3">
        <v>7</v>
      </c>
      <c r="AI81" s="3">
        <f t="shared" si="1"/>
        <v>0</v>
      </c>
      <c r="AJ81" s="3">
        <f t="shared" si="2"/>
        <v>0</v>
      </c>
      <c r="AK81" s="3">
        <f t="shared" si="3"/>
        <v>0</v>
      </c>
    </row>
    <row r="82" spans="2:37" x14ac:dyDescent="0.25">
      <c r="B82" s="2"/>
      <c r="D82" s="360" t="s">
        <v>54</v>
      </c>
      <c r="E82" s="360"/>
      <c r="F82" s="16" t="s">
        <v>500</v>
      </c>
      <c r="G82" s="16" t="s">
        <v>500</v>
      </c>
      <c r="H82" s="16" t="s">
        <v>500</v>
      </c>
      <c r="I82" s="16" t="s">
        <v>500</v>
      </c>
      <c r="J82" s="16" t="s">
        <v>500</v>
      </c>
      <c r="K82" s="16" t="s">
        <v>500</v>
      </c>
      <c r="L82" s="16" t="s">
        <v>500</v>
      </c>
      <c r="M82" s="16" t="s">
        <v>500</v>
      </c>
      <c r="O82" s="2"/>
      <c r="AE82" s="3" t="s">
        <v>54</v>
      </c>
      <c r="AF82" s="3">
        <v>8</v>
      </c>
      <c r="AG82" s="3">
        <f t="shared" si="0"/>
        <v>1</v>
      </c>
      <c r="AH82" s="3">
        <v>8</v>
      </c>
      <c r="AI82" s="3">
        <f t="shared" si="1"/>
        <v>0</v>
      </c>
      <c r="AJ82" s="3">
        <f t="shared" si="2"/>
        <v>0</v>
      </c>
      <c r="AK82" s="3">
        <f t="shared" si="3"/>
        <v>0</v>
      </c>
    </row>
    <row r="83" spans="2:37" x14ac:dyDescent="0.25">
      <c r="B83" s="2"/>
      <c r="D83" s="360" t="s">
        <v>55</v>
      </c>
      <c r="E83" s="360"/>
      <c r="F83" s="16" t="s">
        <v>500</v>
      </c>
      <c r="G83" s="16">
        <f>+M83-0.001</f>
        <v>0.224</v>
      </c>
      <c r="H83" s="16" t="s">
        <v>500</v>
      </c>
      <c r="I83" s="16" t="s">
        <v>500</v>
      </c>
      <c r="J83" s="16" t="s">
        <v>500</v>
      </c>
      <c r="K83" s="16" t="s">
        <v>500</v>
      </c>
      <c r="L83" s="16" t="s">
        <v>500</v>
      </c>
      <c r="M83" s="16">
        <v>0.22500000000000001</v>
      </c>
      <c r="O83" s="2"/>
      <c r="AE83" s="3" t="s">
        <v>55</v>
      </c>
      <c r="AF83" s="3">
        <v>9</v>
      </c>
      <c r="AG83" s="3">
        <f t="shared" si="0"/>
        <v>1</v>
      </c>
      <c r="AH83" s="3">
        <v>9</v>
      </c>
      <c r="AI83" s="3">
        <f t="shared" si="1"/>
        <v>1</v>
      </c>
      <c r="AJ83" s="3">
        <f t="shared" si="2"/>
        <v>0</v>
      </c>
      <c r="AK83" s="3">
        <f t="shared" si="3"/>
        <v>1</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1</v>
      </c>
      <c r="AH84" s="3">
        <v>10</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v>11</v>
      </c>
      <c r="AI85" s="3">
        <f t="shared" si="1"/>
        <v>0</v>
      </c>
      <c r="AJ85" s="3">
        <f t="shared" si="2"/>
        <v>0</v>
      </c>
      <c r="AK85" s="3">
        <f t="shared" si="3"/>
        <v>0</v>
      </c>
    </row>
    <row r="86" spans="2:37" x14ac:dyDescent="0.25">
      <c r="B86" s="2"/>
      <c r="D86" s="360" t="s">
        <v>58</v>
      </c>
      <c r="E86" s="360"/>
      <c r="F86" s="16" t="s">
        <v>500</v>
      </c>
      <c r="G86" s="16">
        <f>+M86-0.001</f>
        <v>0.29899999999999999</v>
      </c>
      <c r="H86" s="16" t="s">
        <v>500</v>
      </c>
      <c r="I86" s="16" t="s">
        <v>500</v>
      </c>
      <c r="J86" s="16"/>
      <c r="K86" s="16"/>
      <c r="L86" s="16"/>
      <c r="M86" s="16">
        <v>0.3</v>
      </c>
      <c r="O86" s="2"/>
      <c r="AE86" s="3" t="s">
        <v>58</v>
      </c>
      <c r="AF86" s="65">
        <v>12</v>
      </c>
      <c r="AG86" s="3">
        <f t="shared" si="0"/>
        <v>1</v>
      </c>
      <c r="AH86" s="65">
        <v>12</v>
      </c>
      <c r="AI86" s="3">
        <f t="shared" si="1"/>
        <v>1</v>
      </c>
      <c r="AJ86" s="3">
        <f t="shared" si="2"/>
        <v>0</v>
      </c>
      <c r="AK86" s="3">
        <f t="shared" si="3"/>
        <v>1</v>
      </c>
    </row>
    <row r="87" spans="2:37" ht="3.75" customHeight="1" x14ac:dyDescent="0.25">
      <c r="B87" s="2"/>
      <c r="O87" s="2"/>
    </row>
    <row r="88" spans="2:37" ht="66" customHeight="1" x14ac:dyDescent="0.25">
      <c r="B88" s="2"/>
      <c r="D88" s="338" t="s">
        <v>59</v>
      </c>
      <c r="E88" s="339"/>
      <c r="F88" s="340" t="s">
        <v>1928</v>
      </c>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2" customHeight="1" x14ac:dyDescent="0.25">
      <c r="B97" s="2"/>
      <c r="D97" s="359" t="s">
        <v>35</v>
      </c>
      <c r="E97" s="359"/>
      <c r="F97" s="344" t="s">
        <v>1927</v>
      </c>
      <c r="G97" s="344"/>
      <c r="H97" s="344"/>
      <c r="I97" s="344"/>
      <c r="J97" s="344"/>
      <c r="K97" s="344"/>
      <c r="L97" s="344"/>
      <c r="M97" s="344"/>
      <c r="O97" s="2"/>
    </row>
    <row r="98" spans="2:15" ht="42" customHeight="1" x14ac:dyDescent="0.25">
      <c r="B98" s="2"/>
      <c r="D98" s="359" t="s">
        <v>36</v>
      </c>
      <c r="E98" s="359"/>
      <c r="F98" s="344" t="s">
        <v>1927</v>
      </c>
      <c r="G98" s="344"/>
      <c r="H98" s="344"/>
      <c r="I98" s="344"/>
      <c r="J98" s="344"/>
      <c r="K98" s="344"/>
      <c r="L98" s="344"/>
      <c r="M98" s="344"/>
      <c r="O98" s="2"/>
    </row>
    <row r="99" spans="2:15" ht="3.95" customHeight="1" x14ac:dyDescent="0.25">
      <c r="B99" s="2"/>
      <c r="O99" s="2"/>
    </row>
    <row r="100" spans="2:15" ht="58.5" customHeight="1" x14ac:dyDescent="0.25">
      <c r="B100" s="2"/>
      <c r="D100" s="338" t="s">
        <v>62</v>
      </c>
      <c r="E100" s="339"/>
      <c r="F100" s="333"/>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2</v>
      </c>
      <c r="K102" s="20"/>
      <c r="O102" s="2"/>
    </row>
    <row r="103" spans="2:15" ht="19.5" customHeight="1" x14ac:dyDescent="0.25">
      <c r="B103" s="2"/>
      <c r="D103" s="331"/>
      <c r="E103" s="332"/>
      <c r="F103" s="19" t="s">
        <v>66</v>
      </c>
      <c r="G103" s="4"/>
      <c r="K103" s="21"/>
      <c r="O103" s="2"/>
    </row>
    <row r="104" spans="2:15" ht="27.75" customHeight="1" x14ac:dyDescent="0.25">
      <c r="B104" s="2"/>
      <c r="D104" s="331"/>
      <c r="E104" s="332"/>
      <c r="F104" s="19" t="s">
        <v>67</v>
      </c>
      <c r="G104" s="333"/>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Director(a) Servicio y Atención</v>
      </c>
      <c r="H108" s="334"/>
      <c r="I108" s="334"/>
      <c r="J108" s="334"/>
      <c r="K108" s="334"/>
      <c r="L108" s="334"/>
      <c r="M108" s="335"/>
      <c r="O108" s="2"/>
    </row>
    <row r="109" spans="2:15" ht="17.25" customHeight="1" x14ac:dyDescent="0.25">
      <c r="B109" s="2"/>
      <c r="D109" s="331"/>
      <c r="E109" s="332"/>
      <c r="F109" s="19" t="s">
        <v>2042</v>
      </c>
      <c r="G109" s="333" t="str">
        <f>+IF(M23="Si","Coordinador(a) Planeación y Sistemas","")</f>
        <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971" priority="33">
      <formula>+IF($F$43="no",1,0)</formula>
    </cfRule>
  </conditionalFormatting>
  <conditionalFormatting sqref="F32:M32">
    <cfRule type="expression" dxfId="970" priority="32">
      <formula>+IF($Q$30="NA",1,0)</formula>
    </cfRule>
  </conditionalFormatting>
  <conditionalFormatting sqref="F47:M47">
    <cfRule type="expression" dxfId="969" priority="30">
      <formula>+IF($Q$47=0,1,0)</formula>
    </cfRule>
  </conditionalFormatting>
  <conditionalFormatting sqref="F73:G73">
    <cfRule type="cellIs" dxfId="968" priority="16" operator="equal">
      <formula>"optimo"</formula>
    </cfRule>
    <cfRule type="cellIs" dxfId="967" priority="17" operator="equal">
      <formula>"critico"</formula>
    </cfRule>
  </conditionalFormatting>
  <conditionalFormatting sqref="H73:I73">
    <cfRule type="cellIs" dxfId="966" priority="14" operator="equal">
      <formula>"Adecuado"</formula>
    </cfRule>
    <cfRule type="cellIs" dxfId="965" priority="15" operator="equal">
      <formula>"en riesgo"</formula>
    </cfRule>
  </conditionalFormatting>
  <conditionalFormatting sqref="J73:K73">
    <cfRule type="cellIs" dxfId="964" priority="12" operator="equal">
      <formula>"Adecuado"</formula>
    </cfRule>
    <cfRule type="cellIs" dxfId="963" priority="13" operator="equal">
      <formula>"en riesgo"</formula>
    </cfRule>
  </conditionalFormatting>
  <conditionalFormatting sqref="L73:M73">
    <cfRule type="cellIs" dxfId="962" priority="10" operator="equal">
      <formula>"optimo"</formula>
    </cfRule>
    <cfRule type="cellIs" dxfId="961" priority="11" operator="equal">
      <formula>"critico"</formula>
    </cfRule>
  </conditionalFormatting>
  <conditionalFormatting sqref="F75:M86">
    <cfRule type="expression" dxfId="960" priority="9">
      <formula>+IF($AK75=0,1)</formula>
    </cfRule>
  </conditionalFormatting>
  <conditionalFormatting sqref="F103:G104">
    <cfRule type="expression" dxfId="959" priority="8">
      <formula>+IF($G$102="No",1,0)</formula>
    </cfRule>
  </conditionalFormatting>
  <conditionalFormatting sqref="F51">
    <cfRule type="expression" dxfId="958" priority="7">
      <formula>+IF($F$43="no",1,0)</formula>
    </cfRule>
  </conditionalFormatting>
  <conditionalFormatting sqref="I51">
    <cfRule type="expression" dxfId="957" priority="6">
      <formula>+IF($F$51="no",1,0)</formula>
    </cfRule>
  </conditionalFormatting>
  <conditionalFormatting sqref="F33:M33">
    <cfRule type="expression" dxfId="956" priority="5">
      <formula>+IF($Q$30="NA",1,0)</formula>
    </cfRule>
  </conditionalFormatting>
  <conditionalFormatting sqref="F33:M33">
    <cfRule type="expression" dxfId="955" priority="4">
      <formula>+IF($Q$33=0,1,0)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2">
    <tabColor rgb="FF0070C0"/>
  </sheetPr>
  <dimension ref="B1:AV113"/>
  <sheetViews>
    <sheetView zoomScale="90" zoomScaleNormal="90" workbookViewId="0"/>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385</v>
      </c>
      <c r="O10" s="2"/>
    </row>
    <row r="11" spans="2:24" ht="3.95" customHeight="1" x14ac:dyDescent="0.25">
      <c r="B11" s="2"/>
      <c r="D11" s="6"/>
      <c r="O11" s="2"/>
    </row>
    <row r="12" spans="2:24" ht="36" customHeight="1" x14ac:dyDescent="0.25">
      <c r="B12" s="2"/>
      <c r="D12" s="338" t="s">
        <v>5</v>
      </c>
      <c r="E12" s="339"/>
      <c r="F12" s="340" t="s">
        <v>386</v>
      </c>
      <c r="G12" s="341"/>
      <c r="H12" s="341"/>
      <c r="I12" s="341"/>
      <c r="J12" s="341"/>
      <c r="K12" s="341"/>
      <c r="L12" s="341"/>
      <c r="M12" s="342"/>
      <c r="O12" s="2"/>
      <c r="W12" s="3" t="str">
        <f>+F23</f>
        <v>Mensual</v>
      </c>
      <c r="X12" s="3" t="str">
        <f>+F71</f>
        <v>Enero</v>
      </c>
    </row>
    <row r="13" spans="2:24" ht="3.95" customHeight="1" x14ac:dyDescent="0.25">
      <c r="B13" s="2"/>
      <c r="O13" s="2"/>
    </row>
    <row r="14" spans="2:24" ht="38.25" customHeight="1" x14ac:dyDescent="0.25">
      <c r="B14" s="2"/>
      <c r="D14" s="338" t="s">
        <v>6</v>
      </c>
      <c r="E14" s="339"/>
      <c r="F14" s="340" t="s">
        <v>1264</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17">
        <v>0.91</v>
      </c>
      <c r="G22" s="337" t="s">
        <v>9</v>
      </c>
      <c r="H22" s="337"/>
      <c r="I22" s="17">
        <v>1</v>
      </c>
      <c r="K22" s="337" t="s">
        <v>10</v>
      </c>
      <c r="L22" s="337"/>
      <c r="M22" s="9" t="s">
        <v>496</v>
      </c>
      <c r="O22" s="2"/>
    </row>
    <row r="23" spans="2:17" ht="19.5" customHeight="1" x14ac:dyDescent="0.25">
      <c r="B23" s="2"/>
      <c r="D23" s="337" t="s">
        <v>11</v>
      </c>
      <c r="E23" s="337"/>
      <c r="F23" s="4" t="s">
        <v>84</v>
      </c>
      <c r="G23" s="337" t="s">
        <v>12</v>
      </c>
      <c r="H23" s="337"/>
      <c r="I23" s="4" t="s">
        <v>497</v>
      </c>
      <c r="K23" s="337" t="s">
        <v>13</v>
      </c>
      <c r="L23" s="337"/>
      <c r="M23" s="9" t="s">
        <v>496</v>
      </c>
      <c r="O23" s="2"/>
    </row>
    <row r="24" spans="2:17" ht="20.100000000000001" customHeight="1" x14ac:dyDescent="0.25">
      <c r="B24" s="2"/>
      <c r="D24" s="337" t="s">
        <v>14</v>
      </c>
      <c r="E24" s="337"/>
      <c r="F24" s="4" t="s">
        <v>498</v>
      </c>
      <c r="G24" s="337" t="s">
        <v>15</v>
      </c>
      <c r="H24" s="337"/>
      <c r="I24" s="4" t="s">
        <v>103</v>
      </c>
      <c r="K24" s="337" t="s">
        <v>16</v>
      </c>
      <c r="L24" s="337"/>
      <c r="M24" s="9" t="s">
        <v>496</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servicio</v>
      </c>
    </row>
    <row r="31" spans="2:17" ht="24" customHeight="1" x14ac:dyDescent="0.25">
      <c r="B31" s="2"/>
      <c r="D31" s="347"/>
      <c r="E31" s="348"/>
      <c r="F31" s="4" t="s">
        <v>379</v>
      </c>
      <c r="G31" s="340" t="s">
        <v>380</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1609</v>
      </c>
      <c r="G33" s="340" t="s">
        <v>1610</v>
      </c>
      <c r="H33" s="341"/>
      <c r="I33" s="341"/>
      <c r="J33" s="341"/>
      <c r="K33" s="341"/>
      <c r="L33" s="341"/>
      <c r="M33" s="342"/>
      <c r="O33" s="2"/>
      <c r="Q33" s="3">
        <f>+IFERROR(IF(VLOOKUP(G33,base!$A$26:$C$40,3,FALSE)=F31,1,0),"")</f>
        <v>1</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1716</v>
      </c>
      <c r="G35" s="340" t="s">
        <v>1592</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1250</v>
      </c>
      <c r="G45" s="340" t="s">
        <v>1251</v>
      </c>
      <c r="H45" s="341"/>
      <c r="I45" s="341"/>
      <c r="J45" s="341"/>
      <c r="K45" s="341"/>
      <c r="L45" s="341"/>
      <c r="M45" s="342"/>
      <c r="O45" s="2"/>
      <c r="Q45" s="3" t="str">
        <f>+IFERROR(VLOOKUP(G45,base!$A$41:$C$45,3,FALSE),"")</f>
        <v>transparencia</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1518</v>
      </c>
      <c r="G47" s="340" t="s">
        <v>1608</v>
      </c>
      <c r="H47" s="341"/>
      <c r="I47" s="341"/>
      <c r="J47" s="341"/>
      <c r="K47" s="341"/>
      <c r="L47" s="341"/>
      <c r="M47" s="342"/>
      <c r="O47" s="2"/>
      <c r="Q47" s="3">
        <f>+IF(VLOOKUP(G47,base!$A$46:$C$66,3,FALSE)=F45,1,0)</f>
        <v>1</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920</v>
      </c>
      <c r="G49" s="340" t="s">
        <v>899</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17"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37" t="s">
        <v>34</v>
      </c>
      <c r="E59" s="337"/>
      <c r="F59" s="344" t="s">
        <v>1265</v>
      </c>
      <c r="G59" s="344"/>
      <c r="H59" s="344"/>
      <c r="I59" s="344"/>
      <c r="J59" s="344"/>
      <c r="K59" s="344"/>
      <c r="L59" s="344"/>
      <c r="M59" s="344"/>
      <c r="O59" s="2"/>
    </row>
    <row r="60" spans="2:15" ht="66" customHeight="1" x14ac:dyDescent="0.25">
      <c r="B60" s="2"/>
      <c r="D60" s="359" t="s">
        <v>35</v>
      </c>
      <c r="E60" s="359"/>
      <c r="F60" s="344" t="s">
        <v>1266</v>
      </c>
      <c r="G60" s="344"/>
      <c r="H60" s="344"/>
      <c r="I60" s="344"/>
      <c r="J60" s="344"/>
      <c r="K60" s="344"/>
      <c r="L60" s="344"/>
      <c r="M60" s="344"/>
      <c r="O60" s="2"/>
    </row>
    <row r="61" spans="2:15" ht="41.25" customHeight="1" x14ac:dyDescent="0.25">
      <c r="B61" s="2"/>
      <c r="D61" s="359" t="s">
        <v>36</v>
      </c>
      <c r="E61" s="359"/>
      <c r="F61" s="340" t="s">
        <v>1267</v>
      </c>
      <c r="G61" s="341"/>
      <c r="H61" s="341"/>
      <c r="I61" s="341"/>
      <c r="J61" s="341"/>
      <c r="K61" s="341"/>
      <c r="L61" s="341"/>
      <c r="M61" s="342"/>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43" t="s">
        <v>39</v>
      </c>
      <c r="E71" s="343"/>
      <c r="F71" s="4" t="s">
        <v>46</v>
      </c>
      <c r="G71" s="3">
        <v>1</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v>0.69899999999999995</v>
      </c>
      <c r="H75" s="16">
        <v>0.7</v>
      </c>
      <c r="I75" s="16">
        <v>0.89900000000000002</v>
      </c>
      <c r="J75" s="16">
        <v>0.9</v>
      </c>
      <c r="K75" s="16">
        <v>0.999</v>
      </c>
      <c r="L75" s="16" t="s">
        <v>500</v>
      </c>
      <c r="M75" s="16">
        <v>1</v>
      </c>
      <c r="O75" s="2"/>
      <c r="AE75" s="3" t="s">
        <v>46</v>
      </c>
      <c r="AF75" s="3">
        <v>1</v>
      </c>
      <c r="AG75" s="3">
        <f>+IF(AF75&gt;=$G$71,1,0)</f>
        <v>1</v>
      </c>
      <c r="AH75" s="3">
        <f>+IF(AG75=0,0,IF(AG75=1,(SUM($AG$75:AG75)-1),1))</f>
        <v>0</v>
      </c>
      <c r="AI75" s="3">
        <f>+IF(AH75=0,0,IF(MOD(AH75,$U$69)=0,1,0))</f>
        <v>0</v>
      </c>
      <c r="AJ75" s="3">
        <f>+IF(AE75=$F$71,1,0)</f>
        <v>1</v>
      </c>
      <c r="AK75" s="3">
        <f>+MAX(AI75:AJ75)</f>
        <v>1</v>
      </c>
    </row>
    <row r="76" spans="2:37" x14ac:dyDescent="0.25">
      <c r="B76" s="2"/>
      <c r="D76" s="360" t="s">
        <v>40</v>
      </c>
      <c r="E76" s="360"/>
      <c r="F76" s="16" t="s">
        <v>500</v>
      </c>
      <c r="G76" s="16">
        <v>0.69899999999999995</v>
      </c>
      <c r="H76" s="16">
        <v>0.7</v>
      </c>
      <c r="I76" s="16">
        <v>0.89900000000000002</v>
      </c>
      <c r="J76" s="16">
        <v>0.9</v>
      </c>
      <c r="K76" s="16">
        <v>0.999</v>
      </c>
      <c r="L76" s="16" t="s">
        <v>500</v>
      </c>
      <c r="M76" s="16">
        <v>1</v>
      </c>
      <c r="O76" s="2"/>
      <c r="AE76" s="3" t="s">
        <v>40</v>
      </c>
      <c r="AF76" s="3">
        <v>2</v>
      </c>
      <c r="AG76" s="3">
        <f t="shared" ref="AG76:AG86" si="0">+IF(AF76&gt;=$G$71,1,0)</f>
        <v>1</v>
      </c>
      <c r="AH76" s="3">
        <f>+IF(AG76=0,0,IF(AG76=1,(SUM($AG$75:AG76)-1),1))</f>
        <v>1</v>
      </c>
      <c r="AI76" s="3">
        <f t="shared" ref="AI76:AI86" si="1">+IF(AH76=0,0,IF(MOD(AH76,$U$69)=0,1,0))</f>
        <v>1</v>
      </c>
      <c r="AJ76" s="3">
        <f t="shared" ref="AJ76:AJ86" si="2">+IF(AE76=$F$71,1,0)</f>
        <v>0</v>
      </c>
      <c r="AK76" s="3">
        <f t="shared" ref="AK76:AK86" si="3">+MAX(AI76:AJ76)</f>
        <v>1</v>
      </c>
    </row>
    <row r="77" spans="2:37" x14ac:dyDescent="0.25">
      <c r="B77" s="2"/>
      <c r="D77" s="360" t="s">
        <v>47</v>
      </c>
      <c r="E77" s="360"/>
      <c r="F77" s="16" t="s">
        <v>500</v>
      </c>
      <c r="G77" s="16">
        <v>0.69899999999999995</v>
      </c>
      <c r="H77" s="16">
        <v>0.7</v>
      </c>
      <c r="I77" s="16">
        <v>0.89900000000000002</v>
      </c>
      <c r="J77" s="16">
        <v>0.9</v>
      </c>
      <c r="K77" s="16">
        <v>0.999</v>
      </c>
      <c r="L77" s="16" t="s">
        <v>500</v>
      </c>
      <c r="M77" s="16">
        <v>1</v>
      </c>
      <c r="O77" s="2"/>
      <c r="AE77" s="3" t="s">
        <v>47</v>
      </c>
      <c r="AF77" s="3">
        <v>3</v>
      </c>
      <c r="AG77" s="3">
        <f t="shared" si="0"/>
        <v>1</v>
      </c>
      <c r="AH77" s="3">
        <f>+IF(AG77=0,0,IF(AG77=1,(SUM($AG$75:AG77)-1),1))</f>
        <v>2</v>
      </c>
      <c r="AI77" s="3">
        <f t="shared" si="1"/>
        <v>1</v>
      </c>
      <c r="AJ77" s="3">
        <f t="shared" si="2"/>
        <v>0</v>
      </c>
      <c r="AK77" s="3">
        <f t="shared" si="3"/>
        <v>1</v>
      </c>
    </row>
    <row r="78" spans="2:37" x14ac:dyDescent="0.25">
      <c r="B78" s="2"/>
      <c r="D78" s="360" t="s">
        <v>48</v>
      </c>
      <c r="E78" s="360"/>
      <c r="F78" s="16" t="s">
        <v>500</v>
      </c>
      <c r="G78" s="16">
        <v>0.69899999999999995</v>
      </c>
      <c r="H78" s="16">
        <v>0.7</v>
      </c>
      <c r="I78" s="16">
        <v>0.89900000000000002</v>
      </c>
      <c r="J78" s="16">
        <v>0.9</v>
      </c>
      <c r="K78" s="16">
        <v>0.999</v>
      </c>
      <c r="L78" s="16" t="s">
        <v>500</v>
      </c>
      <c r="M78" s="16">
        <v>1</v>
      </c>
      <c r="O78" s="2"/>
      <c r="AE78" s="3" t="s">
        <v>48</v>
      </c>
      <c r="AF78" s="3">
        <v>4</v>
      </c>
      <c r="AG78" s="3">
        <f t="shared" si="0"/>
        <v>1</v>
      </c>
      <c r="AH78" s="3">
        <f>+IF(AG78=0,0,IF(AG78=1,(SUM($AG$75:AG78)-1),1))</f>
        <v>3</v>
      </c>
      <c r="AI78" s="3">
        <f t="shared" si="1"/>
        <v>1</v>
      </c>
      <c r="AJ78" s="3">
        <f t="shared" si="2"/>
        <v>0</v>
      </c>
      <c r="AK78" s="3">
        <f t="shared" si="3"/>
        <v>1</v>
      </c>
    </row>
    <row r="79" spans="2:37" x14ac:dyDescent="0.25">
      <c r="B79" s="2"/>
      <c r="D79" s="360" t="s">
        <v>49</v>
      </c>
      <c r="E79" s="360"/>
      <c r="F79" s="16" t="s">
        <v>500</v>
      </c>
      <c r="G79" s="16">
        <v>0.69899999999999995</v>
      </c>
      <c r="H79" s="16">
        <v>0.7</v>
      </c>
      <c r="I79" s="16">
        <v>0.89900000000000002</v>
      </c>
      <c r="J79" s="16">
        <v>0.9</v>
      </c>
      <c r="K79" s="16">
        <v>0.999</v>
      </c>
      <c r="L79" s="16" t="s">
        <v>500</v>
      </c>
      <c r="M79" s="16">
        <v>1</v>
      </c>
      <c r="O79" s="2"/>
      <c r="AE79" s="3" t="s">
        <v>49</v>
      </c>
      <c r="AF79" s="3">
        <v>5</v>
      </c>
      <c r="AG79" s="3">
        <f t="shared" si="0"/>
        <v>1</v>
      </c>
      <c r="AH79" s="3">
        <f>+IF(AG79=0,0,IF(AG79=1,(SUM($AG$75:AG79)-1),1))</f>
        <v>4</v>
      </c>
      <c r="AI79" s="3">
        <f t="shared" si="1"/>
        <v>1</v>
      </c>
      <c r="AJ79" s="3">
        <f t="shared" si="2"/>
        <v>0</v>
      </c>
      <c r="AK79" s="3">
        <f t="shared" si="3"/>
        <v>1</v>
      </c>
    </row>
    <row r="80" spans="2:37" x14ac:dyDescent="0.25">
      <c r="B80" s="2"/>
      <c r="D80" s="360" t="s">
        <v>50</v>
      </c>
      <c r="E80" s="360"/>
      <c r="F80" s="16" t="s">
        <v>500</v>
      </c>
      <c r="G80" s="16">
        <v>0.69899999999999995</v>
      </c>
      <c r="H80" s="16">
        <v>0.7</v>
      </c>
      <c r="I80" s="16">
        <v>0.89900000000000002</v>
      </c>
      <c r="J80" s="16">
        <v>0.9</v>
      </c>
      <c r="K80" s="16">
        <v>0.999</v>
      </c>
      <c r="L80" s="16" t="s">
        <v>500</v>
      </c>
      <c r="M80" s="16">
        <v>1</v>
      </c>
      <c r="O80" s="2"/>
      <c r="AE80" s="3" t="s">
        <v>50</v>
      </c>
      <c r="AF80" s="3">
        <v>6</v>
      </c>
      <c r="AG80" s="3">
        <f t="shared" si="0"/>
        <v>1</v>
      </c>
      <c r="AH80" s="3">
        <f>+IF(AG80=0,0,IF(AG80=1,(SUM($AG$75:AG80)-1),1))</f>
        <v>5</v>
      </c>
      <c r="AI80" s="3">
        <f t="shared" si="1"/>
        <v>1</v>
      </c>
      <c r="AJ80" s="3">
        <f t="shared" si="2"/>
        <v>0</v>
      </c>
      <c r="AK80" s="3">
        <f t="shared" si="3"/>
        <v>1</v>
      </c>
    </row>
    <row r="81" spans="2:37" x14ac:dyDescent="0.25">
      <c r="B81" s="2"/>
      <c r="D81" s="360" t="s">
        <v>53</v>
      </c>
      <c r="E81" s="360"/>
      <c r="F81" s="16" t="s">
        <v>500</v>
      </c>
      <c r="G81" s="16">
        <v>0.69899999999999995</v>
      </c>
      <c r="H81" s="16">
        <v>0.7</v>
      </c>
      <c r="I81" s="16">
        <v>0.89900000000000002</v>
      </c>
      <c r="J81" s="16">
        <v>0.9</v>
      </c>
      <c r="K81" s="16">
        <v>0.999</v>
      </c>
      <c r="L81" s="16" t="s">
        <v>500</v>
      </c>
      <c r="M81" s="16">
        <v>1</v>
      </c>
      <c r="O81" s="2"/>
      <c r="AE81" s="3" t="s">
        <v>53</v>
      </c>
      <c r="AF81" s="3">
        <v>7</v>
      </c>
      <c r="AG81" s="3">
        <f t="shared" si="0"/>
        <v>1</v>
      </c>
      <c r="AH81" s="3">
        <f>+IF(AG81=0,0,IF(AG81=1,(SUM($AG$75:AG81)-1),1))</f>
        <v>6</v>
      </c>
      <c r="AI81" s="3">
        <f t="shared" si="1"/>
        <v>1</v>
      </c>
      <c r="AJ81" s="3">
        <f t="shared" si="2"/>
        <v>0</v>
      </c>
      <c r="AK81" s="3">
        <f t="shared" si="3"/>
        <v>1</v>
      </c>
    </row>
    <row r="82" spans="2:37" x14ac:dyDescent="0.25">
      <c r="B82" s="2"/>
      <c r="D82" s="360" t="s">
        <v>54</v>
      </c>
      <c r="E82" s="360"/>
      <c r="F82" s="16" t="s">
        <v>500</v>
      </c>
      <c r="G82" s="16">
        <v>0.69899999999999995</v>
      </c>
      <c r="H82" s="16">
        <v>0.7</v>
      </c>
      <c r="I82" s="16">
        <v>0.89900000000000002</v>
      </c>
      <c r="J82" s="16">
        <v>0.9</v>
      </c>
      <c r="K82" s="16">
        <v>0.999</v>
      </c>
      <c r="L82" s="16" t="s">
        <v>500</v>
      </c>
      <c r="M82" s="16">
        <v>1</v>
      </c>
      <c r="O82" s="2"/>
      <c r="AE82" s="3" t="s">
        <v>54</v>
      </c>
      <c r="AF82" s="3">
        <v>8</v>
      </c>
      <c r="AG82" s="3">
        <f t="shared" si="0"/>
        <v>1</v>
      </c>
      <c r="AH82" s="3">
        <f>+IF(AG82=0,0,IF(AG82=1,(SUM($AG$75:AG82)-1),1))</f>
        <v>7</v>
      </c>
      <c r="AI82" s="3">
        <f t="shared" si="1"/>
        <v>1</v>
      </c>
      <c r="AJ82" s="3">
        <f t="shared" si="2"/>
        <v>0</v>
      </c>
      <c r="AK82" s="3">
        <f t="shared" si="3"/>
        <v>1</v>
      </c>
    </row>
    <row r="83" spans="2:37" x14ac:dyDescent="0.25">
      <c r="B83" s="2"/>
      <c r="D83" s="360" t="s">
        <v>55</v>
      </c>
      <c r="E83" s="360"/>
      <c r="F83" s="16" t="s">
        <v>500</v>
      </c>
      <c r="G83" s="16">
        <v>0.69899999999999995</v>
      </c>
      <c r="H83" s="16">
        <v>0.7</v>
      </c>
      <c r="I83" s="16">
        <v>0.89900000000000002</v>
      </c>
      <c r="J83" s="16">
        <v>0.9</v>
      </c>
      <c r="K83" s="16">
        <v>0.999</v>
      </c>
      <c r="L83" s="16" t="s">
        <v>500</v>
      </c>
      <c r="M83" s="16">
        <v>1</v>
      </c>
      <c r="O83" s="2"/>
      <c r="AE83" s="3" t="s">
        <v>55</v>
      </c>
      <c r="AF83" s="3">
        <v>9</v>
      </c>
      <c r="AG83" s="3">
        <f t="shared" si="0"/>
        <v>1</v>
      </c>
      <c r="AH83" s="3">
        <f>+IF(AG83=0,0,IF(AG83=1,(SUM($AG$75:AG83)-1),1))</f>
        <v>8</v>
      </c>
      <c r="AI83" s="3">
        <f t="shared" si="1"/>
        <v>1</v>
      </c>
      <c r="AJ83" s="3">
        <f t="shared" si="2"/>
        <v>0</v>
      </c>
      <c r="AK83" s="3">
        <f t="shared" si="3"/>
        <v>1</v>
      </c>
    </row>
    <row r="84" spans="2:37" x14ac:dyDescent="0.25">
      <c r="B84" s="2"/>
      <c r="D84" s="360" t="s">
        <v>56</v>
      </c>
      <c r="E84" s="360"/>
      <c r="F84" s="16" t="s">
        <v>500</v>
      </c>
      <c r="G84" s="16">
        <v>0.69899999999999995</v>
      </c>
      <c r="H84" s="16">
        <v>0.7</v>
      </c>
      <c r="I84" s="16">
        <v>0.89900000000000002</v>
      </c>
      <c r="J84" s="16">
        <v>0.9</v>
      </c>
      <c r="K84" s="16">
        <v>0.999</v>
      </c>
      <c r="L84" s="16" t="s">
        <v>500</v>
      </c>
      <c r="M84" s="16">
        <v>1</v>
      </c>
      <c r="O84" s="2"/>
      <c r="AE84" s="3" t="s">
        <v>56</v>
      </c>
      <c r="AF84" s="3">
        <v>10</v>
      </c>
      <c r="AG84" s="3">
        <f t="shared" si="0"/>
        <v>1</v>
      </c>
      <c r="AH84" s="3">
        <f>+IF(AG84=0,0,IF(AG84=1,(SUM($AG$75:AG84)-1),1))</f>
        <v>9</v>
      </c>
      <c r="AI84" s="3">
        <f t="shared" si="1"/>
        <v>1</v>
      </c>
      <c r="AJ84" s="3">
        <f t="shared" si="2"/>
        <v>0</v>
      </c>
      <c r="AK84" s="3">
        <f t="shared" si="3"/>
        <v>1</v>
      </c>
    </row>
    <row r="85" spans="2:37" x14ac:dyDescent="0.25">
      <c r="B85" s="2"/>
      <c r="D85" s="360" t="s">
        <v>57</v>
      </c>
      <c r="E85" s="360"/>
      <c r="F85" s="16" t="s">
        <v>500</v>
      </c>
      <c r="G85" s="16">
        <v>0.69899999999999995</v>
      </c>
      <c r="H85" s="16">
        <v>0.7</v>
      </c>
      <c r="I85" s="16">
        <v>0.89900000000000002</v>
      </c>
      <c r="J85" s="16">
        <v>0.9</v>
      </c>
      <c r="K85" s="16">
        <v>0.999</v>
      </c>
      <c r="L85" s="16" t="s">
        <v>500</v>
      </c>
      <c r="M85" s="16">
        <v>1</v>
      </c>
      <c r="O85" s="2"/>
      <c r="AE85" s="3" t="s">
        <v>57</v>
      </c>
      <c r="AF85" s="3">
        <v>11</v>
      </c>
      <c r="AG85" s="3">
        <f t="shared" si="0"/>
        <v>1</v>
      </c>
      <c r="AH85" s="3">
        <f>+IF(AG85=0,0,IF(AG85=1,(SUM($AG$75:AG85)-1),1))</f>
        <v>10</v>
      </c>
      <c r="AI85" s="3">
        <f t="shared" si="1"/>
        <v>1</v>
      </c>
      <c r="AJ85" s="3">
        <f t="shared" si="2"/>
        <v>0</v>
      </c>
      <c r="AK85" s="3">
        <f t="shared" si="3"/>
        <v>1</v>
      </c>
    </row>
    <row r="86" spans="2:37" x14ac:dyDescent="0.25">
      <c r="B86" s="2"/>
      <c r="D86" s="360" t="s">
        <v>58</v>
      </c>
      <c r="E86" s="360"/>
      <c r="F86" s="16" t="s">
        <v>500</v>
      </c>
      <c r="G86" s="16">
        <v>0.69899999999999995</v>
      </c>
      <c r="H86" s="16">
        <v>0.7</v>
      </c>
      <c r="I86" s="16">
        <v>0.89900000000000002</v>
      </c>
      <c r="J86" s="16">
        <v>0.9</v>
      </c>
      <c r="K86" s="16">
        <v>0.999</v>
      </c>
      <c r="L86" s="16" t="s">
        <v>500</v>
      </c>
      <c r="M86" s="16">
        <v>1</v>
      </c>
      <c r="O86" s="2"/>
      <c r="AE86" s="3" t="s">
        <v>58</v>
      </c>
      <c r="AF86" s="65">
        <v>12</v>
      </c>
      <c r="AG86" s="3">
        <f t="shared" si="0"/>
        <v>1</v>
      </c>
      <c r="AH86" s="3">
        <f>+IF(AG86=0,0,IF(AG86=1,(SUM($AG$75:AG86)-1),1))</f>
        <v>11</v>
      </c>
      <c r="AI86" s="3">
        <f t="shared" si="1"/>
        <v>1</v>
      </c>
      <c r="AJ86" s="3">
        <f t="shared" si="2"/>
        <v>0</v>
      </c>
      <c r="AK86" s="3">
        <f t="shared" si="3"/>
        <v>1</v>
      </c>
    </row>
    <row r="87" spans="2:37" ht="3.75" customHeight="1" x14ac:dyDescent="0.25">
      <c r="B87" s="2"/>
      <c r="O87" s="2"/>
    </row>
    <row r="88" spans="2:37" ht="66" customHeight="1" x14ac:dyDescent="0.25">
      <c r="B88" s="2"/>
      <c r="D88" s="338" t="s">
        <v>59</v>
      </c>
      <c r="E88" s="339"/>
      <c r="F88" s="340" t="s">
        <v>2112</v>
      </c>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2" customHeight="1" x14ac:dyDescent="0.25">
      <c r="B97" s="2"/>
      <c r="D97" s="359" t="s">
        <v>35</v>
      </c>
      <c r="E97" s="359"/>
      <c r="F97" s="344" t="s">
        <v>1272</v>
      </c>
      <c r="G97" s="344"/>
      <c r="H97" s="344"/>
      <c r="I97" s="344"/>
      <c r="J97" s="344"/>
      <c r="K97" s="344"/>
      <c r="L97" s="344"/>
      <c r="M97" s="344"/>
      <c r="O97" s="2"/>
    </row>
    <row r="98" spans="2:15" ht="42" customHeight="1" x14ac:dyDescent="0.25">
      <c r="B98" s="2"/>
      <c r="D98" s="359" t="s">
        <v>36</v>
      </c>
      <c r="E98" s="359"/>
      <c r="F98" s="344" t="s">
        <v>1272</v>
      </c>
      <c r="G98" s="344"/>
      <c r="H98" s="344"/>
      <c r="I98" s="344"/>
      <c r="J98" s="344"/>
      <c r="K98" s="344"/>
      <c r="L98" s="344"/>
      <c r="M98" s="344"/>
      <c r="O98" s="2"/>
    </row>
    <row r="99" spans="2:15" ht="3.95" customHeight="1" x14ac:dyDescent="0.25">
      <c r="B99" s="2"/>
      <c r="O99" s="2"/>
    </row>
    <row r="100" spans="2:15" ht="66.75" customHeight="1" x14ac:dyDescent="0.25">
      <c r="B100" s="2"/>
      <c r="D100" s="338" t="s">
        <v>62</v>
      </c>
      <c r="E100" s="339"/>
      <c r="F100" s="340" t="s">
        <v>1244</v>
      </c>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1</v>
      </c>
      <c r="K102" s="20"/>
      <c r="O102" s="2"/>
    </row>
    <row r="103" spans="2:15" ht="19.5" customHeight="1" x14ac:dyDescent="0.25">
      <c r="B103" s="2"/>
      <c r="D103" s="331"/>
      <c r="E103" s="332"/>
      <c r="F103" s="19" t="s">
        <v>66</v>
      </c>
      <c r="G103" s="4" t="s">
        <v>1844</v>
      </c>
      <c r="K103" s="21"/>
      <c r="O103" s="2"/>
    </row>
    <row r="104" spans="2:15" ht="27.75" customHeight="1" x14ac:dyDescent="0.25">
      <c r="B104" s="2"/>
      <c r="D104" s="331"/>
      <c r="E104" s="332"/>
      <c r="F104" s="19" t="s">
        <v>67</v>
      </c>
      <c r="G104" s="333" t="s">
        <v>1845</v>
      </c>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Director(a) Servicio y Atención</v>
      </c>
      <c r="H108" s="334"/>
      <c r="I108" s="334"/>
      <c r="J108" s="334"/>
      <c r="K108" s="334"/>
      <c r="L108" s="334"/>
      <c r="M108" s="335"/>
      <c r="O108" s="2"/>
    </row>
    <row r="109" spans="2:15" ht="17.25" customHeight="1" x14ac:dyDescent="0.25">
      <c r="B109" s="2"/>
      <c r="D109" s="331"/>
      <c r="E109" s="332"/>
      <c r="F109" s="19" t="s">
        <v>2042</v>
      </c>
      <c r="G109" s="333" t="str">
        <f>+IF(M23="Si","Coordinador(a) Planeación y Sistemas","")</f>
        <v>Coordinador(a) Planeación y Sistemas</v>
      </c>
      <c r="H109" s="334"/>
      <c r="I109" s="334"/>
      <c r="J109" s="334"/>
      <c r="K109" s="334"/>
      <c r="L109" s="334"/>
      <c r="M109" s="335"/>
      <c r="O109" s="2"/>
    </row>
    <row r="110" spans="2:15" ht="17.25" customHeight="1" x14ac:dyDescent="0.25">
      <c r="B110" s="2"/>
      <c r="D110" s="331"/>
      <c r="E110" s="332"/>
      <c r="F110" s="19" t="s">
        <v>2043</v>
      </c>
      <c r="G110" s="333" t="str">
        <f>+IF(M24="Si","Coordinador(a) Centro Zonal","")</f>
        <v>Coordinador(a) Centro Zonal</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6 F48:M49">
    <cfRule type="expression" dxfId="954" priority="24">
      <formula>+IF($F$43="no",1,0)</formula>
    </cfRule>
  </conditionalFormatting>
  <conditionalFormatting sqref="F32:M32">
    <cfRule type="expression" dxfId="953" priority="23">
      <formula>+IF($Q$30="NA",1,0)</formula>
    </cfRule>
  </conditionalFormatting>
  <conditionalFormatting sqref="F73:G73">
    <cfRule type="cellIs" dxfId="952" priority="18" operator="equal">
      <formula>"optimo"</formula>
    </cfRule>
    <cfRule type="cellIs" dxfId="951" priority="19" operator="equal">
      <formula>"critico"</formula>
    </cfRule>
  </conditionalFormatting>
  <conditionalFormatting sqref="H73:I73">
    <cfRule type="cellIs" dxfId="950" priority="16" operator="equal">
      <formula>"Adecuado"</formula>
    </cfRule>
    <cfRule type="cellIs" dxfId="949" priority="17" operator="equal">
      <formula>"en riesgo"</formula>
    </cfRule>
  </conditionalFormatting>
  <conditionalFormatting sqref="J73:K73">
    <cfRule type="cellIs" dxfId="948" priority="14" operator="equal">
      <formula>"Adecuado"</formula>
    </cfRule>
    <cfRule type="cellIs" dxfId="947" priority="15" operator="equal">
      <formula>"en riesgo"</formula>
    </cfRule>
  </conditionalFormatting>
  <conditionalFormatting sqref="L73:M73">
    <cfRule type="cellIs" dxfId="946" priority="12" operator="equal">
      <formula>"optimo"</formula>
    </cfRule>
    <cfRule type="cellIs" dxfId="945" priority="13" operator="equal">
      <formula>"critico"</formula>
    </cfRule>
  </conditionalFormatting>
  <conditionalFormatting sqref="F75:M86">
    <cfRule type="expression" dxfId="944" priority="11">
      <formula>+IF($AK75=0,1)</formula>
    </cfRule>
  </conditionalFormatting>
  <conditionalFormatting sqref="F103:G104">
    <cfRule type="expression" dxfId="943" priority="10">
      <formula>+IF($G$102="No",1,0)</formula>
    </cfRule>
  </conditionalFormatting>
  <conditionalFormatting sqref="F51">
    <cfRule type="expression" dxfId="942" priority="9">
      <formula>+IF($F$43="no",1,0)</formula>
    </cfRule>
  </conditionalFormatting>
  <conditionalFormatting sqref="I51">
    <cfRule type="expression" dxfId="941" priority="8">
      <formula>+IF($F$51="no",1,0)</formula>
    </cfRule>
  </conditionalFormatting>
  <conditionalFormatting sqref="F33:M33">
    <cfRule type="expression" dxfId="940" priority="5">
      <formula>+IF($Q$30="NA",1,0)</formula>
    </cfRule>
  </conditionalFormatting>
  <conditionalFormatting sqref="F33:M33">
    <cfRule type="expression" dxfId="939" priority="4">
      <formula>+IF($Q$33=0,1,0)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3">
    <tabColor rgb="FF0070C0"/>
  </sheetPr>
  <dimension ref="B1:AV113"/>
  <sheetViews>
    <sheetView zoomScale="90" zoomScaleNormal="90" workbookViewId="0"/>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387</v>
      </c>
      <c r="O10" s="2"/>
    </row>
    <row r="11" spans="2:24" ht="3.95" customHeight="1" x14ac:dyDescent="0.25">
      <c r="B11" s="2"/>
      <c r="D11" s="6"/>
      <c r="O11" s="2"/>
    </row>
    <row r="12" spans="2:24" ht="36" customHeight="1" x14ac:dyDescent="0.25">
      <c r="B12" s="2"/>
      <c r="D12" s="338" t="s">
        <v>5</v>
      </c>
      <c r="E12" s="339"/>
      <c r="F12" s="340" t="s">
        <v>388</v>
      </c>
      <c r="G12" s="341"/>
      <c r="H12" s="341"/>
      <c r="I12" s="341"/>
      <c r="J12" s="341"/>
      <c r="K12" s="341"/>
      <c r="L12" s="341"/>
      <c r="M12" s="342"/>
      <c r="O12" s="2"/>
      <c r="W12" s="3" t="str">
        <f>+F23</f>
        <v>Mensual</v>
      </c>
      <c r="X12" s="3" t="str">
        <f>+F71</f>
        <v>Enero</v>
      </c>
    </row>
    <row r="13" spans="2:24" ht="3.95" customHeight="1" x14ac:dyDescent="0.25">
      <c r="B13" s="2"/>
      <c r="O13" s="2"/>
    </row>
    <row r="14" spans="2:24" ht="38.25" customHeight="1" x14ac:dyDescent="0.25">
      <c r="B14" s="2"/>
      <c r="D14" s="338" t="s">
        <v>6</v>
      </c>
      <c r="E14" s="339"/>
      <c r="F14" s="340" t="s">
        <v>1260</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17">
        <v>0.89</v>
      </c>
      <c r="G22" s="337" t="s">
        <v>9</v>
      </c>
      <c r="H22" s="337"/>
      <c r="I22" s="17">
        <v>1</v>
      </c>
      <c r="K22" s="337" t="s">
        <v>10</v>
      </c>
      <c r="L22" s="337"/>
      <c r="M22" s="9" t="s">
        <v>496</v>
      </c>
      <c r="O22" s="2"/>
    </row>
    <row r="23" spans="2:17" ht="19.5" customHeight="1" x14ac:dyDescent="0.25">
      <c r="B23" s="2"/>
      <c r="D23" s="337" t="s">
        <v>11</v>
      </c>
      <c r="E23" s="337"/>
      <c r="F23" s="4" t="s">
        <v>84</v>
      </c>
      <c r="G23" s="337" t="s">
        <v>12</v>
      </c>
      <c r="H23" s="337"/>
      <c r="I23" s="4" t="s">
        <v>497</v>
      </c>
      <c r="K23" s="337" t="s">
        <v>13</v>
      </c>
      <c r="L23" s="337"/>
      <c r="M23" s="9" t="s">
        <v>496</v>
      </c>
      <c r="O23" s="2"/>
    </row>
    <row r="24" spans="2:17" ht="20.100000000000001" customHeight="1" x14ac:dyDescent="0.25">
      <c r="B24" s="2"/>
      <c r="D24" s="337" t="s">
        <v>14</v>
      </c>
      <c r="E24" s="337"/>
      <c r="F24" s="4" t="s">
        <v>498</v>
      </c>
      <c r="G24" s="337" t="s">
        <v>15</v>
      </c>
      <c r="H24" s="337"/>
      <c r="I24" s="4" t="s">
        <v>103</v>
      </c>
      <c r="K24" s="337" t="s">
        <v>16</v>
      </c>
      <c r="L24" s="337"/>
      <c r="M24" s="9" t="s">
        <v>496</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servicio</v>
      </c>
    </row>
    <row r="31" spans="2:17" ht="24" customHeight="1" x14ac:dyDescent="0.25">
      <c r="B31" s="2"/>
      <c r="D31" s="347"/>
      <c r="E31" s="348"/>
      <c r="F31" s="4" t="s">
        <v>379</v>
      </c>
      <c r="G31" s="340" t="s">
        <v>380</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1609</v>
      </c>
      <c r="G33" s="340" t="s">
        <v>1610</v>
      </c>
      <c r="H33" s="341"/>
      <c r="I33" s="341"/>
      <c r="J33" s="341"/>
      <c r="K33" s="341"/>
      <c r="L33" s="341"/>
      <c r="M33" s="342"/>
      <c r="O33" s="2"/>
      <c r="Q33" s="3">
        <f>+IFERROR(IF(VLOOKUP(G33,base!$A$26:$C$40,3,FALSE)=F31,1,0),"")</f>
        <v>1</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1716</v>
      </c>
      <c r="G35" s="340" t="s">
        <v>1592</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2</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500</v>
      </c>
      <c r="G45" s="340" t="s">
        <v>512</v>
      </c>
      <c r="H45" s="341"/>
      <c r="I45" s="341"/>
      <c r="J45" s="341"/>
      <c r="K45" s="341"/>
      <c r="L45" s="341"/>
      <c r="M45" s="342"/>
      <c r="O45" s="2"/>
      <c r="Q45" s="3" t="str">
        <f>+IFERROR(VLOOKUP(G45,base!$A$41:$C$45,3,FALSE),"")</f>
        <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503</v>
      </c>
      <c r="G47" s="340"/>
      <c r="H47" s="341"/>
      <c r="I47" s="341"/>
      <c r="J47" s="341"/>
      <c r="K47" s="341"/>
      <c r="L47" s="341"/>
      <c r="M47" s="342"/>
      <c r="O47" s="2"/>
      <c r="Q47" s="3" t="e">
        <f>+IF(VLOOKUP(G47,base!$A$46:$C$66,3,FALSE)=F45,1,0)</f>
        <v>#N/A</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920</v>
      </c>
      <c r="G49" s="340" t="s">
        <v>899</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17"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37" t="s">
        <v>34</v>
      </c>
      <c r="E59" s="337"/>
      <c r="F59" s="344" t="s">
        <v>1261</v>
      </c>
      <c r="G59" s="344"/>
      <c r="H59" s="344"/>
      <c r="I59" s="344"/>
      <c r="J59" s="344"/>
      <c r="K59" s="344"/>
      <c r="L59" s="344"/>
      <c r="M59" s="344"/>
      <c r="O59" s="2"/>
    </row>
    <row r="60" spans="2:15" ht="66" customHeight="1" x14ac:dyDescent="0.25">
      <c r="B60" s="2"/>
      <c r="D60" s="359" t="s">
        <v>35</v>
      </c>
      <c r="E60" s="359"/>
      <c r="F60" s="344" t="s">
        <v>1262</v>
      </c>
      <c r="G60" s="344"/>
      <c r="H60" s="344"/>
      <c r="I60" s="344"/>
      <c r="J60" s="344"/>
      <c r="K60" s="344"/>
      <c r="L60" s="344"/>
      <c r="M60" s="344"/>
      <c r="O60" s="2"/>
    </row>
    <row r="61" spans="2:15" ht="41.25" customHeight="1" x14ac:dyDescent="0.25">
      <c r="B61" s="2"/>
      <c r="D61" s="359" t="s">
        <v>36</v>
      </c>
      <c r="E61" s="359"/>
      <c r="F61" s="340" t="s">
        <v>1263</v>
      </c>
      <c r="G61" s="341"/>
      <c r="H61" s="341"/>
      <c r="I61" s="341"/>
      <c r="J61" s="341"/>
      <c r="K61" s="341"/>
      <c r="L61" s="341"/>
      <c r="M61" s="342"/>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43" t="s">
        <v>39</v>
      </c>
      <c r="E71" s="343"/>
      <c r="F71" s="4" t="s">
        <v>46</v>
      </c>
      <c r="G71" s="3">
        <v>1</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v>0.69899999999999995</v>
      </c>
      <c r="H75" s="16">
        <v>0.7</v>
      </c>
      <c r="I75" s="16">
        <v>0.89900000000000002</v>
      </c>
      <c r="J75" s="16">
        <v>0.9</v>
      </c>
      <c r="K75" s="16">
        <v>0.999</v>
      </c>
      <c r="L75" s="16" t="s">
        <v>500</v>
      </c>
      <c r="M75" s="16">
        <v>1</v>
      </c>
      <c r="O75" s="2"/>
      <c r="AE75" s="3" t="s">
        <v>46</v>
      </c>
      <c r="AF75" s="3">
        <v>1</v>
      </c>
      <c r="AG75" s="3">
        <f>+IF(AF75&gt;=$G$71,1,0)</f>
        <v>1</v>
      </c>
      <c r="AH75" s="3">
        <f>+IF(AG75=0,0,IF(AG75=1,(SUM($AG$75:AG75)-1),1))</f>
        <v>0</v>
      </c>
      <c r="AI75" s="3">
        <f>+IF(AH75=0,0,IF(MOD(AH75,$U$69)=0,1,0))</f>
        <v>0</v>
      </c>
      <c r="AJ75" s="3">
        <f>+IF(AE75=$F$71,1,0)</f>
        <v>1</v>
      </c>
      <c r="AK75" s="3">
        <f>+MAX(AI75:AJ75)</f>
        <v>1</v>
      </c>
    </row>
    <row r="76" spans="2:37" x14ac:dyDescent="0.25">
      <c r="B76" s="2"/>
      <c r="D76" s="360" t="s">
        <v>40</v>
      </c>
      <c r="E76" s="360"/>
      <c r="F76" s="16" t="s">
        <v>500</v>
      </c>
      <c r="G76" s="16">
        <v>0.69899999999999995</v>
      </c>
      <c r="H76" s="16">
        <v>0.7</v>
      </c>
      <c r="I76" s="16">
        <v>0.89900000000000002</v>
      </c>
      <c r="J76" s="16">
        <v>0.9</v>
      </c>
      <c r="K76" s="16">
        <v>0.999</v>
      </c>
      <c r="L76" s="16" t="s">
        <v>500</v>
      </c>
      <c r="M76" s="16">
        <v>1</v>
      </c>
      <c r="O76" s="2"/>
      <c r="AE76" s="3" t="s">
        <v>40</v>
      </c>
      <c r="AF76" s="3">
        <v>2</v>
      </c>
      <c r="AG76" s="3">
        <f t="shared" ref="AG76:AG86" si="0">+IF(AF76&gt;=$G$71,1,0)</f>
        <v>1</v>
      </c>
      <c r="AH76" s="3">
        <f>+IF(AG76=0,0,IF(AG76=1,(SUM($AG$75:AG76)-1),1))</f>
        <v>1</v>
      </c>
      <c r="AI76" s="3">
        <f t="shared" ref="AI76:AI86" si="1">+IF(AH76=0,0,IF(MOD(AH76,$U$69)=0,1,0))</f>
        <v>1</v>
      </c>
      <c r="AJ76" s="3">
        <f t="shared" ref="AJ76:AJ86" si="2">+IF(AE76=$F$71,1,0)</f>
        <v>0</v>
      </c>
      <c r="AK76" s="3">
        <f t="shared" ref="AK76:AK86" si="3">+MAX(AI76:AJ76)</f>
        <v>1</v>
      </c>
    </row>
    <row r="77" spans="2:37" x14ac:dyDescent="0.25">
      <c r="B77" s="2"/>
      <c r="D77" s="360" t="s">
        <v>47</v>
      </c>
      <c r="E77" s="360"/>
      <c r="F77" s="16" t="s">
        <v>500</v>
      </c>
      <c r="G77" s="16">
        <v>0.69899999999999995</v>
      </c>
      <c r="H77" s="16">
        <v>0.7</v>
      </c>
      <c r="I77" s="16">
        <v>0.89900000000000002</v>
      </c>
      <c r="J77" s="16">
        <v>0.9</v>
      </c>
      <c r="K77" s="16">
        <v>0.999</v>
      </c>
      <c r="L77" s="16" t="s">
        <v>500</v>
      </c>
      <c r="M77" s="16">
        <v>1</v>
      </c>
      <c r="O77" s="2"/>
      <c r="AE77" s="3" t="s">
        <v>47</v>
      </c>
      <c r="AF77" s="3">
        <v>3</v>
      </c>
      <c r="AG77" s="3">
        <f t="shared" si="0"/>
        <v>1</v>
      </c>
      <c r="AH77" s="3">
        <f>+IF(AG77=0,0,IF(AG77=1,(SUM($AG$75:AG77)-1),1))</f>
        <v>2</v>
      </c>
      <c r="AI77" s="3">
        <f t="shared" si="1"/>
        <v>1</v>
      </c>
      <c r="AJ77" s="3">
        <f t="shared" si="2"/>
        <v>0</v>
      </c>
      <c r="AK77" s="3">
        <f t="shared" si="3"/>
        <v>1</v>
      </c>
    </row>
    <row r="78" spans="2:37" x14ac:dyDescent="0.25">
      <c r="B78" s="2"/>
      <c r="D78" s="360" t="s">
        <v>48</v>
      </c>
      <c r="E78" s="360"/>
      <c r="F78" s="16" t="s">
        <v>500</v>
      </c>
      <c r="G78" s="16">
        <v>0.69899999999999995</v>
      </c>
      <c r="H78" s="16">
        <v>0.7</v>
      </c>
      <c r="I78" s="16">
        <v>0.89900000000000002</v>
      </c>
      <c r="J78" s="16">
        <v>0.9</v>
      </c>
      <c r="K78" s="16">
        <v>0.999</v>
      </c>
      <c r="L78" s="16" t="s">
        <v>500</v>
      </c>
      <c r="M78" s="16">
        <v>1</v>
      </c>
      <c r="O78" s="2"/>
      <c r="AE78" s="3" t="s">
        <v>48</v>
      </c>
      <c r="AF78" s="3">
        <v>4</v>
      </c>
      <c r="AG78" s="3">
        <f t="shared" si="0"/>
        <v>1</v>
      </c>
      <c r="AH78" s="3">
        <f>+IF(AG78=0,0,IF(AG78=1,(SUM($AG$75:AG78)-1),1))</f>
        <v>3</v>
      </c>
      <c r="AI78" s="3">
        <f t="shared" si="1"/>
        <v>1</v>
      </c>
      <c r="AJ78" s="3">
        <f t="shared" si="2"/>
        <v>0</v>
      </c>
      <c r="AK78" s="3">
        <f t="shared" si="3"/>
        <v>1</v>
      </c>
    </row>
    <row r="79" spans="2:37" x14ac:dyDescent="0.25">
      <c r="B79" s="2"/>
      <c r="D79" s="360" t="s">
        <v>49</v>
      </c>
      <c r="E79" s="360"/>
      <c r="F79" s="16" t="s">
        <v>500</v>
      </c>
      <c r="G79" s="16">
        <v>0.69899999999999995</v>
      </c>
      <c r="H79" s="16">
        <v>0.7</v>
      </c>
      <c r="I79" s="16">
        <v>0.89900000000000002</v>
      </c>
      <c r="J79" s="16">
        <v>0.9</v>
      </c>
      <c r="K79" s="16">
        <v>0.999</v>
      </c>
      <c r="L79" s="16" t="s">
        <v>500</v>
      </c>
      <c r="M79" s="16">
        <v>1</v>
      </c>
      <c r="O79" s="2"/>
      <c r="AE79" s="3" t="s">
        <v>49</v>
      </c>
      <c r="AF79" s="3">
        <v>5</v>
      </c>
      <c r="AG79" s="3">
        <f t="shared" si="0"/>
        <v>1</v>
      </c>
      <c r="AH79" s="3">
        <f>+IF(AG79=0,0,IF(AG79=1,(SUM($AG$75:AG79)-1),1))</f>
        <v>4</v>
      </c>
      <c r="AI79" s="3">
        <f t="shared" si="1"/>
        <v>1</v>
      </c>
      <c r="AJ79" s="3">
        <f t="shared" si="2"/>
        <v>0</v>
      </c>
      <c r="AK79" s="3">
        <f t="shared" si="3"/>
        <v>1</v>
      </c>
    </row>
    <row r="80" spans="2:37" x14ac:dyDescent="0.25">
      <c r="B80" s="2"/>
      <c r="D80" s="360" t="s">
        <v>50</v>
      </c>
      <c r="E80" s="360"/>
      <c r="F80" s="16" t="s">
        <v>500</v>
      </c>
      <c r="G80" s="16">
        <v>0.69899999999999995</v>
      </c>
      <c r="H80" s="16">
        <v>0.7</v>
      </c>
      <c r="I80" s="16">
        <v>0.89900000000000002</v>
      </c>
      <c r="J80" s="16">
        <v>0.9</v>
      </c>
      <c r="K80" s="16">
        <v>0.999</v>
      </c>
      <c r="L80" s="16" t="s">
        <v>500</v>
      </c>
      <c r="M80" s="16">
        <v>1</v>
      </c>
      <c r="O80" s="2"/>
      <c r="AE80" s="3" t="s">
        <v>50</v>
      </c>
      <c r="AF80" s="3">
        <v>6</v>
      </c>
      <c r="AG80" s="3">
        <f t="shared" si="0"/>
        <v>1</v>
      </c>
      <c r="AH80" s="3">
        <f>+IF(AG80=0,0,IF(AG80=1,(SUM($AG$75:AG80)-1),1))</f>
        <v>5</v>
      </c>
      <c r="AI80" s="3">
        <f t="shared" si="1"/>
        <v>1</v>
      </c>
      <c r="AJ80" s="3">
        <f t="shared" si="2"/>
        <v>0</v>
      </c>
      <c r="AK80" s="3">
        <f t="shared" si="3"/>
        <v>1</v>
      </c>
    </row>
    <row r="81" spans="2:37" x14ac:dyDescent="0.25">
      <c r="B81" s="2"/>
      <c r="D81" s="360" t="s">
        <v>53</v>
      </c>
      <c r="E81" s="360"/>
      <c r="F81" s="16" t="s">
        <v>500</v>
      </c>
      <c r="G81" s="16">
        <v>0.69899999999999995</v>
      </c>
      <c r="H81" s="16">
        <v>0.7</v>
      </c>
      <c r="I81" s="16">
        <v>0.89900000000000002</v>
      </c>
      <c r="J81" s="16">
        <v>0.9</v>
      </c>
      <c r="K81" s="16">
        <v>0.999</v>
      </c>
      <c r="L81" s="16" t="s">
        <v>500</v>
      </c>
      <c r="M81" s="16">
        <v>1</v>
      </c>
      <c r="O81" s="2"/>
      <c r="AE81" s="3" t="s">
        <v>53</v>
      </c>
      <c r="AF81" s="3">
        <v>7</v>
      </c>
      <c r="AG81" s="3">
        <f t="shared" si="0"/>
        <v>1</v>
      </c>
      <c r="AH81" s="3">
        <f>+IF(AG81=0,0,IF(AG81=1,(SUM($AG$75:AG81)-1),1))</f>
        <v>6</v>
      </c>
      <c r="AI81" s="3">
        <f t="shared" si="1"/>
        <v>1</v>
      </c>
      <c r="AJ81" s="3">
        <f t="shared" si="2"/>
        <v>0</v>
      </c>
      <c r="AK81" s="3">
        <f t="shared" si="3"/>
        <v>1</v>
      </c>
    </row>
    <row r="82" spans="2:37" x14ac:dyDescent="0.25">
      <c r="B82" s="2"/>
      <c r="D82" s="360" t="s">
        <v>54</v>
      </c>
      <c r="E82" s="360"/>
      <c r="F82" s="16" t="s">
        <v>500</v>
      </c>
      <c r="G82" s="16">
        <v>0.69899999999999995</v>
      </c>
      <c r="H82" s="16">
        <v>0.7</v>
      </c>
      <c r="I82" s="16">
        <v>0.89900000000000002</v>
      </c>
      <c r="J82" s="16">
        <v>0.9</v>
      </c>
      <c r="K82" s="16">
        <v>0.999</v>
      </c>
      <c r="L82" s="16" t="s">
        <v>500</v>
      </c>
      <c r="M82" s="16">
        <v>1</v>
      </c>
      <c r="O82" s="2"/>
      <c r="AE82" s="3" t="s">
        <v>54</v>
      </c>
      <c r="AF82" s="3">
        <v>8</v>
      </c>
      <c r="AG82" s="3">
        <f t="shared" si="0"/>
        <v>1</v>
      </c>
      <c r="AH82" s="3">
        <f>+IF(AG82=0,0,IF(AG82=1,(SUM($AG$75:AG82)-1),1))</f>
        <v>7</v>
      </c>
      <c r="AI82" s="3">
        <f t="shared" si="1"/>
        <v>1</v>
      </c>
      <c r="AJ82" s="3">
        <f t="shared" si="2"/>
        <v>0</v>
      </c>
      <c r="AK82" s="3">
        <f t="shared" si="3"/>
        <v>1</v>
      </c>
    </row>
    <row r="83" spans="2:37" x14ac:dyDescent="0.25">
      <c r="B83" s="2"/>
      <c r="D83" s="360" t="s">
        <v>55</v>
      </c>
      <c r="E83" s="360"/>
      <c r="F83" s="16" t="s">
        <v>500</v>
      </c>
      <c r="G83" s="16">
        <v>0.69899999999999995</v>
      </c>
      <c r="H83" s="16">
        <v>0.7</v>
      </c>
      <c r="I83" s="16">
        <v>0.89900000000000002</v>
      </c>
      <c r="J83" s="16">
        <v>0.9</v>
      </c>
      <c r="K83" s="16">
        <v>0.999</v>
      </c>
      <c r="L83" s="16" t="s">
        <v>500</v>
      </c>
      <c r="M83" s="16">
        <v>1</v>
      </c>
      <c r="O83" s="2"/>
      <c r="AE83" s="3" t="s">
        <v>55</v>
      </c>
      <c r="AF83" s="3">
        <v>9</v>
      </c>
      <c r="AG83" s="3">
        <f t="shared" si="0"/>
        <v>1</v>
      </c>
      <c r="AH83" s="3">
        <f>+IF(AG83=0,0,IF(AG83=1,(SUM($AG$75:AG83)-1),1))</f>
        <v>8</v>
      </c>
      <c r="AI83" s="3">
        <f t="shared" si="1"/>
        <v>1</v>
      </c>
      <c r="AJ83" s="3">
        <f t="shared" si="2"/>
        <v>0</v>
      </c>
      <c r="AK83" s="3">
        <f t="shared" si="3"/>
        <v>1</v>
      </c>
    </row>
    <row r="84" spans="2:37" x14ac:dyDescent="0.25">
      <c r="B84" s="2"/>
      <c r="D84" s="360" t="s">
        <v>56</v>
      </c>
      <c r="E84" s="360"/>
      <c r="F84" s="16" t="s">
        <v>500</v>
      </c>
      <c r="G84" s="16">
        <v>0.69899999999999995</v>
      </c>
      <c r="H84" s="16">
        <v>0.7</v>
      </c>
      <c r="I84" s="16">
        <v>0.89900000000000002</v>
      </c>
      <c r="J84" s="16">
        <v>0.9</v>
      </c>
      <c r="K84" s="16">
        <v>0.999</v>
      </c>
      <c r="L84" s="16" t="s">
        <v>500</v>
      </c>
      <c r="M84" s="16">
        <v>1</v>
      </c>
      <c r="O84" s="2"/>
      <c r="AE84" s="3" t="s">
        <v>56</v>
      </c>
      <c r="AF84" s="3">
        <v>10</v>
      </c>
      <c r="AG84" s="3">
        <f t="shared" si="0"/>
        <v>1</v>
      </c>
      <c r="AH84" s="3">
        <f>+IF(AG84=0,0,IF(AG84=1,(SUM($AG$75:AG84)-1),1))</f>
        <v>9</v>
      </c>
      <c r="AI84" s="3">
        <f t="shared" si="1"/>
        <v>1</v>
      </c>
      <c r="AJ84" s="3">
        <f t="shared" si="2"/>
        <v>0</v>
      </c>
      <c r="AK84" s="3">
        <f t="shared" si="3"/>
        <v>1</v>
      </c>
    </row>
    <row r="85" spans="2:37" x14ac:dyDescent="0.25">
      <c r="B85" s="2"/>
      <c r="D85" s="360" t="s">
        <v>57</v>
      </c>
      <c r="E85" s="360"/>
      <c r="F85" s="16" t="s">
        <v>500</v>
      </c>
      <c r="G85" s="16">
        <v>0.69899999999999995</v>
      </c>
      <c r="H85" s="16">
        <v>0.7</v>
      </c>
      <c r="I85" s="16">
        <v>0.89900000000000002</v>
      </c>
      <c r="J85" s="16">
        <v>0.9</v>
      </c>
      <c r="K85" s="16">
        <v>0.999</v>
      </c>
      <c r="L85" s="16" t="s">
        <v>500</v>
      </c>
      <c r="M85" s="16">
        <v>1</v>
      </c>
      <c r="O85" s="2"/>
      <c r="AE85" s="3" t="s">
        <v>57</v>
      </c>
      <c r="AF85" s="3">
        <v>11</v>
      </c>
      <c r="AG85" s="3">
        <f t="shared" si="0"/>
        <v>1</v>
      </c>
      <c r="AH85" s="3">
        <f>+IF(AG85=0,0,IF(AG85=1,(SUM($AG$75:AG85)-1),1))</f>
        <v>10</v>
      </c>
      <c r="AI85" s="3">
        <f t="shared" si="1"/>
        <v>1</v>
      </c>
      <c r="AJ85" s="3">
        <f t="shared" si="2"/>
        <v>0</v>
      </c>
      <c r="AK85" s="3">
        <f t="shared" si="3"/>
        <v>1</v>
      </c>
    </row>
    <row r="86" spans="2:37" x14ac:dyDescent="0.25">
      <c r="B86" s="2"/>
      <c r="D86" s="360" t="s">
        <v>58</v>
      </c>
      <c r="E86" s="360"/>
      <c r="F86" s="16" t="s">
        <v>500</v>
      </c>
      <c r="G86" s="16">
        <v>0.69899999999999995</v>
      </c>
      <c r="H86" s="16">
        <v>0.7</v>
      </c>
      <c r="I86" s="16">
        <v>0.89900000000000002</v>
      </c>
      <c r="J86" s="16">
        <v>0.9</v>
      </c>
      <c r="K86" s="16">
        <v>0.999</v>
      </c>
      <c r="L86" s="16" t="s">
        <v>500</v>
      </c>
      <c r="M86" s="16">
        <v>1</v>
      </c>
      <c r="O86" s="2"/>
      <c r="AE86" s="3" t="s">
        <v>58</v>
      </c>
      <c r="AF86" s="65">
        <v>12</v>
      </c>
      <c r="AG86" s="3">
        <f t="shared" si="0"/>
        <v>1</v>
      </c>
      <c r="AH86" s="3">
        <f>+IF(AG86=0,0,IF(AG86=1,(SUM($AG$75:AG86)-1),1))</f>
        <v>11</v>
      </c>
      <c r="AI86" s="3">
        <f t="shared" si="1"/>
        <v>1</v>
      </c>
      <c r="AJ86" s="3">
        <f t="shared" si="2"/>
        <v>0</v>
      </c>
      <c r="AK86" s="3">
        <f t="shared" si="3"/>
        <v>1</v>
      </c>
    </row>
    <row r="87" spans="2:37" ht="3.75" customHeight="1" x14ac:dyDescent="0.25">
      <c r="B87" s="2"/>
      <c r="O87" s="2"/>
    </row>
    <row r="88" spans="2:37" ht="66" customHeight="1" x14ac:dyDescent="0.25">
      <c r="B88" s="2"/>
      <c r="D88" s="338" t="s">
        <v>59</v>
      </c>
      <c r="E88" s="339"/>
      <c r="F88" s="340" t="s">
        <v>1245</v>
      </c>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2" customHeight="1" x14ac:dyDescent="0.25">
      <c r="B97" s="2"/>
      <c r="D97" s="359" t="s">
        <v>35</v>
      </c>
      <c r="E97" s="359"/>
      <c r="F97" s="344" t="s">
        <v>1272</v>
      </c>
      <c r="G97" s="344"/>
      <c r="H97" s="344"/>
      <c r="I97" s="344"/>
      <c r="J97" s="344"/>
      <c r="K97" s="344"/>
      <c r="L97" s="344"/>
      <c r="M97" s="344"/>
      <c r="O97" s="2"/>
    </row>
    <row r="98" spans="2:15" ht="42" customHeight="1" x14ac:dyDescent="0.25">
      <c r="B98" s="2"/>
      <c r="D98" s="359" t="s">
        <v>36</v>
      </c>
      <c r="E98" s="359"/>
      <c r="F98" s="344" t="s">
        <v>1272</v>
      </c>
      <c r="G98" s="344"/>
      <c r="H98" s="344"/>
      <c r="I98" s="344"/>
      <c r="J98" s="344"/>
      <c r="K98" s="344"/>
      <c r="L98" s="344"/>
      <c r="M98" s="344"/>
      <c r="O98" s="2"/>
    </row>
    <row r="99" spans="2:15" ht="3.95" customHeight="1" x14ac:dyDescent="0.25">
      <c r="B99" s="2"/>
      <c r="O99" s="2"/>
    </row>
    <row r="100" spans="2:15" ht="58.5" customHeight="1" x14ac:dyDescent="0.25">
      <c r="B100" s="2"/>
      <c r="D100" s="338" t="s">
        <v>62</v>
      </c>
      <c r="E100" s="339"/>
      <c r="F100" s="344" t="s">
        <v>1246</v>
      </c>
      <c r="G100" s="344"/>
      <c r="H100" s="344"/>
      <c r="I100" s="344"/>
      <c r="J100" s="344"/>
      <c r="K100" s="344"/>
      <c r="L100" s="344"/>
      <c r="M100" s="344"/>
      <c r="O100" s="2"/>
    </row>
    <row r="101" spans="2:15" ht="3.95" customHeight="1" x14ac:dyDescent="0.25">
      <c r="B101" s="2"/>
      <c r="O101" s="2"/>
    </row>
    <row r="102" spans="2:15" ht="19.5" customHeight="1" x14ac:dyDescent="0.25">
      <c r="B102" s="2"/>
      <c r="D102" s="329" t="s">
        <v>64</v>
      </c>
      <c r="E102" s="330"/>
      <c r="F102" s="19" t="s">
        <v>65</v>
      </c>
      <c r="G102" s="4" t="s">
        <v>1</v>
      </c>
      <c r="K102" s="20"/>
      <c r="O102" s="2"/>
    </row>
    <row r="103" spans="2:15" ht="19.5" customHeight="1" x14ac:dyDescent="0.25">
      <c r="B103" s="2"/>
      <c r="D103" s="331"/>
      <c r="E103" s="332"/>
      <c r="F103" s="19" t="s">
        <v>66</v>
      </c>
      <c r="G103" s="4" t="s">
        <v>387</v>
      </c>
      <c r="K103" s="21"/>
      <c r="O103" s="2"/>
    </row>
    <row r="104" spans="2:15" ht="27.75" customHeight="1" x14ac:dyDescent="0.25">
      <c r="B104" s="2"/>
      <c r="D104" s="331"/>
      <c r="E104" s="332"/>
      <c r="F104" s="19" t="s">
        <v>67</v>
      </c>
      <c r="G104" s="340" t="s">
        <v>388</v>
      </c>
      <c r="H104" s="341"/>
      <c r="I104" s="341"/>
      <c r="J104" s="341"/>
      <c r="K104" s="341"/>
      <c r="L104" s="341"/>
      <c r="M104" s="342"/>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40" t="str">
        <f>+VLOOKUP(H10,tablero!$P$5:$R$201,3,FALSE)</f>
        <v>Director(a) Servicio y Atención</v>
      </c>
      <c r="H108" s="341"/>
      <c r="I108" s="341"/>
      <c r="J108" s="341"/>
      <c r="K108" s="341"/>
      <c r="L108" s="341"/>
      <c r="M108" s="342"/>
      <c r="O108" s="2"/>
    </row>
    <row r="109" spans="2:15" ht="17.25" customHeight="1" x14ac:dyDescent="0.25">
      <c r="B109" s="2"/>
      <c r="D109" s="331"/>
      <c r="E109" s="332"/>
      <c r="F109" s="19" t="s">
        <v>2042</v>
      </c>
      <c r="G109" s="340" t="str">
        <f>+IF(M23="Si","Coordinador(a) Planeación y Sistemas","")</f>
        <v>Coordinador(a) Planeación y Sistemas</v>
      </c>
      <c r="H109" s="341"/>
      <c r="I109" s="341"/>
      <c r="J109" s="341"/>
      <c r="K109" s="341"/>
      <c r="L109" s="341"/>
      <c r="M109" s="342"/>
      <c r="O109" s="2"/>
    </row>
    <row r="110" spans="2:15" ht="17.25" customHeight="1" x14ac:dyDescent="0.25">
      <c r="B110" s="2"/>
      <c r="D110" s="331"/>
      <c r="E110" s="332"/>
      <c r="F110" s="19" t="s">
        <v>2043</v>
      </c>
      <c r="G110" s="340" t="str">
        <f>+IF(M24="Si","Coordinador(a) Centro Zonal","")</f>
        <v>Coordinador(a) Centro Zonal</v>
      </c>
      <c r="H110" s="341"/>
      <c r="I110" s="341"/>
      <c r="J110" s="341"/>
      <c r="K110" s="341"/>
      <c r="L110" s="341"/>
      <c r="M110" s="342"/>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938" priority="24">
      <formula>+IF($F$43="no",1,0)</formula>
    </cfRule>
  </conditionalFormatting>
  <conditionalFormatting sqref="F32:M32">
    <cfRule type="expression" dxfId="937" priority="23">
      <formula>+IF($Q$30="NA",1,0)</formula>
    </cfRule>
  </conditionalFormatting>
  <conditionalFormatting sqref="F47:M47">
    <cfRule type="expression" dxfId="936" priority="21">
      <formula>+IF($Q$47=0,1,0)</formula>
    </cfRule>
  </conditionalFormatting>
  <conditionalFormatting sqref="F73:G73">
    <cfRule type="cellIs" dxfId="935" priority="18" operator="equal">
      <formula>"optimo"</formula>
    </cfRule>
    <cfRule type="cellIs" dxfId="934" priority="19" operator="equal">
      <formula>"critico"</formula>
    </cfRule>
  </conditionalFormatting>
  <conditionalFormatting sqref="H73:I73">
    <cfRule type="cellIs" dxfId="933" priority="16" operator="equal">
      <formula>"Adecuado"</formula>
    </cfRule>
    <cfRule type="cellIs" dxfId="932" priority="17" operator="equal">
      <formula>"en riesgo"</formula>
    </cfRule>
  </conditionalFormatting>
  <conditionalFormatting sqref="J73:K73">
    <cfRule type="cellIs" dxfId="931" priority="14" operator="equal">
      <formula>"Adecuado"</formula>
    </cfRule>
    <cfRule type="cellIs" dxfId="930" priority="15" operator="equal">
      <formula>"en riesgo"</formula>
    </cfRule>
  </conditionalFormatting>
  <conditionalFormatting sqref="L73:M73">
    <cfRule type="cellIs" dxfId="929" priority="12" operator="equal">
      <formula>"optimo"</formula>
    </cfRule>
    <cfRule type="cellIs" dxfId="928" priority="13" operator="equal">
      <formula>"critico"</formula>
    </cfRule>
  </conditionalFormatting>
  <conditionalFormatting sqref="F75:M86">
    <cfRule type="expression" dxfId="927" priority="11">
      <formula>+IF($AK75=0,1)</formula>
    </cfRule>
  </conditionalFormatting>
  <conditionalFormatting sqref="F103:G104">
    <cfRule type="expression" dxfId="926" priority="10">
      <formula>+IF($G$102="No",1,0)</formula>
    </cfRule>
  </conditionalFormatting>
  <conditionalFormatting sqref="F51">
    <cfRule type="expression" dxfId="925" priority="9">
      <formula>+IF($F$43="no",1,0)</formula>
    </cfRule>
  </conditionalFormatting>
  <conditionalFormatting sqref="I51">
    <cfRule type="expression" dxfId="924" priority="8">
      <formula>+IF($F$51="no",1,0)</formula>
    </cfRule>
  </conditionalFormatting>
  <conditionalFormatting sqref="F33:M33">
    <cfRule type="expression" dxfId="923" priority="5">
      <formula>+IF($Q$30="NA",1,0)</formula>
    </cfRule>
  </conditionalFormatting>
  <conditionalFormatting sqref="F33:M33">
    <cfRule type="expression" dxfId="922" priority="4">
      <formula>+IF($Q$33=0,1,0)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4">
    <tabColor rgb="FF0070C0"/>
  </sheetPr>
  <dimension ref="B1:AV113"/>
  <sheetViews>
    <sheetView zoomScale="90" zoomScaleNormal="90" workbookViewId="0"/>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389</v>
      </c>
      <c r="O10" s="2"/>
    </row>
    <row r="11" spans="2:24" ht="3.95" customHeight="1" x14ac:dyDescent="0.25">
      <c r="B11" s="2"/>
      <c r="D11" s="6"/>
      <c r="O11" s="2"/>
    </row>
    <row r="12" spans="2:24" ht="36" customHeight="1" x14ac:dyDescent="0.25">
      <c r="B12" s="2"/>
      <c r="D12" s="338" t="s">
        <v>5</v>
      </c>
      <c r="E12" s="339"/>
      <c r="F12" s="340" t="s">
        <v>390</v>
      </c>
      <c r="G12" s="341"/>
      <c r="H12" s="341"/>
      <c r="I12" s="341"/>
      <c r="J12" s="341"/>
      <c r="K12" s="341"/>
      <c r="L12" s="341"/>
      <c r="M12" s="342"/>
      <c r="O12" s="2"/>
      <c r="W12" s="3" t="str">
        <f>+F23</f>
        <v>Mensual</v>
      </c>
      <c r="X12" s="3" t="str">
        <f>+F71</f>
        <v>Enero</v>
      </c>
    </row>
    <row r="13" spans="2:24" ht="3.95" customHeight="1" x14ac:dyDescent="0.25">
      <c r="B13" s="2"/>
      <c r="O13" s="2"/>
    </row>
    <row r="14" spans="2:24" ht="38.25" customHeight="1" x14ac:dyDescent="0.25">
      <c r="B14" s="2"/>
      <c r="D14" s="338" t="s">
        <v>6</v>
      </c>
      <c r="E14" s="339"/>
      <c r="F14" s="340" t="s">
        <v>1256</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17">
        <v>0.77</v>
      </c>
      <c r="G22" s="337" t="s">
        <v>9</v>
      </c>
      <c r="H22" s="337"/>
      <c r="I22" s="17">
        <v>1</v>
      </c>
      <c r="K22" s="337" t="s">
        <v>10</v>
      </c>
      <c r="L22" s="337"/>
      <c r="M22" s="9" t="s">
        <v>496</v>
      </c>
      <c r="O22" s="2"/>
    </row>
    <row r="23" spans="2:17" ht="19.5" customHeight="1" x14ac:dyDescent="0.25">
      <c r="B23" s="2"/>
      <c r="D23" s="337" t="s">
        <v>11</v>
      </c>
      <c r="E23" s="337"/>
      <c r="F23" s="4" t="s">
        <v>84</v>
      </c>
      <c r="G23" s="337" t="s">
        <v>12</v>
      </c>
      <c r="H23" s="337"/>
      <c r="I23" s="4" t="s">
        <v>497</v>
      </c>
      <c r="K23" s="337" t="s">
        <v>13</v>
      </c>
      <c r="L23" s="337"/>
      <c r="M23" s="9" t="s">
        <v>496</v>
      </c>
      <c r="O23" s="2"/>
    </row>
    <row r="24" spans="2:17" ht="20.100000000000001" customHeight="1" x14ac:dyDescent="0.25">
      <c r="B24" s="2"/>
      <c r="D24" s="337" t="s">
        <v>14</v>
      </c>
      <c r="E24" s="337"/>
      <c r="F24" s="4" t="s">
        <v>498</v>
      </c>
      <c r="G24" s="337" t="s">
        <v>15</v>
      </c>
      <c r="H24" s="337"/>
      <c r="I24" s="4" t="s">
        <v>103</v>
      </c>
      <c r="K24" s="337" t="s">
        <v>16</v>
      </c>
      <c r="L24" s="337"/>
      <c r="M24" s="9" t="s">
        <v>496</v>
      </c>
      <c r="O24" s="2"/>
    </row>
    <row r="25" spans="2:17" ht="20.100000000000001" customHeight="1" x14ac:dyDescent="0.25">
      <c r="B25" s="2"/>
      <c r="D25" s="337" t="s">
        <v>17</v>
      </c>
      <c r="E25" s="337"/>
      <c r="F25" s="4" t="s">
        <v>683</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servicio</v>
      </c>
    </row>
    <row r="31" spans="2:17" ht="24" customHeight="1" x14ac:dyDescent="0.25">
      <c r="B31" s="2"/>
      <c r="D31" s="347"/>
      <c r="E31" s="348"/>
      <c r="F31" s="4" t="s">
        <v>379</v>
      </c>
      <c r="G31" s="340" t="s">
        <v>380</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1609</v>
      </c>
      <c r="G33" s="340" t="s">
        <v>1610</v>
      </c>
      <c r="H33" s="341"/>
      <c r="I33" s="341"/>
      <c r="J33" s="341"/>
      <c r="K33" s="341"/>
      <c r="L33" s="341"/>
      <c r="M33" s="342"/>
      <c r="O33" s="2"/>
      <c r="Q33" s="3">
        <f>+IFERROR(IF(VLOOKUP(G33,base!$A$26:$C$40,3,FALSE)=F31,1,0),"")</f>
        <v>1</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1716</v>
      </c>
      <c r="G35" s="340" t="s">
        <v>1592</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2</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500</v>
      </c>
      <c r="G45" s="340" t="s">
        <v>512</v>
      </c>
      <c r="H45" s="341"/>
      <c r="I45" s="341"/>
      <c r="J45" s="341"/>
      <c r="K45" s="341"/>
      <c r="L45" s="341"/>
      <c r="M45" s="342"/>
      <c r="O45" s="2"/>
      <c r="Q45" s="3" t="str">
        <f>+IFERROR(VLOOKUP(G45,base!$A$41:$C$45,3,FALSE),"")</f>
        <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c r="G47" s="340"/>
      <c r="H47" s="341"/>
      <c r="I47" s="341"/>
      <c r="J47" s="341"/>
      <c r="K47" s="341"/>
      <c r="L47" s="341"/>
      <c r="M47" s="342"/>
      <c r="O47" s="2"/>
      <c r="Q47" s="3" t="e">
        <f>+IF(VLOOKUP(G47,base!$A$46:$C$66,3,FALSE)=F45,1,0)</f>
        <v>#N/A</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920</v>
      </c>
      <c r="G49" s="340" t="s">
        <v>899</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17"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37" t="s">
        <v>34</v>
      </c>
      <c r="E59" s="337"/>
      <c r="F59" s="344" t="s">
        <v>1257</v>
      </c>
      <c r="G59" s="344"/>
      <c r="H59" s="344"/>
      <c r="I59" s="344"/>
      <c r="J59" s="344"/>
      <c r="K59" s="344"/>
      <c r="L59" s="344"/>
      <c r="M59" s="344"/>
      <c r="O59" s="2"/>
    </row>
    <row r="60" spans="2:15" ht="66" customHeight="1" x14ac:dyDescent="0.25">
      <c r="B60" s="2"/>
      <c r="D60" s="359" t="s">
        <v>35</v>
      </c>
      <c r="E60" s="359"/>
      <c r="F60" s="344" t="s">
        <v>1258</v>
      </c>
      <c r="G60" s="344"/>
      <c r="H60" s="344"/>
      <c r="I60" s="344"/>
      <c r="J60" s="344"/>
      <c r="K60" s="344"/>
      <c r="L60" s="344"/>
      <c r="M60" s="344"/>
      <c r="O60" s="2"/>
    </row>
    <row r="61" spans="2:15" ht="41.25" customHeight="1" x14ac:dyDescent="0.25">
      <c r="B61" s="2"/>
      <c r="D61" s="359" t="s">
        <v>36</v>
      </c>
      <c r="E61" s="359"/>
      <c r="F61" s="340" t="s">
        <v>1259</v>
      </c>
      <c r="G61" s="341"/>
      <c r="H61" s="341"/>
      <c r="I61" s="341"/>
      <c r="J61" s="341"/>
      <c r="K61" s="341"/>
      <c r="L61" s="341"/>
      <c r="M61" s="342"/>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43" t="s">
        <v>39</v>
      </c>
      <c r="E71" s="343"/>
      <c r="F71" s="4" t="s">
        <v>46</v>
      </c>
      <c r="G71" s="3">
        <v>1</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v>0.69899999999999995</v>
      </c>
      <c r="H75" s="16">
        <v>0.7</v>
      </c>
      <c r="I75" s="16">
        <v>0.89900000000000002</v>
      </c>
      <c r="J75" s="16">
        <v>0.9</v>
      </c>
      <c r="K75" s="16">
        <v>0.999</v>
      </c>
      <c r="L75" s="16" t="s">
        <v>500</v>
      </c>
      <c r="M75" s="16">
        <v>1</v>
      </c>
      <c r="O75" s="2"/>
      <c r="AE75" s="3" t="s">
        <v>46</v>
      </c>
      <c r="AF75" s="3">
        <v>1</v>
      </c>
      <c r="AG75" s="3">
        <f>+IF(AF75&gt;=$G$71,1,0)</f>
        <v>1</v>
      </c>
      <c r="AH75" s="3">
        <f>+IF(AG75=0,0,IF(AG75=1,(SUM($AG$75:AG75)-1),1))</f>
        <v>0</v>
      </c>
      <c r="AI75" s="3">
        <f>+IF(AH75=0,0,IF(MOD(AH75,$U$69)=0,1,0))</f>
        <v>0</v>
      </c>
      <c r="AJ75" s="3">
        <f>+IF(AE75=$F$71,1,0)</f>
        <v>1</v>
      </c>
      <c r="AK75" s="3">
        <f>+MAX(AI75:AJ75)</f>
        <v>1</v>
      </c>
    </row>
    <row r="76" spans="2:37" x14ac:dyDescent="0.25">
      <c r="B76" s="2"/>
      <c r="D76" s="360" t="s">
        <v>40</v>
      </c>
      <c r="E76" s="360"/>
      <c r="F76" s="16" t="s">
        <v>500</v>
      </c>
      <c r="G76" s="16">
        <v>0.69899999999999995</v>
      </c>
      <c r="H76" s="16">
        <v>0.7</v>
      </c>
      <c r="I76" s="16">
        <v>0.89900000000000002</v>
      </c>
      <c r="J76" s="16">
        <v>0.9</v>
      </c>
      <c r="K76" s="16">
        <v>0.999</v>
      </c>
      <c r="L76" s="16" t="s">
        <v>500</v>
      </c>
      <c r="M76" s="16">
        <v>1</v>
      </c>
      <c r="O76" s="2"/>
      <c r="AE76" s="3" t="s">
        <v>40</v>
      </c>
      <c r="AF76" s="3">
        <v>2</v>
      </c>
      <c r="AG76" s="3">
        <f t="shared" ref="AG76:AG86" si="0">+IF(AF76&gt;=$G$71,1,0)</f>
        <v>1</v>
      </c>
      <c r="AH76" s="3">
        <f>+IF(AG76=0,0,IF(AG76=1,(SUM($AG$75:AG76)-1),1))</f>
        <v>1</v>
      </c>
      <c r="AI76" s="3">
        <f t="shared" ref="AI76:AI86" si="1">+IF(AH76=0,0,IF(MOD(AH76,$U$69)=0,1,0))</f>
        <v>1</v>
      </c>
      <c r="AJ76" s="3">
        <f t="shared" ref="AJ76:AJ86" si="2">+IF(AE76=$F$71,1,0)</f>
        <v>0</v>
      </c>
      <c r="AK76" s="3">
        <f t="shared" ref="AK76:AK86" si="3">+MAX(AI76:AJ76)</f>
        <v>1</v>
      </c>
    </row>
    <row r="77" spans="2:37" x14ac:dyDescent="0.25">
      <c r="B77" s="2"/>
      <c r="D77" s="360" t="s">
        <v>47</v>
      </c>
      <c r="E77" s="360"/>
      <c r="F77" s="16" t="s">
        <v>500</v>
      </c>
      <c r="G77" s="16">
        <v>0.69899999999999995</v>
      </c>
      <c r="H77" s="16">
        <v>0.7</v>
      </c>
      <c r="I77" s="16">
        <v>0.89900000000000002</v>
      </c>
      <c r="J77" s="16">
        <v>0.9</v>
      </c>
      <c r="K77" s="16">
        <v>0.999</v>
      </c>
      <c r="L77" s="16" t="s">
        <v>500</v>
      </c>
      <c r="M77" s="16">
        <v>1</v>
      </c>
      <c r="O77" s="2"/>
      <c r="AE77" s="3" t="s">
        <v>47</v>
      </c>
      <c r="AF77" s="3">
        <v>3</v>
      </c>
      <c r="AG77" s="3">
        <f t="shared" si="0"/>
        <v>1</v>
      </c>
      <c r="AH77" s="3">
        <f>+IF(AG77=0,0,IF(AG77=1,(SUM($AG$75:AG77)-1),1))</f>
        <v>2</v>
      </c>
      <c r="AI77" s="3">
        <f t="shared" si="1"/>
        <v>1</v>
      </c>
      <c r="AJ77" s="3">
        <f t="shared" si="2"/>
        <v>0</v>
      </c>
      <c r="AK77" s="3">
        <f t="shared" si="3"/>
        <v>1</v>
      </c>
    </row>
    <row r="78" spans="2:37" x14ac:dyDescent="0.25">
      <c r="B78" s="2"/>
      <c r="D78" s="360" t="s">
        <v>48</v>
      </c>
      <c r="E78" s="360"/>
      <c r="F78" s="16" t="s">
        <v>500</v>
      </c>
      <c r="G78" s="16">
        <v>0.69899999999999995</v>
      </c>
      <c r="H78" s="16">
        <v>0.7</v>
      </c>
      <c r="I78" s="16">
        <v>0.89900000000000002</v>
      </c>
      <c r="J78" s="16">
        <v>0.9</v>
      </c>
      <c r="K78" s="16">
        <v>0.999</v>
      </c>
      <c r="L78" s="16" t="s">
        <v>500</v>
      </c>
      <c r="M78" s="16">
        <v>1</v>
      </c>
      <c r="O78" s="2"/>
      <c r="AE78" s="3" t="s">
        <v>48</v>
      </c>
      <c r="AF78" s="3">
        <v>4</v>
      </c>
      <c r="AG78" s="3">
        <f t="shared" si="0"/>
        <v>1</v>
      </c>
      <c r="AH78" s="3">
        <f>+IF(AG78=0,0,IF(AG78=1,(SUM($AG$75:AG78)-1),1))</f>
        <v>3</v>
      </c>
      <c r="AI78" s="3">
        <f t="shared" si="1"/>
        <v>1</v>
      </c>
      <c r="AJ78" s="3">
        <f t="shared" si="2"/>
        <v>0</v>
      </c>
      <c r="AK78" s="3">
        <f t="shared" si="3"/>
        <v>1</v>
      </c>
    </row>
    <row r="79" spans="2:37" x14ac:dyDescent="0.25">
      <c r="B79" s="2"/>
      <c r="D79" s="360" t="s">
        <v>49</v>
      </c>
      <c r="E79" s="360"/>
      <c r="F79" s="16" t="s">
        <v>500</v>
      </c>
      <c r="G79" s="16">
        <v>0.69899999999999995</v>
      </c>
      <c r="H79" s="16">
        <v>0.7</v>
      </c>
      <c r="I79" s="16">
        <v>0.89900000000000002</v>
      </c>
      <c r="J79" s="16">
        <v>0.9</v>
      </c>
      <c r="K79" s="16">
        <v>0.999</v>
      </c>
      <c r="L79" s="16" t="s">
        <v>500</v>
      </c>
      <c r="M79" s="16">
        <v>1</v>
      </c>
      <c r="O79" s="2"/>
      <c r="AE79" s="3" t="s">
        <v>49</v>
      </c>
      <c r="AF79" s="3">
        <v>5</v>
      </c>
      <c r="AG79" s="3">
        <f t="shared" si="0"/>
        <v>1</v>
      </c>
      <c r="AH79" s="3">
        <f>+IF(AG79=0,0,IF(AG79=1,(SUM($AG$75:AG79)-1),1))</f>
        <v>4</v>
      </c>
      <c r="AI79" s="3">
        <f t="shared" si="1"/>
        <v>1</v>
      </c>
      <c r="AJ79" s="3">
        <f t="shared" si="2"/>
        <v>0</v>
      </c>
      <c r="AK79" s="3">
        <f t="shared" si="3"/>
        <v>1</v>
      </c>
    </row>
    <row r="80" spans="2:37" x14ac:dyDescent="0.25">
      <c r="B80" s="2"/>
      <c r="D80" s="360" t="s">
        <v>50</v>
      </c>
      <c r="E80" s="360"/>
      <c r="F80" s="16" t="s">
        <v>500</v>
      </c>
      <c r="G80" s="16">
        <v>0.69899999999999995</v>
      </c>
      <c r="H80" s="16">
        <v>0.7</v>
      </c>
      <c r="I80" s="16">
        <v>0.89900000000000002</v>
      </c>
      <c r="J80" s="16">
        <v>0.9</v>
      </c>
      <c r="K80" s="16">
        <v>0.999</v>
      </c>
      <c r="L80" s="16" t="s">
        <v>500</v>
      </c>
      <c r="M80" s="16">
        <v>1</v>
      </c>
      <c r="O80" s="2"/>
      <c r="AE80" s="3" t="s">
        <v>50</v>
      </c>
      <c r="AF80" s="3">
        <v>6</v>
      </c>
      <c r="AG80" s="3">
        <f t="shared" si="0"/>
        <v>1</v>
      </c>
      <c r="AH80" s="3">
        <f>+IF(AG80=0,0,IF(AG80=1,(SUM($AG$75:AG80)-1),1))</f>
        <v>5</v>
      </c>
      <c r="AI80" s="3">
        <f t="shared" si="1"/>
        <v>1</v>
      </c>
      <c r="AJ80" s="3">
        <f t="shared" si="2"/>
        <v>0</v>
      </c>
      <c r="AK80" s="3">
        <f t="shared" si="3"/>
        <v>1</v>
      </c>
    </row>
    <row r="81" spans="2:37" x14ac:dyDescent="0.25">
      <c r="B81" s="2"/>
      <c r="D81" s="360" t="s">
        <v>53</v>
      </c>
      <c r="E81" s="360"/>
      <c r="F81" s="16" t="s">
        <v>500</v>
      </c>
      <c r="G81" s="16">
        <v>0.69899999999999995</v>
      </c>
      <c r="H81" s="16">
        <v>0.7</v>
      </c>
      <c r="I81" s="16">
        <v>0.89900000000000002</v>
      </c>
      <c r="J81" s="16">
        <v>0.9</v>
      </c>
      <c r="K81" s="16">
        <v>0.999</v>
      </c>
      <c r="L81" s="16" t="s">
        <v>500</v>
      </c>
      <c r="M81" s="16">
        <v>1</v>
      </c>
      <c r="O81" s="2"/>
      <c r="AE81" s="3" t="s">
        <v>53</v>
      </c>
      <c r="AF81" s="3">
        <v>7</v>
      </c>
      <c r="AG81" s="3">
        <f t="shared" si="0"/>
        <v>1</v>
      </c>
      <c r="AH81" s="3">
        <f>+IF(AG81=0,0,IF(AG81=1,(SUM($AG$75:AG81)-1),1))</f>
        <v>6</v>
      </c>
      <c r="AI81" s="3">
        <f t="shared" si="1"/>
        <v>1</v>
      </c>
      <c r="AJ81" s="3">
        <f t="shared" si="2"/>
        <v>0</v>
      </c>
      <c r="AK81" s="3">
        <f t="shared" si="3"/>
        <v>1</v>
      </c>
    </row>
    <row r="82" spans="2:37" x14ac:dyDescent="0.25">
      <c r="B82" s="2"/>
      <c r="D82" s="360" t="s">
        <v>54</v>
      </c>
      <c r="E82" s="360"/>
      <c r="F82" s="16" t="s">
        <v>500</v>
      </c>
      <c r="G82" s="16">
        <v>0.69899999999999995</v>
      </c>
      <c r="H82" s="16">
        <v>0.7</v>
      </c>
      <c r="I82" s="16">
        <v>0.89900000000000002</v>
      </c>
      <c r="J82" s="16">
        <v>0.9</v>
      </c>
      <c r="K82" s="16">
        <v>0.999</v>
      </c>
      <c r="L82" s="16" t="s">
        <v>500</v>
      </c>
      <c r="M82" s="16">
        <v>1</v>
      </c>
      <c r="O82" s="2"/>
      <c r="AE82" s="3" t="s">
        <v>54</v>
      </c>
      <c r="AF82" s="3">
        <v>8</v>
      </c>
      <c r="AG82" s="3">
        <f t="shared" si="0"/>
        <v>1</v>
      </c>
      <c r="AH82" s="3">
        <f>+IF(AG82=0,0,IF(AG82=1,(SUM($AG$75:AG82)-1),1))</f>
        <v>7</v>
      </c>
      <c r="AI82" s="3">
        <f t="shared" si="1"/>
        <v>1</v>
      </c>
      <c r="AJ82" s="3">
        <f t="shared" si="2"/>
        <v>0</v>
      </c>
      <c r="AK82" s="3">
        <f t="shared" si="3"/>
        <v>1</v>
      </c>
    </row>
    <row r="83" spans="2:37" x14ac:dyDescent="0.25">
      <c r="B83" s="2"/>
      <c r="D83" s="360" t="s">
        <v>55</v>
      </c>
      <c r="E83" s="360"/>
      <c r="F83" s="16" t="s">
        <v>500</v>
      </c>
      <c r="G83" s="16">
        <v>0.69899999999999995</v>
      </c>
      <c r="H83" s="16">
        <v>0.7</v>
      </c>
      <c r="I83" s="16">
        <v>0.89900000000000002</v>
      </c>
      <c r="J83" s="16">
        <v>0.9</v>
      </c>
      <c r="K83" s="16">
        <v>0.999</v>
      </c>
      <c r="L83" s="16" t="s">
        <v>500</v>
      </c>
      <c r="M83" s="16">
        <v>1</v>
      </c>
      <c r="O83" s="2"/>
      <c r="AE83" s="3" t="s">
        <v>55</v>
      </c>
      <c r="AF83" s="3">
        <v>9</v>
      </c>
      <c r="AG83" s="3">
        <f t="shared" si="0"/>
        <v>1</v>
      </c>
      <c r="AH83" s="3">
        <f>+IF(AG83=0,0,IF(AG83=1,(SUM($AG$75:AG83)-1),1))</f>
        <v>8</v>
      </c>
      <c r="AI83" s="3">
        <f t="shared" si="1"/>
        <v>1</v>
      </c>
      <c r="AJ83" s="3">
        <f t="shared" si="2"/>
        <v>0</v>
      </c>
      <c r="AK83" s="3">
        <f t="shared" si="3"/>
        <v>1</v>
      </c>
    </row>
    <row r="84" spans="2:37" x14ac:dyDescent="0.25">
      <c r="B84" s="2"/>
      <c r="D84" s="360" t="s">
        <v>56</v>
      </c>
      <c r="E84" s="360"/>
      <c r="F84" s="16" t="s">
        <v>500</v>
      </c>
      <c r="G84" s="16">
        <v>0.69899999999999995</v>
      </c>
      <c r="H84" s="16">
        <v>0.7</v>
      </c>
      <c r="I84" s="16">
        <v>0.89900000000000002</v>
      </c>
      <c r="J84" s="16">
        <v>0.9</v>
      </c>
      <c r="K84" s="16">
        <v>0.999</v>
      </c>
      <c r="L84" s="16" t="s">
        <v>500</v>
      </c>
      <c r="M84" s="16">
        <v>1</v>
      </c>
      <c r="O84" s="2"/>
      <c r="AE84" s="3" t="s">
        <v>56</v>
      </c>
      <c r="AF84" s="3">
        <v>10</v>
      </c>
      <c r="AG84" s="3">
        <f t="shared" si="0"/>
        <v>1</v>
      </c>
      <c r="AH84" s="3">
        <f>+IF(AG84=0,0,IF(AG84=1,(SUM($AG$75:AG84)-1),1))</f>
        <v>9</v>
      </c>
      <c r="AI84" s="3">
        <f t="shared" si="1"/>
        <v>1</v>
      </c>
      <c r="AJ84" s="3">
        <f t="shared" si="2"/>
        <v>0</v>
      </c>
      <c r="AK84" s="3">
        <f t="shared" si="3"/>
        <v>1</v>
      </c>
    </row>
    <row r="85" spans="2:37" x14ac:dyDescent="0.25">
      <c r="B85" s="2"/>
      <c r="D85" s="360" t="s">
        <v>57</v>
      </c>
      <c r="E85" s="360"/>
      <c r="F85" s="16" t="s">
        <v>500</v>
      </c>
      <c r="G85" s="16">
        <v>0.69899999999999995</v>
      </c>
      <c r="H85" s="16">
        <v>0.7</v>
      </c>
      <c r="I85" s="16">
        <v>0.89900000000000002</v>
      </c>
      <c r="J85" s="16">
        <v>0.9</v>
      </c>
      <c r="K85" s="16">
        <v>0.999</v>
      </c>
      <c r="L85" s="16" t="s">
        <v>500</v>
      </c>
      <c r="M85" s="16">
        <v>1</v>
      </c>
      <c r="O85" s="2"/>
      <c r="AE85" s="3" t="s">
        <v>57</v>
      </c>
      <c r="AF85" s="3">
        <v>11</v>
      </c>
      <c r="AG85" s="3">
        <f t="shared" si="0"/>
        <v>1</v>
      </c>
      <c r="AH85" s="3">
        <f>+IF(AG85=0,0,IF(AG85=1,(SUM($AG$75:AG85)-1),1))</f>
        <v>10</v>
      </c>
      <c r="AI85" s="3">
        <f t="shared" si="1"/>
        <v>1</v>
      </c>
      <c r="AJ85" s="3">
        <f t="shared" si="2"/>
        <v>0</v>
      </c>
      <c r="AK85" s="3">
        <f t="shared" si="3"/>
        <v>1</v>
      </c>
    </row>
    <row r="86" spans="2:37" x14ac:dyDescent="0.25">
      <c r="B86" s="2"/>
      <c r="D86" s="360" t="s">
        <v>58</v>
      </c>
      <c r="E86" s="360"/>
      <c r="F86" s="16" t="s">
        <v>500</v>
      </c>
      <c r="G86" s="16">
        <v>0.69899999999999995</v>
      </c>
      <c r="H86" s="16">
        <v>0.7</v>
      </c>
      <c r="I86" s="16">
        <v>0.89900000000000002</v>
      </c>
      <c r="J86" s="16">
        <v>0.9</v>
      </c>
      <c r="K86" s="16">
        <v>0.999</v>
      </c>
      <c r="L86" s="16" t="s">
        <v>500</v>
      </c>
      <c r="M86" s="16">
        <v>1</v>
      </c>
      <c r="O86" s="2"/>
      <c r="AE86" s="3" t="s">
        <v>58</v>
      </c>
      <c r="AF86" s="65">
        <v>12</v>
      </c>
      <c r="AG86" s="3">
        <f t="shared" si="0"/>
        <v>1</v>
      </c>
      <c r="AH86" s="3">
        <f>+IF(AG86=0,0,IF(AG86=1,(SUM($AG$75:AG86)-1),1))</f>
        <v>11</v>
      </c>
      <c r="AI86" s="3">
        <f t="shared" si="1"/>
        <v>1</v>
      </c>
      <c r="AJ86" s="3">
        <f t="shared" si="2"/>
        <v>0</v>
      </c>
      <c r="AK86" s="3">
        <f t="shared" si="3"/>
        <v>1</v>
      </c>
    </row>
    <row r="87" spans="2:37" ht="3.75" customHeight="1" x14ac:dyDescent="0.25">
      <c r="B87" s="2"/>
      <c r="O87" s="2"/>
    </row>
    <row r="88" spans="2:37" ht="66" customHeight="1" x14ac:dyDescent="0.25">
      <c r="B88" s="2"/>
      <c r="D88" s="338" t="s">
        <v>59</v>
      </c>
      <c r="E88" s="339"/>
      <c r="F88" s="340" t="s">
        <v>2112</v>
      </c>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2" customHeight="1" x14ac:dyDescent="0.25">
      <c r="B97" s="2"/>
      <c r="D97" s="359" t="s">
        <v>35</v>
      </c>
      <c r="E97" s="359"/>
      <c r="F97" s="344" t="s">
        <v>1272</v>
      </c>
      <c r="G97" s="344"/>
      <c r="H97" s="344"/>
      <c r="I97" s="344"/>
      <c r="J97" s="344"/>
      <c r="K97" s="344"/>
      <c r="L97" s="344"/>
      <c r="M97" s="344"/>
      <c r="O97" s="2"/>
    </row>
    <row r="98" spans="2:15" ht="42" customHeight="1" x14ac:dyDescent="0.25">
      <c r="B98" s="2"/>
      <c r="D98" s="359" t="s">
        <v>36</v>
      </c>
      <c r="E98" s="359"/>
      <c r="F98" s="344" t="s">
        <v>1272</v>
      </c>
      <c r="G98" s="344"/>
      <c r="H98" s="344"/>
      <c r="I98" s="344"/>
      <c r="J98" s="344"/>
      <c r="K98" s="344"/>
      <c r="L98" s="344"/>
      <c r="M98" s="344"/>
      <c r="O98" s="2"/>
    </row>
    <row r="99" spans="2:15" ht="3.95" customHeight="1" x14ac:dyDescent="0.25">
      <c r="B99" s="2"/>
      <c r="O99" s="2"/>
    </row>
    <row r="100" spans="2:15" ht="91.5" customHeight="1" x14ac:dyDescent="0.25">
      <c r="B100" s="2"/>
      <c r="D100" s="338" t="s">
        <v>62</v>
      </c>
      <c r="E100" s="339"/>
      <c r="F100" s="340" t="s">
        <v>1247</v>
      </c>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1</v>
      </c>
      <c r="K102" s="20"/>
      <c r="O102" s="2"/>
    </row>
    <row r="103" spans="2:15" ht="19.5" customHeight="1" x14ac:dyDescent="0.25">
      <c r="B103" s="2"/>
      <c r="D103" s="331"/>
      <c r="E103" s="332"/>
      <c r="F103" s="19" t="s">
        <v>66</v>
      </c>
      <c r="G103" s="4" t="s">
        <v>389</v>
      </c>
      <c r="K103" s="21"/>
      <c r="O103" s="2"/>
    </row>
    <row r="104" spans="2:15" ht="27.75" customHeight="1" x14ac:dyDescent="0.25">
      <c r="B104" s="2"/>
      <c r="D104" s="331"/>
      <c r="E104" s="332"/>
      <c r="F104" s="19" t="s">
        <v>67</v>
      </c>
      <c r="G104" s="333" t="s">
        <v>1846</v>
      </c>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Director(a) Servicio y Atención</v>
      </c>
      <c r="H108" s="334"/>
      <c r="I108" s="334"/>
      <c r="J108" s="334"/>
      <c r="K108" s="334"/>
      <c r="L108" s="334"/>
      <c r="M108" s="335"/>
      <c r="O108" s="2"/>
    </row>
    <row r="109" spans="2:15" ht="17.25" customHeight="1" x14ac:dyDescent="0.25">
      <c r="B109" s="2"/>
      <c r="D109" s="331"/>
      <c r="E109" s="332"/>
      <c r="F109" s="19" t="s">
        <v>2042</v>
      </c>
      <c r="G109" s="333" t="str">
        <f>+IF(M23="Si","Coordinador(a) Planeación y Sistemas","")</f>
        <v>Coordinador(a) Planeación y Sistemas</v>
      </c>
      <c r="H109" s="334"/>
      <c r="I109" s="334"/>
      <c r="J109" s="334"/>
      <c r="K109" s="334"/>
      <c r="L109" s="334"/>
      <c r="M109" s="335"/>
      <c r="O109" s="2"/>
    </row>
    <row r="110" spans="2:15" ht="17.25" customHeight="1" x14ac:dyDescent="0.25">
      <c r="B110" s="2"/>
      <c r="D110" s="331"/>
      <c r="E110" s="332"/>
      <c r="F110" s="19" t="s">
        <v>2043</v>
      </c>
      <c r="G110" s="333" t="str">
        <f>+IF(M24="Si","Coordinador(a) Centro Zonal","")</f>
        <v>Coordinador(a) Centro Zonal</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921" priority="24">
      <formula>+IF($F$43="no",1,0)</formula>
    </cfRule>
  </conditionalFormatting>
  <conditionalFormatting sqref="F32:M32">
    <cfRule type="expression" dxfId="920" priority="23">
      <formula>+IF($Q$30="NA",1,0)</formula>
    </cfRule>
  </conditionalFormatting>
  <conditionalFormatting sqref="F47:M47">
    <cfRule type="expression" dxfId="919" priority="21">
      <formula>+IF($Q$47=0,1,0)</formula>
    </cfRule>
  </conditionalFormatting>
  <conditionalFormatting sqref="F73:G73">
    <cfRule type="cellIs" dxfId="918" priority="18" operator="equal">
      <formula>"optimo"</formula>
    </cfRule>
    <cfRule type="cellIs" dxfId="917" priority="19" operator="equal">
      <formula>"critico"</formula>
    </cfRule>
  </conditionalFormatting>
  <conditionalFormatting sqref="H73:I73">
    <cfRule type="cellIs" dxfId="916" priority="16" operator="equal">
      <formula>"Adecuado"</formula>
    </cfRule>
    <cfRule type="cellIs" dxfId="915" priority="17" operator="equal">
      <formula>"en riesgo"</formula>
    </cfRule>
  </conditionalFormatting>
  <conditionalFormatting sqref="J73:K73">
    <cfRule type="cellIs" dxfId="914" priority="14" operator="equal">
      <formula>"Adecuado"</formula>
    </cfRule>
    <cfRule type="cellIs" dxfId="913" priority="15" operator="equal">
      <formula>"en riesgo"</formula>
    </cfRule>
  </conditionalFormatting>
  <conditionalFormatting sqref="L73:M73">
    <cfRule type="cellIs" dxfId="912" priority="12" operator="equal">
      <formula>"optimo"</formula>
    </cfRule>
    <cfRule type="cellIs" dxfId="911" priority="13" operator="equal">
      <formula>"critico"</formula>
    </cfRule>
  </conditionalFormatting>
  <conditionalFormatting sqref="F75:M86">
    <cfRule type="expression" dxfId="910" priority="11">
      <formula>+IF($AK75=0,1)</formula>
    </cfRule>
  </conditionalFormatting>
  <conditionalFormatting sqref="F103:G104">
    <cfRule type="expression" dxfId="909" priority="10">
      <formula>+IF($G$102="No",1,0)</formula>
    </cfRule>
  </conditionalFormatting>
  <conditionalFormatting sqref="F51">
    <cfRule type="expression" dxfId="908" priority="9">
      <formula>+IF($F$43="no",1,0)</formula>
    </cfRule>
  </conditionalFormatting>
  <conditionalFormatting sqref="I51">
    <cfRule type="expression" dxfId="907" priority="8">
      <formula>+IF($F$51="no",1,0)</formula>
    </cfRule>
  </conditionalFormatting>
  <conditionalFormatting sqref="F33:M33">
    <cfRule type="expression" dxfId="906" priority="5">
      <formula>+IF($Q$30="NA",1,0)</formula>
    </cfRule>
  </conditionalFormatting>
  <conditionalFormatting sqref="F33:M33">
    <cfRule type="expression" dxfId="905" priority="4">
      <formula>+IF($Q$33=0,1,0)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0">
    <tabColor rgb="FF0070C0"/>
  </sheetPr>
  <dimension ref="B1:AV113"/>
  <sheetViews>
    <sheetView topLeftCell="A109" zoomScaleNormal="100" workbookViewId="0">
      <selection activeCell="F88" sqref="F88:M88"/>
    </sheetView>
  </sheetViews>
  <sheetFormatPr baseColWidth="10" defaultRowHeight="12.75" x14ac:dyDescent="0.25"/>
  <cols>
    <col min="1" max="1" width="1.140625" style="104" customWidth="1"/>
    <col min="2" max="2" width="0.5703125" style="104" customWidth="1"/>
    <col min="3" max="3" width="1.42578125" style="104" customWidth="1"/>
    <col min="4" max="4" width="11" style="104" customWidth="1"/>
    <col min="5" max="13" width="11.42578125" style="104" customWidth="1"/>
    <col min="14" max="14" width="1.42578125" style="104" customWidth="1"/>
    <col min="15" max="15" width="0.5703125" style="104" customWidth="1"/>
    <col min="16" max="16" width="11.42578125" style="105"/>
    <col min="17" max="18" width="11.42578125" style="105" customWidth="1"/>
    <col min="19" max="19" width="11.42578125" style="105"/>
    <col min="20" max="20" width="2.7109375" style="105" customWidth="1"/>
    <col min="21" max="21" width="11.42578125" style="105"/>
    <col min="22" max="22" width="2.7109375" style="105" customWidth="1"/>
    <col min="23" max="23" width="11.42578125" style="105"/>
    <col min="24" max="24" width="2.7109375" style="105" customWidth="1"/>
    <col min="25" max="25" width="11.42578125" style="105"/>
    <col min="26" max="26" width="2.7109375" style="105" customWidth="1"/>
    <col min="27" max="27" width="11.42578125" style="105"/>
    <col min="28" max="28" width="2.7109375" style="105" customWidth="1"/>
    <col min="29" max="31" width="11.42578125" style="105"/>
    <col min="32" max="37" width="3.140625" style="105" customWidth="1"/>
    <col min="38" max="45" width="7.42578125" style="105" customWidth="1"/>
    <col min="46" max="48" width="11.42578125" style="105"/>
    <col min="49" max="16384" width="11.42578125" style="104"/>
  </cols>
  <sheetData>
    <row r="1" spans="2:19" ht="3.95" customHeight="1" x14ac:dyDescent="0.25"/>
    <row r="2" spans="2:19" ht="3.95" customHeight="1" x14ac:dyDescent="0.25">
      <c r="B2" s="106"/>
      <c r="C2" s="106"/>
      <c r="D2" s="106"/>
      <c r="E2" s="106"/>
      <c r="F2" s="106"/>
      <c r="G2" s="106"/>
      <c r="H2" s="106"/>
      <c r="I2" s="106"/>
      <c r="J2" s="106"/>
      <c r="K2" s="106"/>
      <c r="L2" s="106"/>
      <c r="M2" s="106"/>
      <c r="N2" s="106"/>
      <c r="O2" s="106"/>
    </row>
    <row r="3" spans="2:19" ht="20.25" customHeight="1" x14ac:dyDescent="0.25">
      <c r="B3" s="106"/>
      <c r="C3" s="411" t="s">
        <v>0</v>
      </c>
      <c r="D3" s="411"/>
      <c r="E3" s="411"/>
      <c r="F3" s="411"/>
      <c r="G3" s="411"/>
      <c r="H3" s="411"/>
      <c r="I3" s="411"/>
      <c r="J3" s="411"/>
      <c r="K3" s="411"/>
      <c r="L3" s="411"/>
      <c r="M3" s="411"/>
      <c r="N3" s="411"/>
      <c r="O3" s="106"/>
    </row>
    <row r="4" spans="2:19" ht="20.25" customHeight="1" x14ac:dyDescent="0.25">
      <c r="B4" s="106"/>
      <c r="C4" s="411"/>
      <c r="D4" s="411"/>
      <c r="E4" s="411"/>
      <c r="F4" s="411"/>
      <c r="G4" s="411"/>
      <c r="H4" s="411"/>
      <c r="I4" s="411"/>
      <c r="J4" s="411"/>
      <c r="K4" s="411"/>
      <c r="L4" s="411"/>
      <c r="M4" s="411"/>
      <c r="N4" s="411"/>
      <c r="O4" s="106"/>
      <c r="Q4" s="3"/>
      <c r="R4" s="3"/>
      <c r="S4" s="105" t="s">
        <v>1</v>
      </c>
    </row>
    <row r="5" spans="2:19" ht="20.25" customHeight="1" x14ac:dyDescent="0.25">
      <c r="B5" s="106"/>
      <c r="C5" s="411"/>
      <c r="D5" s="411"/>
      <c r="E5" s="411"/>
      <c r="F5" s="411"/>
      <c r="G5" s="411"/>
      <c r="H5" s="411"/>
      <c r="I5" s="411"/>
      <c r="J5" s="411"/>
      <c r="K5" s="411"/>
      <c r="L5" s="411"/>
      <c r="M5" s="411"/>
      <c r="N5" s="411"/>
      <c r="O5" s="106"/>
      <c r="S5" s="105" t="s">
        <v>2</v>
      </c>
    </row>
    <row r="6" spans="2:19" ht="3" customHeight="1" x14ac:dyDescent="0.25">
      <c r="B6" s="106"/>
      <c r="C6" s="106"/>
      <c r="D6" s="106"/>
      <c r="E6" s="106"/>
      <c r="F6" s="106"/>
      <c r="G6" s="106"/>
      <c r="H6" s="106"/>
      <c r="I6" s="106"/>
      <c r="J6" s="106"/>
      <c r="K6" s="106"/>
      <c r="L6" s="106"/>
      <c r="M6" s="106"/>
      <c r="N6" s="106"/>
      <c r="O6" s="106"/>
    </row>
    <row r="7" spans="2:19" ht="3" customHeight="1" x14ac:dyDescent="0.25"/>
    <row r="8" spans="2:19" ht="3.95" customHeight="1" x14ac:dyDescent="0.25">
      <c r="B8" s="106"/>
      <c r="C8" s="106"/>
      <c r="D8" s="106"/>
      <c r="E8" s="106"/>
      <c r="F8" s="106"/>
      <c r="G8" s="106"/>
      <c r="H8" s="106"/>
      <c r="I8" s="106"/>
      <c r="J8" s="106"/>
      <c r="K8" s="106"/>
      <c r="L8" s="106"/>
      <c r="M8" s="106"/>
      <c r="N8" s="106"/>
      <c r="O8" s="106"/>
    </row>
    <row r="9" spans="2:19" ht="3.95" customHeight="1" x14ac:dyDescent="0.25">
      <c r="B9" s="106"/>
      <c r="O9" s="106"/>
    </row>
    <row r="10" spans="2:19" ht="15.75" customHeight="1" x14ac:dyDescent="0.25">
      <c r="B10" s="106"/>
      <c r="D10" s="387" t="s">
        <v>3</v>
      </c>
      <c r="E10" s="387"/>
      <c r="F10" s="107">
        <v>2015</v>
      </c>
      <c r="G10" s="108" t="s">
        <v>4</v>
      </c>
      <c r="H10" s="107" t="s">
        <v>1363</v>
      </c>
      <c r="O10" s="106"/>
    </row>
    <row r="11" spans="2:19" ht="3.95" customHeight="1" x14ac:dyDescent="0.25">
      <c r="B11" s="106"/>
      <c r="D11" s="109"/>
      <c r="O11" s="106"/>
    </row>
    <row r="12" spans="2:19" ht="36" customHeight="1" x14ac:dyDescent="0.25">
      <c r="B12" s="106"/>
      <c r="D12" s="378" t="s">
        <v>5</v>
      </c>
      <c r="E12" s="379"/>
      <c r="F12" s="389" t="s">
        <v>1355</v>
      </c>
      <c r="G12" s="390"/>
      <c r="H12" s="390"/>
      <c r="I12" s="390"/>
      <c r="J12" s="390"/>
      <c r="K12" s="390"/>
      <c r="L12" s="390"/>
      <c r="M12" s="391"/>
      <c r="O12" s="106"/>
      <c r="Q12" s="110" t="s">
        <v>1977</v>
      </c>
      <c r="S12" s="111">
        <v>154</v>
      </c>
    </row>
    <row r="13" spans="2:19" ht="3.95" customHeight="1" x14ac:dyDescent="0.25">
      <c r="B13" s="106"/>
      <c r="O13" s="106"/>
    </row>
    <row r="14" spans="2:19" ht="38.25" customHeight="1" x14ac:dyDescent="0.25">
      <c r="B14" s="106"/>
      <c r="D14" s="378" t="s">
        <v>6</v>
      </c>
      <c r="E14" s="379"/>
      <c r="F14" s="389" t="s">
        <v>1327</v>
      </c>
      <c r="G14" s="390"/>
      <c r="H14" s="390"/>
      <c r="I14" s="390"/>
      <c r="J14" s="390"/>
      <c r="K14" s="390"/>
      <c r="L14" s="390"/>
      <c r="M14" s="391"/>
      <c r="O14" s="106"/>
    </row>
    <row r="15" spans="2:19" ht="3.95" customHeight="1" x14ac:dyDescent="0.25">
      <c r="B15" s="106"/>
      <c r="O15" s="106"/>
    </row>
    <row r="16" spans="2:19" ht="3" customHeight="1" x14ac:dyDescent="0.25">
      <c r="B16" s="106"/>
      <c r="C16" s="106"/>
      <c r="D16" s="106"/>
      <c r="E16" s="106"/>
      <c r="F16" s="106"/>
      <c r="G16" s="106"/>
      <c r="H16" s="106"/>
      <c r="I16" s="106"/>
      <c r="J16" s="106"/>
      <c r="K16" s="106"/>
      <c r="L16" s="106"/>
      <c r="M16" s="106"/>
      <c r="N16" s="106"/>
      <c r="O16" s="106"/>
    </row>
    <row r="17" spans="2:17" ht="3" customHeight="1" x14ac:dyDescent="0.25"/>
    <row r="18" spans="2:17" ht="3" customHeight="1" x14ac:dyDescent="0.25">
      <c r="B18" s="106"/>
      <c r="C18" s="106"/>
      <c r="D18" s="106"/>
      <c r="E18" s="106"/>
      <c r="F18" s="106"/>
      <c r="G18" s="106"/>
      <c r="H18" s="106"/>
      <c r="I18" s="106"/>
      <c r="J18" s="106"/>
      <c r="K18" s="106"/>
      <c r="L18" s="106"/>
      <c r="M18" s="106"/>
      <c r="N18" s="106"/>
      <c r="O18" s="106"/>
    </row>
    <row r="19" spans="2:17" ht="3.95" customHeight="1" x14ac:dyDescent="0.25">
      <c r="B19" s="106"/>
      <c r="O19" s="106"/>
    </row>
    <row r="20" spans="2:17" x14ac:dyDescent="0.25">
      <c r="B20" s="106"/>
      <c r="D20" s="112" t="s">
        <v>7</v>
      </c>
      <c r="O20" s="106"/>
    </row>
    <row r="21" spans="2:17" ht="3.95" customHeight="1" x14ac:dyDescent="0.25">
      <c r="B21" s="106"/>
      <c r="O21" s="106"/>
    </row>
    <row r="22" spans="2:17" ht="18.75" customHeight="1" x14ac:dyDescent="0.25">
      <c r="B22" s="106"/>
      <c r="D22" s="387" t="s">
        <v>8</v>
      </c>
      <c r="E22" s="387"/>
      <c r="F22" s="113" t="s">
        <v>1978</v>
      </c>
      <c r="G22" s="387" t="s">
        <v>9</v>
      </c>
      <c r="H22" s="387"/>
      <c r="I22" s="114">
        <f>+IFERROR(VLOOKUP($S$12,[1]Hoja1!$B$5:$AT$190,19,FALSE),"")</f>
        <v>1</v>
      </c>
      <c r="K22" s="387" t="s">
        <v>10</v>
      </c>
      <c r="L22" s="387"/>
      <c r="M22" s="115" t="str">
        <f>+IFERROR(VLOOKUP($S$12,[1]Hoja1!$B$5:$AT$190,22,FALSE),"")</f>
        <v>Si</v>
      </c>
      <c r="O22" s="106"/>
    </row>
    <row r="23" spans="2:17" ht="19.5" customHeight="1" x14ac:dyDescent="0.25">
      <c r="B23" s="106"/>
      <c r="D23" s="387" t="s">
        <v>11</v>
      </c>
      <c r="E23" s="387"/>
      <c r="F23" s="107" t="str">
        <f>+IFERROR(VLOOKUP($S$12,[1]Hoja1!$B$5:$AT$190,33,FALSE),"")</f>
        <v>Mensual</v>
      </c>
      <c r="G23" s="387" t="s">
        <v>12</v>
      </c>
      <c r="H23" s="387"/>
      <c r="I23" s="107" t="str">
        <f>+IFERROR(VLOOKUP($S$12,[1]Hoja1!$B$5:$AT$190,21,FALSE),"")</f>
        <v>Porcentaje</v>
      </c>
      <c r="K23" s="387" t="s">
        <v>13</v>
      </c>
      <c r="L23" s="387"/>
      <c r="M23" s="115" t="str">
        <f>+IFERROR(VLOOKUP($S$12,[1]Hoja1!$B$5:$AT$190,23,FALSE),"")</f>
        <v>No</v>
      </c>
      <c r="O23" s="106"/>
    </row>
    <row r="24" spans="2:17" ht="20.100000000000001" customHeight="1" x14ac:dyDescent="0.25">
      <c r="B24" s="106"/>
      <c r="D24" s="387" t="s">
        <v>14</v>
      </c>
      <c r="E24" s="387"/>
      <c r="F24" s="107" t="s">
        <v>498</v>
      </c>
      <c r="G24" s="387" t="s">
        <v>15</v>
      </c>
      <c r="H24" s="387"/>
      <c r="I24" s="107" t="s">
        <v>103</v>
      </c>
      <c r="K24" s="387" t="s">
        <v>16</v>
      </c>
      <c r="L24" s="387"/>
      <c r="M24" s="115" t="str">
        <f>+IFERROR(VLOOKUP($S$12,[1]Hoja1!$B$5:$AT$190,24,FALSE),"")</f>
        <v>No</v>
      </c>
      <c r="O24" s="106"/>
    </row>
    <row r="25" spans="2:17" ht="20.100000000000001" customHeight="1" x14ac:dyDescent="0.25">
      <c r="B25" s="106"/>
      <c r="D25" s="387" t="s">
        <v>17</v>
      </c>
      <c r="E25" s="387"/>
      <c r="F25" s="107" t="str">
        <f>+IFERROR(VLOOKUP($S$12,[1]Hoja1!$B$5:$AT$190,18,FALSE),"")</f>
        <v>Eficiencia</v>
      </c>
      <c r="O25" s="106"/>
    </row>
    <row r="26" spans="2:17" ht="3.95" customHeight="1" x14ac:dyDescent="0.25">
      <c r="B26" s="106"/>
      <c r="O26" s="106"/>
    </row>
    <row r="27" spans="2:17" x14ac:dyDescent="0.25">
      <c r="B27" s="106"/>
      <c r="D27" s="112" t="s">
        <v>18</v>
      </c>
      <c r="O27" s="106"/>
    </row>
    <row r="28" spans="2:17" ht="3.95" customHeight="1" x14ac:dyDescent="0.25">
      <c r="B28" s="106"/>
      <c r="O28" s="106"/>
    </row>
    <row r="29" spans="2:17" ht="36" customHeight="1" x14ac:dyDescent="0.25">
      <c r="B29" s="106"/>
      <c r="D29" s="393" t="s">
        <v>19</v>
      </c>
      <c r="E29" s="393"/>
      <c r="F29" s="344" t="s">
        <v>891</v>
      </c>
      <c r="G29" s="344"/>
      <c r="H29" s="344"/>
      <c r="I29" s="344"/>
      <c r="J29" s="344"/>
      <c r="K29" s="344"/>
      <c r="L29" s="344"/>
      <c r="M29" s="344"/>
      <c r="O29" s="106"/>
      <c r="P29" s="105" t="s">
        <v>1992</v>
      </c>
    </row>
    <row r="30" spans="2:17" ht="18" customHeight="1" x14ac:dyDescent="0.25">
      <c r="B30" s="106"/>
      <c r="D30" s="404" t="s">
        <v>21</v>
      </c>
      <c r="E30" s="405"/>
      <c r="F30" s="10" t="s">
        <v>22</v>
      </c>
      <c r="G30" s="349" t="s">
        <v>5</v>
      </c>
      <c r="H30" s="350"/>
      <c r="I30" s="350"/>
      <c r="J30" s="350"/>
      <c r="K30" s="350"/>
      <c r="L30" s="350"/>
      <c r="M30" s="351"/>
      <c r="O30" s="106"/>
      <c r="Q30" s="105" t="str">
        <f>+IFERROR(VLOOKUP(G31,[1]base!$A$9:$C$25,3,FALSE),"")</f>
        <v>servicio</v>
      </c>
    </row>
    <row r="31" spans="2:17" ht="24" customHeight="1" x14ac:dyDescent="0.25">
      <c r="B31" s="106"/>
      <c r="D31" s="406"/>
      <c r="E31" s="407"/>
      <c r="F31" s="4" t="s">
        <v>379</v>
      </c>
      <c r="G31" s="340" t="s">
        <v>380</v>
      </c>
      <c r="H31" s="341"/>
      <c r="I31" s="341"/>
      <c r="J31" s="341"/>
      <c r="K31" s="341"/>
      <c r="L31" s="341"/>
      <c r="M31" s="342"/>
      <c r="O31" s="106"/>
    </row>
    <row r="32" spans="2:17" ht="18" customHeight="1" x14ac:dyDescent="0.25">
      <c r="B32" s="106"/>
      <c r="D32" s="404" t="s">
        <v>23</v>
      </c>
      <c r="E32" s="405"/>
      <c r="F32" s="10" t="s">
        <v>22</v>
      </c>
      <c r="G32" s="349" t="s">
        <v>5</v>
      </c>
      <c r="H32" s="350"/>
      <c r="I32" s="350"/>
      <c r="J32" s="350"/>
      <c r="K32" s="350"/>
      <c r="L32" s="350"/>
      <c r="M32" s="351"/>
      <c r="O32" s="106"/>
    </row>
    <row r="33" spans="2:17" ht="24" customHeight="1" x14ac:dyDescent="0.25">
      <c r="B33" s="106"/>
      <c r="D33" s="406"/>
      <c r="E33" s="407"/>
      <c r="F33" s="11" t="s">
        <v>1609</v>
      </c>
      <c r="G33" s="340" t="s">
        <v>1610</v>
      </c>
      <c r="H33" s="341"/>
      <c r="I33" s="341"/>
      <c r="J33" s="341"/>
      <c r="K33" s="341"/>
      <c r="L33" s="341"/>
      <c r="M33" s="342"/>
      <c r="O33" s="106"/>
      <c r="Q33" s="105">
        <f>+IFERROR(IF(VLOOKUP(G33,[1]base!$A$26:$C$40,3,FALSE)=F31,1,0),"")</f>
        <v>1</v>
      </c>
    </row>
    <row r="34" spans="2:17" ht="18" customHeight="1" x14ac:dyDescent="0.25">
      <c r="B34" s="106"/>
      <c r="D34" s="404" t="s">
        <v>24</v>
      </c>
      <c r="E34" s="405"/>
      <c r="F34" s="10" t="s">
        <v>22</v>
      </c>
      <c r="G34" s="349" t="s">
        <v>5</v>
      </c>
      <c r="H34" s="350"/>
      <c r="I34" s="350"/>
      <c r="J34" s="350"/>
      <c r="K34" s="350"/>
      <c r="L34" s="350"/>
      <c r="M34" s="351"/>
      <c r="O34" s="106"/>
    </row>
    <row r="35" spans="2:17" ht="41.25" customHeight="1" x14ac:dyDescent="0.25">
      <c r="B35" s="106"/>
      <c r="D35" s="406"/>
      <c r="E35" s="407"/>
      <c r="F35" s="4" t="s">
        <v>1716</v>
      </c>
      <c r="G35" s="340" t="s">
        <v>1592</v>
      </c>
      <c r="H35" s="341"/>
      <c r="I35" s="341"/>
      <c r="J35" s="341"/>
      <c r="K35" s="341"/>
      <c r="L35" s="341"/>
      <c r="M35" s="342"/>
      <c r="O35" s="106"/>
    </row>
    <row r="36" spans="2:17" ht="3.95" customHeight="1" x14ac:dyDescent="0.25">
      <c r="B36" s="106"/>
      <c r="O36" s="106"/>
    </row>
    <row r="37" spans="2:17" ht="3" customHeight="1" x14ac:dyDescent="0.25">
      <c r="B37" s="106"/>
      <c r="C37" s="106"/>
      <c r="D37" s="106"/>
      <c r="E37" s="106"/>
      <c r="F37" s="106"/>
      <c r="G37" s="106"/>
      <c r="H37" s="106"/>
      <c r="I37" s="106"/>
      <c r="J37" s="106"/>
      <c r="K37" s="106"/>
      <c r="L37" s="106"/>
      <c r="M37" s="106"/>
      <c r="N37" s="106"/>
      <c r="O37" s="106"/>
    </row>
    <row r="38" spans="2:17" ht="3" customHeight="1" x14ac:dyDescent="0.25"/>
    <row r="39" spans="2:17" ht="3" customHeight="1" x14ac:dyDescent="0.25">
      <c r="B39" s="106"/>
      <c r="C39" s="106"/>
      <c r="D39" s="106"/>
      <c r="E39" s="106"/>
      <c r="F39" s="106"/>
      <c r="G39" s="106"/>
      <c r="H39" s="106"/>
      <c r="I39" s="106"/>
      <c r="J39" s="106"/>
      <c r="K39" s="106"/>
      <c r="L39" s="106"/>
      <c r="M39" s="106"/>
      <c r="N39" s="106"/>
      <c r="O39" s="106"/>
    </row>
    <row r="40" spans="2:17" ht="3.95" customHeight="1" x14ac:dyDescent="0.25">
      <c r="B40" s="106"/>
      <c r="D40" s="112"/>
      <c r="O40" s="106"/>
    </row>
    <row r="41" spans="2:17" x14ac:dyDescent="0.25">
      <c r="B41" s="106"/>
      <c r="D41" s="112" t="s">
        <v>25</v>
      </c>
      <c r="O41" s="106"/>
    </row>
    <row r="42" spans="2:17" ht="3.95" customHeight="1" x14ac:dyDescent="0.25">
      <c r="B42" s="106"/>
      <c r="O42" s="106"/>
    </row>
    <row r="43" spans="2:17" ht="20.100000000000001" customHeight="1" x14ac:dyDescent="0.25">
      <c r="B43" s="106"/>
      <c r="D43" s="387" t="s">
        <v>26</v>
      </c>
      <c r="E43" s="387"/>
      <c r="F43" s="107" t="s">
        <v>2</v>
      </c>
      <c r="O43" s="106"/>
    </row>
    <row r="44" spans="2:17" ht="18" customHeight="1" x14ac:dyDescent="0.25">
      <c r="B44" s="106"/>
      <c r="D44" s="397" t="s">
        <v>27</v>
      </c>
      <c r="E44" s="398"/>
      <c r="F44" s="118" t="s">
        <v>22</v>
      </c>
      <c r="G44" s="401" t="s">
        <v>5</v>
      </c>
      <c r="H44" s="402"/>
      <c r="I44" s="402"/>
      <c r="J44" s="402"/>
      <c r="K44" s="402"/>
      <c r="L44" s="402"/>
      <c r="M44" s="403"/>
      <c r="O44" s="106"/>
    </row>
    <row r="45" spans="2:17" ht="18" customHeight="1" x14ac:dyDescent="0.25">
      <c r="B45" s="106"/>
      <c r="D45" s="399"/>
      <c r="E45" s="400"/>
      <c r="F45" s="107" t="str">
        <f>+IFERROR(VLOOKUP(G45,[1]base!$A$41:$B$45,2,FALSE),"")</f>
        <v>LP5</v>
      </c>
      <c r="G45" s="389" t="str">
        <f>+IFERROR(VLOOKUP($S$12,[1]Hoja1!$B$5:$AT$190,6,FALSE),"")</f>
        <v>Gestión Financiera</v>
      </c>
      <c r="H45" s="390"/>
      <c r="I45" s="390"/>
      <c r="J45" s="390"/>
      <c r="K45" s="390"/>
      <c r="L45" s="390"/>
      <c r="M45" s="391"/>
      <c r="O45" s="106"/>
      <c r="Q45" s="105" t="str">
        <f>+IFERROR(VLOOKUP(G45,[1]base!$A$41:$C$45,3,FALSE),"")</f>
        <v>financiera</v>
      </c>
    </row>
    <row r="46" spans="2:17" ht="18" customHeight="1" x14ac:dyDescent="0.25">
      <c r="B46" s="106"/>
      <c r="D46" s="397" t="s">
        <v>28</v>
      </c>
      <c r="E46" s="398"/>
      <c r="F46" s="118" t="s">
        <v>22</v>
      </c>
      <c r="G46" s="401" t="s">
        <v>5</v>
      </c>
      <c r="H46" s="402"/>
      <c r="I46" s="402"/>
      <c r="J46" s="402"/>
      <c r="K46" s="402"/>
      <c r="L46" s="402"/>
      <c r="M46" s="403"/>
      <c r="O46" s="106"/>
    </row>
    <row r="47" spans="2:17" ht="18" customHeight="1" x14ac:dyDescent="0.25">
      <c r="B47" s="106"/>
      <c r="D47" s="399"/>
      <c r="E47" s="400"/>
      <c r="F47" s="107" t="str">
        <f>+IFERROR(VLOOKUP(G47,[1]base!$A$46:$B$66,2,FALSE),"")</f>
        <v/>
      </c>
      <c r="G47" s="389"/>
      <c r="H47" s="390"/>
      <c r="I47" s="390"/>
      <c r="J47" s="390"/>
      <c r="K47" s="390"/>
      <c r="L47" s="390"/>
      <c r="M47" s="391"/>
      <c r="O47" s="106"/>
      <c r="Q47" s="105" t="e">
        <f>+IF(VLOOKUP(G47,[1]base!$A$46:$C$66,3,FALSE)=F45,1,0)</f>
        <v>#N/A</v>
      </c>
    </row>
    <row r="48" spans="2:17" ht="18" customHeight="1" x14ac:dyDescent="0.25">
      <c r="B48" s="106"/>
      <c r="D48" s="397" t="s">
        <v>29</v>
      </c>
      <c r="E48" s="398"/>
      <c r="F48" s="118" t="s">
        <v>22</v>
      </c>
      <c r="G48" s="401" t="s">
        <v>5</v>
      </c>
      <c r="H48" s="402"/>
      <c r="I48" s="402"/>
      <c r="J48" s="402"/>
      <c r="K48" s="402"/>
      <c r="L48" s="402"/>
      <c r="M48" s="403"/>
      <c r="O48" s="106"/>
    </row>
    <row r="49" spans="2:15" ht="29.25" customHeight="1" x14ac:dyDescent="0.25">
      <c r="B49" s="106"/>
      <c r="D49" s="399"/>
      <c r="E49" s="400"/>
      <c r="F49" s="119" t="str">
        <f>+IFERROR(VLOOKUP(G49,[1]base!$G$37:$H$47,2,FALSE),"")</f>
        <v>C-310-300-2</v>
      </c>
      <c r="G49" s="389" t="s">
        <v>899</v>
      </c>
      <c r="H49" s="390"/>
      <c r="I49" s="390"/>
      <c r="J49" s="390"/>
      <c r="K49" s="390"/>
      <c r="L49" s="390"/>
      <c r="M49" s="391"/>
      <c r="O49" s="106"/>
    </row>
    <row r="50" spans="2:15" ht="3.95" customHeight="1" x14ac:dyDescent="0.25">
      <c r="B50" s="106"/>
      <c r="O50" s="106"/>
    </row>
    <row r="51" spans="2:15" ht="20.100000000000001" customHeight="1" x14ac:dyDescent="0.25">
      <c r="B51" s="106"/>
      <c r="D51" s="387" t="s">
        <v>31</v>
      </c>
      <c r="E51" s="387"/>
      <c r="F51" s="107" t="str">
        <f>+IFERROR(VLOOKUP($S$12,[1]Hoja1!$B$5:$AT$190,26,FALSE),"")</f>
        <v>No</v>
      </c>
      <c r="G51" s="387" t="s">
        <v>32</v>
      </c>
      <c r="H51" s="387"/>
      <c r="I51" s="120" t="str">
        <f>+IFERROR(IF(F51="No","",VLOOKUP($S$12,[1]Hoja1!$B$5:$AT$190,20,FALSE)),"")</f>
        <v/>
      </c>
      <c r="O51" s="106"/>
    </row>
    <row r="52" spans="2:15" ht="3.95" customHeight="1" x14ac:dyDescent="0.25">
      <c r="B52" s="106"/>
      <c r="O52" s="106"/>
    </row>
    <row r="53" spans="2:15" ht="3" customHeight="1" x14ac:dyDescent="0.25">
      <c r="B53" s="106"/>
      <c r="C53" s="106"/>
      <c r="D53" s="106"/>
      <c r="E53" s="106"/>
      <c r="F53" s="106"/>
      <c r="G53" s="106"/>
      <c r="H53" s="106"/>
      <c r="I53" s="106"/>
      <c r="J53" s="106"/>
      <c r="K53" s="106"/>
      <c r="L53" s="106"/>
      <c r="M53" s="106"/>
      <c r="N53" s="106"/>
      <c r="O53" s="106"/>
    </row>
    <row r="54" spans="2:15" ht="3" customHeight="1" x14ac:dyDescent="0.25"/>
    <row r="55" spans="2:15" ht="3.95" customHeight="1" x14ac:dyDescent="0.25">
      <c r="B55" s="106"/>
      <c r="C55" s="106"/>
      <c r="D55" s="106"/>
      <c r="E55" s="106"/>
      <c r="F55" s="106"/>
      <c r="G55" s="106"/>
      <c r="H55" s="106"/>
      <c r="I55" s="106"/>
      <c r="J55" s="106"/>
      <c r="K55" s="106"/>
      <c r="L55" s="106"/>
      <c r="M55" s="106"/>
      <c r="N55" s="106"/>
      <c r="O55" s="106"/>
    </row>
    <row r="56" spans="2:15" ht="3.95" customHeight="1" x14ac:dyDescent="0.25">
      <c r="B56" s="106"/>
      <c r="O56" s="106"/>
    </row>
    <row r="57" spans="2:15" x14ac:dyDescent="0.25">
      <c r="B57" s="106"/>
      <c r="D57" s="112" t="s">
        <v>33</v>
      </c>
      <c r="O57" s="106"/>
    </row>
    <row r="58" spans="2:15" ht="3.95" customHeight="1" x14ac:dyDescent="0.25">
      <c r="B58" s="106"/>
      <c r="O58" s="106"/>
    </row>
    <row r="59" spans="2:15" ht="30" customHeight="1" x14ac:dyDescent="0.25">
      <c r="B59" s="106"/>
      <c r="D59" s="387" t="s">
        <v>34</v>
      </c>
      <c r="E59" s="387"/>
      <c r="F59" s="370" t="str">
        <f>+IF(F60="","",F60&amp;" / "&amp;F61)</f>
        <v>Recursos Comprometidos / Meta Mensual de Compromisos</v>
      </c>
      <c r="G59" s="370"/>
      <c r="H59" s="370"/>
      <c r="I59" s="370"/>
      <c r="J59" s="370"/>
      <c r="K59" s="370"/>
      <c r="L59" s="370"/>
      <c r="M59" s="370"/>
      <c r="O59" s="106"/>
    </row>
    <row r="60" spans="2:15" ht="30" customHeight="1" x14ac:dyDescent="0.25">
      <c r="B60" s="106"/>
      <c r="D60" s="369" t="s">
        <v>35</v>
      </c>
      <c r="E60" s="369"/>
      <c r="F60" s="370" t="str">
        <f>+IFERROR(VLOOKUP($S$12,[1]Hoja1!$B$5:$AT$190,28,FALSE),"")</f>
        <v>Recursos Comprometidos</v>
      </c>
      <c r="G60" s="370"/>
      <c r="H60" s="370"/>
      <c r="I60" s="370"/>
      <c r="J60" s="370"/>
      <c r="K60" s="370"/>
      <c r="L60" s="370"/>
      <c r="M60" s="370"/>
      <c r="O60" s="106"/>
    </row>
    <row r="61" spans="2:15" ht="30" customHeight="1" x14ac:dyDescent="0.25">
      <c r="B61" s="106"/>
      <c r="D61" s="369" t="s">
        <v>36</v>
      </c>
      <c r="E61" s="369"/>
      <c r="F61" s="389" t="str">
        <f>+IFERROR(VLOOKUP($S$12,[1]Hoja1!$B$5:$AT$190,30,FALSE),"")</f>
        <v>Meta Mensual de Compromisos</v>
      </c>
      <c r="G61" s="390"/>
      <c r="H61" s="390"/>
      <c r="I61" s="390"/>
      <c r="J61" s="390"/>
      <c r="K61" s="390"/>
      <c r="L61" s="390"/>
      <c r="M61" s="391"/>
      <c r="O61" s="106"/>
    </row>
    <row r="62" spans="2:15" ht="3.95" customHeight="1" x14ac:dyDescent="0.25">
      <c r="B62" s="106"/>
      <c r="O62" s="106"/>
    </row>
    <row r="63" spans="2:15" ht="3" customHeight="1" x14ac:dyDescent="0.25">
      <c r="B63" s="106"/>
      <c r="C63" s="106"/>
      <c r="D63" s="106"/>
      <c r="E63" s="106"/>
      <c r="F63" s="106"/>
      <c r="G63" s="106"/>
      <c r="H63" s="106"/>
      <c r="I63" s="106"/>
      <c r="J63" s="106"/>
      <c r="K63" s="106"/>
      <c r="L63" s="106"/>
      <c r="M63" s="106"/>
      <c r="N63" s="106"/>
      <c r="O63" s="106"/>
    </row>
    <row r="64" spans="2:15" x14ac:dyDescent="0.25">
      <c r="M64" s="121" t="s">
        <v>37</v>
      </c>
    </row>
    <row r="65" spans="2:45" ht="3" customHeight="1" x14ac:dyDescent="0.25">
      <c r="B65" s="106"/>
      <c r="C65" s="106"/>
      <c r="D65" s="106"/>
      <c r="E65" s="106"/>
      <c r="F65" s="106"/>
      <c r="G65" s="106"/>
      <c r="H65" s="106"/>
      <c r="I65" s="106"/>
      <c r="J65" s="106"/>
      <c r="K65" s="106"/>
      <c r="L65" s="106"/>
      <c r="M65" s="106"/>
      <c r="N65" s="106"/>
      <c r="O65" s="106"/>
    </row>
    <row r="66" spans="2:45" ht="3.95" customHeight="1" x14ac:dyDescent="0.25">
      <c r="B66" s="106"/>
      <c r="O66" s="106"/>
    </row>
    <row r="67" spans="2:45" x14ac:dyDescent="0.25">
      <c r="B67" s="106"/>
      <c r="D67" s="392" t="s">
        <v>38</v>
      </c>
      <c r="E67" s="392"/>
      <c r="O67" s="106"/>
    </row>
    <row r="68" spans="2:45" ht="3.95" customHeight="1" x14ac:dyDescent="0.25">
      <c r="B68" s="106"/>
      <c r="D68" s="112"/>
      <c r="E68" s="112"/>
      <c r="O68" s="106"/>
    </row>
    <row r="69" spans="2:45" ht="18.75" customHeight="1" x14ac:dyDescent="0.25">
      <c r="B69" s="106"/>
      <c r="O69" s="106"/>
      <c r="Q69" s="122" t="s">
        <v>11</v>
      </c>
      <c r="S69" s="105" t="str">
        <f>+IF(F23=0,"",F23)</f>
        <v>Mensual</v>
      </c>
      <c r="U69" s="105">
        <f>+IFERROR(VLOOKUP(S69,[1]base!$H$23:$I$28,2,FALSE),"")</f>
        <v>1</v>
      </c>
    </row>
    <row r="70" spans="2:45" ht="3.95" customHeight="1" x14ac:dyDescent="0.25">
      <c r="B70" s="106"/>
      <c r="D70" s="112"/>
      <c r="E70" s="112"/>
      <c r="O70" s="106"/>
    </row>
    <row r="71" spans="2:45" ht="18.75" customHeight="1" x14ac:dyDescent="0.25">
      <c r="B71" s="106"/>
      <c r="D71" s="393" t="s">
        <v>39</v>
      </c>
      <c r="E71" s="393"/>
      <c r="F71" s="107" t="s">
        <v>47</v>
      </c>
      <c r="G71" s="105">
        <f>+IFERROR(VLOOKUP(F71,$AE$75:$AF$86,2,FALSE),"")</f>
        <v>3</v>
      </c>
      <c r="O71" s="106"/>
      <c r="Q71" s="122" t="s">
        <v>14</v>
      </c>
      <c r="S71" s="105" t="str">
        <f>+IF(F24=0,"",F24)</f>
        <v>Creciente</v>
      </c>
    </row>
    <row r="72" spans="2:45" ht="3.95" customHeight="1" x14ac:dyDescent="0.25">
      <c r="B72" s="106"/>
      <c r="D72" s="112"/>
      <c r="E72" s="112"/>
      <c r="O72" s="106"/>
    </row>
    <row r="73" spans="2:45" x14ac:dyDescent="0.25">
      <c r="B73" s="106"/>
      <c r="D73" s="394" t="s">
        <v>41</v>
      </c>
      <c r="E73" s="394"/>
      <c r="F73" s="395" t="s">
        <v>42</v>
      </c>
      <c r="G73" s="396"/>
      <c r="H73" s="395" t="s">
        <v>43</v>
      </c>
      <c r="I73" s="396"/>
      <c r="J73" s="395" t="s">
        <v>44</v>
      </c>
      <c r="K73" s="396"/>
      <c r="L73" s="395" t="s">
        <v>45</v>
      </c>
      <c r="M73" s="396"/>
      <c r="O73" s="106"/>
      <c r="S73" s="111">
        <f>+IFERROR(VLOOKUP(S74,$AE$75:$AK$86,7,FALSE),"")</f>
        <v>0</v>
      </c>
      <c r="U73" s="111">
        <f>+IFERROR(VLOOKUP(U74,$AE$75:$AK$86,7,FALSE),"")</f>
        <v>0</v>
      </c>
      <c r="W73" s="111">
        <f>+IFERROR(VLOOKUP(W74,$AE$75:$AK$86,7,FALSE),"")</f>
        <v>1</v>
      </c>
      <c r="Y73" s="111">
        <f>+IFERROR(VLOOKUP(Y74,$AE$75:$AK$86,7,FALSE),"")</f>
        <v>1</v>
      </c>
      <c r="AA73" s="111">
        <f>+IFERROR(VLOOKUP(AA74,$AE$75:$AK$86,7,FALSE),"")</f>
        <v>1</v>
      </c>
      <c r="AC73" s="111">
        <f>+IFERROR(VLOOKUP(AC74,$AE$75:$AK$86,7,FALSE),"")</f>
        <v>1</v>
      </c>
      <c r="AL73" s="388" t="s">
        <v>42</v>
      </c>
      <c r="AM73" s="388"/>
      <c r="AN73" s="388" t="s">
        <v>43</v>
      </c>
      <c r="AO73" s="388"/>
      <c r="AP73" s="388" t="s">
        <v>44</v>
      </c>
      <c r="AQ73" s="388"/>
      <c r="AR73" s="388" t="s">
        <v>45</v>
      </c>
      <c r="AS73" s="388"/>
    </row>
    <row r="74" spans="2:45" x14ac:dyDescent="0.25">
      <c r="B74" s="106"/>
      <c r="D74" s="394"/>
      <c r="E74" s="394"/>
      <c r="F74" s="123" t="str">
        <f>+IF($F$24="Decreciente","Max","Min")</f>
        <v>Min</v>
      </c>
      <c r="G74" s="123" t="str">
        <f>+IF($F$24="Decreciente","MIn","Max")</f>
        <v>Max</v>
      </c>
      <c r="H74" s="123" t="str">
        <f>+IF($F$24="Decreciente","Max","Min")</f>
        <v>Min</v>
      </c>
      <c r="I74" s="123" t="str">
        <f>+IF($F$24="Decreciente","MIn","Max")</f>
        <v>Max</v>
      </c>
      <c r="J74" s="123" t="str">
        <f>+IF($F$24="Decreciente","Max","Min")</f>
        <v>Min</v>
      </c>
      <c r="K74" s="123" t="str">
        <f>+IF($F$24="Decreciente","MIn","Max")</f>
        <v>Max</v>
      </c>
      <c r="L74" s="123" t="str">
        <f>+IF($F$24="Decreciente","Max","Min")</f>
        <v>Min</v>
      </c>
      <c r="M74" s="123" t="str">
        <f>+IF($F$24="Decreciente","MIn","Max")</f>
        <v>Max</v>
      </c>
      <c r="O74" s="106"/>
      <c r="S74" s="124" t="s">
        <v>46</v>
      </c>
      <c r="T74" s="124"/>
      <c r="U74" s="124" t="s">
        <v>40</v>
      </c>
      <c r="V74" s="124"/>
      <c r="W74" s="124" t="s">
        <v>47</v>
      </c>
      <c r="X74" s="124"/>
      <c r="Y74" s="124" t="s">
        <v>48</v>
      </c>
      <c r="Z74" s="124"/>
      <c r="AA74" s="124" t="s">
        <v>49</v>
      </c>
      <c r="AB74" s="124"/>
      <c r="AC74" s="124" t="s">
        <v>50</v>
      </c>
      <c r="AL74" s="125" t="s">
        <v>51</v>
      </c>
      <c r="AM74" s="125" t="s">
        <v>52</v>
      </c>
      <c r="AN74" s="125" t="s">
        <v>51</v>
      </c>
      <c r="AO74" s="125" t="s">
        <v>52</v>
      </c>
      <c r="AP74" s="125" t="s">
        <v>51</v>
      </c>
      <c r="AQ74" s="125" t="s">
        <v>52</v>
      </c>
      <c r="AR74" s="125" t="s">
        <v>51</v>
      </c>
      <c r="AS74" s="125" t="s">
        <v>52</v>
      </c>
    </row>
    <row r="75" spans="2:45" x14ac:dyDescent="0.25">
      <c r="B75" s="106"/>
      <c r="D75" s="386" t="s">
        <v>46</v>
      </c>
      <c r="E75" s="386"/>
      <c r="F75" s="126"/>
      <c r="G75" s="126"/>
      <c r="H75" s="126"/>
      <c r="I75" s="126"/>
      <c r="J75" s="126"/>
      <c r="K75" s="126"/>
      <c r="L75" s="126"/>
      <c r="M75" s="126"/>
      <c r="O75" s="106"/>
      <c r="Q75" s="122" t="s">
        <v>1980</v>
      </c>
      <c r="R75" s="111"/>
      <c r="S75" s="127"/>
      <c r="T75" s="111"/>
      <c r="U75" s="127"/>
      <c r="V75" s="111"/>
      <c r="W75" s="127"/>
      <c r="X75" s="111"/>
      <c r="Y75" s="127"/>
      <c r="Z75" s="111"/>
      <c r="AA75" s="127"/>
      <c r="AB75" s="111"/>
      <c r="AC75" s="127"/>
      <c r="AE75" s="105" t="s">
        <v>46</v>
      </c>
      <c r="AF75" s="105">
        <v>1</v>
      </c>
      <c r="AG75" s="105">
        <f>+IF(AF75&gt;=$G$71,1,0)</f>
        <v>0</v>
      </c>
      <c r="AH75" s="105">
        <f>+IF(AG75=0,0,IF(AG75=1,(SUM($AG$75:AG75)-1),1))</f>
        <v>0</v>
      </c>
      <c r="AI75" s="105">
        <f>+IF(AH75=0,0,IF(MOD(AH75,$U$69)=0,1,0))</f>
        <v>0</v>
      </c>
      <c r="AJ75" s="105">
        <f>+IF(AE75=$F$71,1,0)</f>
        <v>0</v>
      </c>
      <c r="AK75" s="105">
        <f>+MAX(AI75:AJ75)</f>
        <v>0</v>
      </c>
      <c r="AL75" s="128" t="str">
        <f>+""</f>
        <v/>
      </c>
      <c r="AM75" s="128" t="str">
        <f>+IF(AK75=0,"",IF(R78="&gt;",S78+0.001,IF(R78="&lt;",S78-0.001,S78)))</f>
        <v/>
      </c>
      <c r="AN75" s="128" t="str">
        <f>+IF(R77="NA","",IF(AK75=0,"",IF(R78="≥",S78-0.001,IF(R78="≤",S78+0.001,S78))))</f>
        <v/>
      </c>
      <c r="AO75" s="128" t="str">
        <f>IF(R77="NA","",IF(AK75=0,"",IF(R77="&gt;",S77+0.001,IF(R77="&lt;",S77-0.001,S77))))</f>
        <v/>
      </c>
      <c r="AP75" s="128" t="str">
        <f>+IF(R76="NA","",IF(AK75=0,"",IF(R77="≥",S77-0.001,IF(R77="≤",S77+0.001,S77))))</f>
        <v/>
      </c>
      <c r="AQ75" s="128" t="str">
        <f>+IF(R76="NA","",IF(AK75=0,"",IF(R76="&gt;",S76+0.001,IF(R76="&lt;",S76-0.001,S76))))</f>
        <v/>
      </c>
      <c r="AR75" s="128" t="str">
        <f>IF(AK75=0,"",IF(R76="≥",S75-0.001,IF(R76="≤",S75+0.001,"")))</f>
        <v/>
      </c>
      <c r="AS75" s="128" t="str">
        <f>+IF(AK75=0,"",IF(R75="=",S75,""))</f>
        <v/>
      </c>
    </row>
    <row r="76" spans="2:45" x14ac:dyDescent="0.25">
      <c r="B76" s="106"/>
      <c r="D76" s="386" t="s">
        <v>40</v>
      </c>
      <c r="E76" s="386"/>
      <c r="F76" s="126"/>
      <c r="G76" s="126"/>
      <c r="H76" s="126"/>
      <c r="I76" s="126"/>
      <c r="J76" s="126"/>
      <c r="K76" s="126"/>
      <c r="L76" s="126"/>
      <c r="M76" s="126"/>
      <c r="O76" s="106"/>
      <c r="Q76" s="122" t="s">
        <v>1981</v>
      </c>
      <c r="R76" s="111"/>
      <c r="S76" s="127"/>
      <c r="T76" s="111"/>
      <c r="U76" s="127"/>
      <c r="V76" s="111"/>
      <c r="W76" s="127"/>
      <c r="X76" s="111"/>
      <c r="Y76" s="127"/>
      <c r="Z76" s="111"/>
      <c r="AA76" s="127"/>
      <c r="AB76" s="111"/>
      <c r="AC76" s="127"/>
      <c r="AE76" s="105" t="s">
        <v>40</v>
      </c>
      <c r="AF76" s="105">
        <v>2</v>
      </c>
      <c r="AG76" s="105">
        <f t="shared" ref="AG76:AG86" si="0">+IF(AF76&gt;=$G$71,1,0)</f>
        <v>0</v>
      </c>
      <c r="AH76" s="105">
        <f>+IF(AG76=0,0,IF(AG76=1,(SUM($AG$75:AG76)-1),1))</f>
        <v>0</v>
      </c>
      <c r="AI76" s="105">
        <f t="shared" ref="AI76:AI86" si="1">+IF(AH76=0,0,IF(MOD(AH76,$U$69)=0,1,0))</f>
        <v>0</v>
      </c>
      <c r="AJ76" s="105">
        <f t="shared" ref="AJ76:AJ86" si="2">+IF(AE76=$F$71,1,0)</f>
        <v>0</v>
      </c>
      <c r="AK76" s="105">
        <f t="shared" ref="AK76:AK86" si="3">+MAX(AI76:AJ76)</f>
        <v>0</v>
      </c>
      <c r="AL76" s="128" t="str">
        <f>+""</f>
        <v/>
      </c>
      <c r="AM76" s="128" t="str">
        <f>+IF(AK76=0,"",IF(T78="&gt;",U78+0.001,IF(T78="&lt;",U78-0.001,U78)))</f>
        <v/>
      </c>
      <c r="AN76" s="128" t="str">
        <f>+IF(T77="NA","",IF(AK76=0,"",IF(T78="≥",U78-0.001,IF(T78="≤",U78+0.001,U78))))</f>
        <v/>
      </c>
      <c r="AO76" s="128" t="str">
        <f>IF(T77="NA","",IF(AK76=0,"",IF(T77="&gt;",U77+0.001,IF(T77="&lt;",U77-0.001,U77))))</f>
        <v/>
      </c>
      <c r="AP76" s="128" t="str">
        <f>+IF(T76="NA","",IF(AK76=0,"",IF(T77="≥",U77-0.001,IF(T77="≤",U77+0.001,U77))))</f>
        <v/>
      </c>
      <c r="AQ76" s="128" t="str">
        <f>+IF(T76="NA","",IF(AK76=0,"",IF(T76="&gt;",U76+0.001,IF(T76="&lt;",U76-0.001,U76))))</f>
        <v/>
      </c>
      <c r="AR76" s="128" t="str">
        <f>IF(AK76=0,"",IF(T76="≥",U75-0.001,IF(T76="≤",U75+0.001,"")))</f>
        <v/>
      </c>
      <c r="AS76" s="128" t="str">
        <f>+IF(AK76=0,"",IF(T75="=",U75,""))</f>
        <v/>
      </c>
    </row>
    <row r="77" spans="2:45" x14ac:dyDescent="0.25">
      <c r="B77" s="106"/>
      <c r="D77" s="386" t="s">
        <v>47</v>
      </c>
      <c r="E77" s="386"/>
      <c r="F77" s="126"/>
      <c r="G77" s="126">
        <v>0.94</v>
      </c>
      <c r="H77" s="126">
        <v>0.94099999999999995</v>
      </c>
      <c r="I77" s="126">
        <v>0.96899999999999997</v>
      </c>
      <c r="J77" s="126">
        <v>0.97</v>
      </c>
      <c r="K77" s="126">
        <v>0.999</v>
      </c>
      <c r="L77" s="126">
        <v>1</v>
      </c>
      <c r="M77" s="126"/>
      <c r="O77" s="106"/>
      <c r="Q77" s="122" t="s">
        <v>1982</v>
      </c>
      <c r="R77" s="111"/>
      <c r="S77" s="127"/>
      <c r="T77" s="111"/>
      <c r="U77" s="127"/>
      <c r="V77" s="111"/>
      <c r="W77" s="127"/>
      <c r="X77" s="111"/>
      <c r="Y77" s="127"/>
      <c r="Z77" s="111"/>
      <c r="AA77" s="127"/>
      <c r="AB77" s="111"/>
      <c r="AC77" s="127"/>
      <c r="AE77" s="105" t="s">
        <v>47</v>
      </c>
      <c r="AF77" s="105">
        <v>3</v>
      </c>
      <c r="AG77" s="105">
        <f t="shared" si="0"/>
        <v>1</v>
      </c>
      <c r="AH77" s="105">
        <f>+IF(AG77=0,0,IF(AG77=1,(SUM($AG$75:AG77)-1),1))</f>
        <v>0</v>
      </c>
      <c r="AI77" s="105">
        <f t="shared" si="1"/>
        <v>0</v>
      </c>
      <c r="AJ77" s="105">
        <f t="shared" si="2"/>
        <v>1</v>
      </c>
      <c r="AK77" s="105">
        <f t="shared" si="3"/>
        <v>1</v>
      </c>
      <c r="AL77" s="128" t="str">
        <f>+""</f>
        <v/>
      </c>
      <c r="AM77" s="128">
        <f>+IF(AK77=0,"",IF(V78="&gt;",W78+0.001,IF(V78="&lt;",W78-0.001,W78)))</f>
        <v>0</v>
      </c>
      <c r="AN77" s="128">
        <f>+IF(V77="NA","",IF(AK77=0,"",IF(V78="≥",W78-0.001,IF(V78="≤",W78+0.001,W78))))</f>
        <v>0</v>
      </c>
      <c r="AO77" s="128">
        <f>IF(V77="NA","",IF(AK77=0,"",IF(V77="&gt;",W77+0.001,IF(V77="&lt;",W77-0.001,W77))))</f>
        <v>0</v>
      </c>
      <c r="AP77" s="128">
        <f>+IF(V76="NA","",IF(AK77=0,"",IF(V77="≥",W77-0.001,IF(V77="≤",W77+0.001,W77))))</f>
        <v>0</v>
      </c>
      <c r="AQ77" s="128">
        <f>+IF(V76="NA","",IF(AK77=0,"",IF(V76="&gt;",W76+0.001,IF(V76="&lt;",W76-0.001,W76))))</f>
        <v>0</v>
      </c>
      <c r="AR77" s="128" t="str">
        <f>IF(AK77=0,"",IF(V76="≥",W75-0.001,IF(V76="≤",W75+0.001,"")))</f>
        <v/>
      </c>
      <c r="AS77" s="128" t="str">
        <f>+IF(AK77=0,"",IF(V75="=",W75,""))</f>
        <v/>
      </c>
    </row>
    <row r="78" spans="2:45" x14ac:dyDescent="0.25">
      <c r="B78" s="106"/>
      <c r="D78" s="386" t="s">
        <v>48</v>
      </c>
      <c r="E78" s="386"/>
      <c r="F78" s="126"/>
      <c r="G78" s="126">
        <v>0.94</v>
      </c>
      <c r="H78" s="126">
        <v>0.94099999999999995</v>
      </c>
      <c r="I78" s="126">
        <v>0.96899999999999997</v>
      </c>
      <c r="J78" s="126">
        <v>0.97</v>
      </c>
      <c r="K78" s="126">
        <v>0.999</v>
      </c>
      <c r="L78" s="126">
        <v>1</v>
      </c>
      <c r="M78" s="126"/>
      <c r="O78" s="106"/>
      <c r="Q78" s="122" t="s">
        <v>1983</v>
      </c>
      <c r="R78" s="111"/>
      <c r="S78" s="127"/>
      <c r="T78" s="111"/>
      <c r="U78" s="127"/>
      <c r="V78" s="111"/>
      <c r="W78" s="127"/>
      <c r="X78" s="111"/>
      <c r="Y78" s="127"/>
      <c r="Z78" s="111"/>
      <c r="AA78" s="127"/>
      <c r="AB78" s="111"/>
      <c r="AC78" s="127"/>
      <c r="AE78" s="105" t="s">
        <v>48</v>
      </c>
      <c r="AF78" s="105">
        <v>4</v>
      </c>
      <c r="AG78" s="105">
        <f t="shared" si="0"/>
        <v>1</v>
      </c>
      <c r="AH78" s="105">
        <f>+IF(AG78=0,0,IF(AG78=1,(SUM($AG$75:AG78)-1),1))</f>
        <v>1</v>
      </c>
      <c r="AI78" s="105">
        <f t="shared" si="1"/>
        <v>1</v>
      </c>
      <c r="AJ78" s="105">
        <f t="shared" si="2"/>
        <v>0</v>
      </c>
      <c r="AK78" s="105">
        <f t="shared" si="3"/>
        <v>1</v>
      </c>
      <c r="AL78" s="128" t="str">
        <f>+""</f>
        <v/>
      </c>
      <c r="AM78" s="128">
        <f>+IF(AK78=0,"",IF(X78="&gt;",Y78+0.001,IF(X78="&lt;",Y78-0.001,Y78)))</f>
        <v>0</v>
      </c>
      <c r="AN78" s="128">
        <f>+IF(X77="NA","",IF(AK78=0,"",IF(X78="≥",Y78-0.001,IF(X78="≤",Y78+0.001,Y78))))</f>
        <v>0</v>
      </c>
      <c r="AO78" s="128">
        <f>IF(X77="NA","",IF(AK78=0,"",IF(X77="&gt;",Y77+0.001,IF(X77="&lt;",Y77-0.001,Y77))))</f>
        <v>0</v>
      </c>
      <c r="AP78" s="128">
        <f>+IF(X76="NA","",IF(AK78=0,"",IF(X77="≥",Y77-0.001,IF(X77="≤",Y77+0.001,Y77))))</f>
        <v>0</v>
      </c>
      <c r="AQ78" s="128">
        <f>+IF(X76="NA","",IF(AK78=0,"",IF(X76="&gt;",Y76+0.001,IF(X76="&lt;",Y76-0.001,Y76))))</f>
        <v>0</v>
      </c>
      <c r="AR78" s="128" t="str">
        <f>IF(AK78=0,"",IF(X76="≥",Y75-0.001,IF(X76="≤",Y75+0.001,"")))</f>
        <v/>
      </c>
      <c r="AS78" s="128" t="str">
        <f>+IF(AK78=0,"",IF(X75="=",Y75,""))</f>
        <v/>
      </c>
    </row>
    <row r="79" spans="2:45" x14ac:dyDescent="0.25">
      <c r="B79" s="106"/>
      <c r="D79" s="386" t="s">
        <v>49</v>
      </c>
      <c r="E79" s="386"/>
      <c r="F79" s="126"/>
      <c r="G79" s="126">
        <v>0.94</v>
      </c>
      <c r="H79" s="126">
        <v>0.94099999999999995</v>
      </c>
      <c r="I79" s="126">
        <v>0.96899999999999997</v>
      </c>
      <c r="J79" s="126">
        <v>0.97</v>
      </c>
      <c r="K79" s="126">
        <v>0.999</v>
      </c>
      <c r="L79" s="126">
        <v>1</v>
      </c>
      <c r="M79" s="126"/>
      <c r="O79" s="106"/>
      <c r="R79" s="111"/>
      <c r="S79" s="111">
        <f>+IFERROR(VLOOKUP(S80,$AE$75:$AK$86,7,FALSE),"")</f>
        <v>1</v>
      </c>
      <c r="U79" s="111">
        <f>+IFERROR(VLOOKUP(U80,$AE$75:$AK$86,7,FALSE),"")</f>
        <v>1</v>
      </c>
      <c r="W79" s="111">
        <f>+IFERROR(VLOOKUP(W80,$AE$75:$AK$86,7,FALSE),"")</f>
        <v>1</v>
      </c>
      <c r="Y79" s="111">
        <f>+IFERROR(VLOOKUP(Y80,$AE$75:$AK$86,7,FALSE),"")</f>
        <v>1</v>
      </c>
      <c r="AA79" s="111">
        <f>+IFERROR(VLOOKUP(AA80,$AE$75:$AK$86,7,FALSE),"")</f>
        <v>1</v>
      </c>
      <c r="AC79" s="111">
        <f>+IFERROR(VLOOKUP(AC80,$AE$75:$AK$86,7,FALSE),"")</f>
        <v>1</v>
      </c>
      <c r="AE79" s="105" t="s">
        <v>49</v>
      </c>
      <c r="AF79" s="105">
        <v>5</v>
      </c>
      <c r="AG79" s="105">
        <f t="shared" si="0"/>
        <v>1</v>
      </c>
      <c r="AH79" s="105">
        <f>+IF(AG79=0,0,IF(AG79=1,(SUM($AG$75:AG79)-1),1))</f>
        <v>2</v>
      </c>
      <c r="AI79" s="105">
        <f t="shared" si="1"/>
        <v>1</v>
      </c>
      <c r="AJ79" s="105">
        <f t="shared" si="2"/>
        <v>0</v>
      </c>
      <c r="AK79" s="105">
        <f t="shared" si="3"/>
        <v>1</v>
      </c>
      <c r="AL79" s="128" t="str">
        <f>+""</f>
        <v/>
      </c>
      <c r="AM79" s="128">
        <f>+IF(AK79=0,"",IF(Z78="&gt;",AA78+0.001,IF(Z78="&lt;",AA78-0.001,AA78)))</f>
        <v>0</v>
      </c>
      <c r="AN79" s="128">
        <f>+IF(Z77="NA","",IF(AK79=0,"",IF(Z78="≥",AA78-0.001,IF(Z78="≤",AA78+0.001,AA78))))</f>
        <v>0</v>
      </c>
      <c r="AO79" s="128">
        <f>IF(Z77="NA","",IF(AK79=0,"",IF(Z77="&gt;",AA77+0.001,IF(Z77="&lt;",AA77-0.001,AA77))))</f>
        <v>0</v>
      </c>
      <c r="AP79" s="128">
        <f>+IF(Z76="NA","",IF(AK79=0,"",IF(Z77="≥",AA77-0.001,IF(Z77="≤",AA77+0.001,AA77))))</f>
        <v>0</v>
      </c>
      <c r="AQ79" s="128">
        <f>+IF(Z76="NA","",IF(AK79=0,"",IF(Z76="&gt;",AA76+0.001,IF(Z76="&lt;",AA76-0.001,AA76))))</f>
        <v>0</v>
      </c>
      <c r="AR79" s="128" t="str">
        <f>IF(AK79=0,"",IF(Z76="≥",AA75-0.001,IF(Z76="≤",AA75+0.001,"")))</f>
        <v/>
      </c>
      <c r="AS79" s="128" t="str">
        <f>+IF(AK79=0,"",IF(Z75="=",AA75,""))</f>
        <v/>
      </c>
    </row>
    <row r="80" spans="2:45" x14ac:dyDescent="0.25">
      <c r="B80" s="106"/>
      <c r="D80" s="386" t="s">
        <v>50</v>
      </c>
      <c r="E80" s="386"/>
      <c r="F80" s="126"/>
      <c r="G80" s="126">
        <v>0.94</v>
      </c>
      <c r="H80" s="126">
        <v>0.94099999999999995</v>
      </c>
      <c r="I80" s="126">
        <v>0.96899999999999997</v>
      </c>
      <c r="J80" s="126">
        <v>0.97</v>
      </c>
      <c r="K80" s="126">
        <v>0.999</v>
      </c>
      <c r="L80" s="126">
        <v>1</v>
      </c>
      <c r="M80" s="126"/>
      <c r="O80" s="106"/>
      <c r="R80" s="111"/>
      <c r="S80" s="124" t="s">
        <v>53</v>
      </c>
      <c r="T80" s="124"/>
      <c r="U80" s="124" t="s">
        <v>54</v>
      </c>
      <c r="V80" s="124"/>
      <c r="W80" s="124" t="s">
        <v>55</v>
      </c>
      <c r="X80" s="124"/>
      <c r="Y80" s="124" t="s">
        <v>56</v>
      </c>
      <c r="Z80" s="124"/>
      <c r="AA80" s="124" t="s">
        <v>57</v>
      </c>
      <c r="AB80" s="124"/>
      <c r="AC80" s="124" t="s">
        <v>58</v>
      </c>
      <c r="AE80" s="105" t="s">
        <v>50</v>
      </c>
      <c r="AF80" s="105">
        <v>6</v>
      </c>
      <c r="AG80" s="105">
        <f t="shared" si="0"/>
        <v>1</v>
      </c>
      <c r="AH80" s="105">
        <f>+IF(AG80=0,0,IF(AG80=1,(SUM($AG$75:AG80)-1),1))</f>
        <v>3</v>
      </c>
      <c r="AI80" s="105">
        <f t="shared" si="1"/>
        <v>1</v>
      </c>
      <c r="AJ80" s="105">
        <f t="shared" si="2"/>
        <v>0</v>
      </c>
      <c r="AK80" s="105">
        <f t="shared" si="3"/>
        <v>1</v>
      </c>
      <c r="AL80" s="128" t="str">
        <f>+""</f>
        <v/>
      </c>
      <c r="AM80" s="128">
        <f>+IF(AK80=0,"",IF(AB78="&gt;",AC78+0.001,IF(AB78="&lt;",AC78-0.001,AC78)))</f>
        <v>0</v>
      </c>
      <c r="AN80" s="128">
        <f>+IF(AB77="NA","",IF(AK80=0,"",IF(AB78="≥",AC78-0.001,IF(AB78="≤",AC78+0.001,AC78))))</f>
        <v>0</v>
      </c>
      <c r="AO80" s="128">
        <f>IF(AB77="NA","",IF(AK80=0,"",IF(AB77="&gt;",AC77+0.001,IF(AB77="&lt;",AC77-0.001,AC77))))</f>
        <v>0</v>
      </c>
      <c r="AP80" s="128">
        <f>+IF(AB76="NA","",IF(AK80=0,"",IF(AB77="≥",AC77-0.001,IF(AB77="≤",AC77+0.001,AC77))))</f>
        <v>0</v>
      </c>
      <c r="AQ80" s="128">
        <f>+IF(AB76="NA","",IF(AK80=0,"",IF(AB76="&gt;",AC76+0.001,IF(AB76="&lt;",AC76-0.001,AC76))))</f>
        <v>0</v>
      </c>
      <c r="AR80" s="128" t="str">
        <f>IF(AK80=0,"",IF(AB76="≥",AC75-0.001,IF(AB76="≤",AC75+0.001,"")))</f>
        <v/>
      </c>
      <c r="AS80" s="128" t="str">
        <f>+IF(AK80=0,"",IF(AB75="=",AC75,""))</f>
        <v/>
      </c>
    </row>
    <row r="81" spans="2:45" x14ac:dyDescent="0.25">
      <c r="B81" s="106"/>
      <c r="D81" s="386" t="s">
        <v>53</v>
      </c>
      <c r="E81" s="386"/>
      <c r="F81" s="126"/>
      <c r="G81" s="126">
        <v>0.94</v>
      </c>
      <c r="H81" s="126">
        <v>0.94099999999999995</v>
      </c>
      <c r="I81" s="126">
        <v>0.96899999999999997</v>
      </c>
      <c r="J81" s="126">
        <v>0.97</v>
      </c>
      <c r="K81" s="126">
        <v>0.999</v>
      </c>
      <c r="L81" s="126">
        <v>1</v>
      </c>
      <c r="M81" s="126"/>
      <c r="O81" s="106"/>
      <c r="Q81" s="122" t="s">
        <v>1980</v>
      </c>
      <c r="R81" s="111"/>
      <c r="S81" s="127"/>
      <c r="T81" s="111"/>
      <c r="U81" s="127"/>
      <c r="V81" s="111"/>
      <c r="W81" s="127"/>
      <c r="X81" s="111"/>
      <c r="Y81" s="127"/>
      <c r="Z81" s="111"/>
      <c r="AA81" s="127"/>
      <c r="AB81" s="111"/>
      <c r="AC81" s="127"/>
      <c r="AE81" s="105" t="s">
        <v>53</v>
      </c>
      <c r="AF81" s="105">
        <v>7</v>
      </c>
      <c r="AG81" s="105">
        <f t="shared" si="0"/>
        <v>1</v>
      </c>
      <c r="AH81" s="105">
        <f>+IF(AG81=0,0,IF(AG81=1,(SUM($AG$75:AG81)-1),1))</f>
        <v>4</v>
      </c>
      <c r="AI81" s="105">
        <f t="shared" si="1"/>
        <v>1</v>
      </c>
      <c r="AJ81" s="105">
        <f t="shared" si="2"/>
        <v>0</v>
      </c>
      <c r="AK81" s="105">
        <f t="shared" si="3"/>
        <v>1</v>
      </c>
      <c r="AL81" s="128" t="str">
        <f>+""</f>
        <v/>
      </c>
      <c r="AM81" s="128">
        <f>+IF(AK81=0,"",IF(R84="&gt;",S84+0.001,IF(R84="&lt;",S84-0.001,S84)))</f>
        <v>0</v>
      </c>
      <c r="AN81" s="128">
        <f>+IF(R83="NA","",IF(AK81=0,"",IF(R84="≥",S84-0.001,IF(R84="≤",S84+0.001,S84))))</f>
        <v>0</v>
      </c>
      <c r="AO81" s="128">
        <f>IF(R83="NA","",IF(AK81=0,"",IF(R83="&gt;",S83+0.001,IF(R83="&lt;",S83-0.001,S83))))</f>
        <v>0</v>
      </c>
      <c r="AP81" s="128">
        <f>+IF(R82="NA","",IF(AK81=0,"",IF(R83="≥",S83-0.001,IF(R83="≤",S83+0.001,S83))))</f>
        <v>0</v>
      </c>
      <c r="AQ81" s="128">
        <f>+IF(R82="NA","",IF(AK81=0,"",IF(R82="&gt;",S82+0.001,IF(R82="&lt;",S82-0.001,S82))))</f>
        <v>0</v>
      </c>
      <c r="AR81" s="128" t="str">
        <f>IF(AK81=0,"",IF(R82="≥",S81-0.001,IF(R82="≤",S81+0.001,"")))</f>
        <v/>
      </c>
      <c r="AS81" s="128" t="str">
        <f>+IF(AK81=0,"",IF(R81="=",S81,""))</f>
        <v/>
      </c>
    </row>
    <row r="82" spans="2:45" x14ac:dyDescent="0.25">
      <c r="B82" s="106"/>
      <c r="D82" s="386" t="s">
        <v>54</v>
      </c>
      <c r="E82" s="386"/>
      <c r="F82" s="126"/>
      <c r="G82" s="126">
        <v>0.94</v>
      </c>
      <c r="H82" s="126">
        <v>0.94099999999999995</v>
      </c>
      <c r="I82" s="126">
        <v>0.96899999999999997</v>
      </c>
      <c r="J82" s="126">
        <v>0.97</v>
      </c>
      <c r="K82" s="126">
        <v>0.999</v>
      </c>
      <c r="L82" s="126">
        <v>1</v>
      </c>
      <c r="M82" s="126"/>
      <c r="O82" s="106"/>
      <c r="Q82" s="122" t="s">
        <v>1981</v>
      </c>
      <c r="R82" s="111"/>
      <c r="S82" s="127"/>
      <c r="T82" s="111"/>
      <c r="U82" s="127"/>
      <c r="V82" s="111"/>
      <c r="W82" s="127"/>
      <c r="X82" s="111"/>
      <c r="Y82" s="127"/>
      <c r="Z82" s="111"/>
      <c r="AA82" s="127"/>
      <c r="AB82" s="111"/>
      <c r="AC82" s="127"/>
      <c r="AE82" s="105" t="s">
        <v>54</v>
      </c>
      <c r="AF82" s="105">
        <v>8</v>
      </c>
      <c r="AG82" s="105">
        <f t="shared" si="0"/>
        <v>1</v>
      </c>
      <c r="AH82" s="105">
        <f>+IF(AG82=0,0,IF(AG82=1,(SUM($AG$75:AG82)-1),1))</f>
        <v>5</v>
      </c>
      <c r="AI82" s="105">
        <f t="shared" si="1"/>
        <v>1</v>
      </c>
      <c r="AJ82" s="105">
        <f t="shared" si="2"/>
        <v>0</v>
      </c>
      <c r="AK82" s="105">
        <f t="shared" si="3"/>
        <v>1</v>
      </c>
      <c r="AL82" s="128" t="str">
        <f>+""</f>
        <v/>
      </c>
      <c r="AM82" s="128">
        <f>+IF(AK82=0,"",IF(T84="&gt;",U84+0.001,IF(T84="&lt;",U84-0.001,U84)))</f>
        <v>0</v>
      </c>
      <c r="AN82" s="128">
        <f>+IF(T83="NA","",IF(AK82=0,"",IF(T84="≥",U84-0.001,IF(T84="≤",U84+0.001,U84))))</f>
        <v>0</v>
      </c>
      <c r="AO82" s="128">
        <f>IF(T83="NA","",IF(AK82=0,"",IF(T83="&gt;",U83+0.001,IF(T83="&lt;",U83-0.001,U83))))</f>
        <v>0</v>
      </c>
      <c r="AP82" s="128">
        <f>+IF(T82="NA","",IF(AK82=0,"",IF(T83="≥",U83-0.001,IF(T83="≤",U83+0.001,U83))))</f>
        <v>0</v>
      </c>
      <c r="AQ82" s="128">
        <f>+IF(T82="NA","",IF(AK82=0,"",IF(T82="&gt;",U82+0.001,IF(T82="&lt;",U82-0.001,U82))))</f>
        <v>0</v>
      </c>
      <c r="AR82" s="128" t="str">
        <f>IF(AK82=0,"",IF(T82="≥",U81-0.001,IF(T82="≤",U81+0.001,"")))</f>
        <v/>
      </c>
      <c r="AS82" s="128" t="str">
        <f>+IF(AK82=0,"",IF(T81="=",U81,""))</f>
        <v/>
      </c>
    </row>
    <row r="83" spans="2:45" x14ac:dyDescent="0.25">
      <c r="B83" s="106"/>
      <c r="D83" s="386" t="s">
        <v>55</v>
      </c>
      <c r="E83" s="386"/>
      <c r="F83" s="126"/>
      <c r="G83" s="126">
        <v>0.94</v>
      </c>
      <c r="H83" s="126">
        <v>0.94099999999999995</v>
      </c>
      <c r="I83" s="126">
        <v>0.96899999999999997</v>
      </c>
      <c r="J83" s="126">
        <v>0.97</v>
      </c>
      <c r="K83" s="126">
        <v>0.999</v>
      </c>
      <c r="L83" s="126">
        <v>1</v>
      </c>
      <c r="M83" s="126"/>
      <c r="O83" s="106"/>
      <c r="Q83" s="122" t="s">
        <v>1982</v>
      </c>
      <c r="R83" s="111"/>
      <c r="S83" s="127"/>
      <c r="T83" s="111"/>
      <c r="U83" s="127"/>
      <c r="V83" s="111"/>
      <c r="W83" s="127"/>
      <c r="X83" s="111"/>
      <c r="Y83" s="127"/>
      <c r="Z83" s="111"/>
      <c r="AA83" s="127"/>
      <c r="AB83" s="111"/>
      <c r="AC83" s="127"/>
      <c r="AE83" s="105" t="s">
        <v>55</v>
      </c>
      <c r="AF83" s="105">
        <v>9</v>
      </c>
      <c r="AG83" s="105">
        <f t="shared" si="0"/>
        <v>1</v>
      </c>
      <c r="AH83" s="105">
        <f>+IF(AG83=0,0,IF(AG83=1,(SUM($AG$75:AG83)-1),1))</f>
        <v>6</v>
      </c>
      <c r="AI83" s="105">
        <f t="shared" si="1"/>
        <v>1</v>
      </c>
      <c r="AJ83" s="105">
        <f t="shared" si="2"/>
        <v>0</v>
      </c>
      <c r="AK83" s="105">
        <f t="shared" si="3"/>
        <v>1</v>
      </c>
      <c r="AL83" s="128" t="str">
        <f>+""</f>
        <v/>
      </c>
      <c r="AM83" s="128">
        <f>+IF(AK83=0,"",IF(V84="&gt;",W84+0.001,IF(V84="&lt;",W84-0.001,W84)))</f>
        <v>0</v>
      </c>
      <c r="AN83" s="128">
        <f>+IF(V83="NA","",IF(AK83=0,"",IF(V84="≥",W84-0.001,IF(V84="≤",W84+0.001,W84))))</f>
        <v>0</v>
      </c>
      <c r="AO83" s="128">
        <f>IF(V83="NA","",IF(AK83=0,"",IF(V83="&gt;",W83+0.001,IF(V83="&lt;",W83-0.001,W83))))</f>
        <v>0</v>
      </c>
      <c r="AP83" s="128">
        <f>+IF(V82="NA","",IF(AK83=0,"",IF(V83="≥",W83-0.001,IF(V83="≤",W83+0.001,W83))))</f>
        <v>0</v>
      </c>
      <c r="AQ83" s="128">
        <f>+IF(V82="NA","",IF(AK83=0,"",IF(V82="&gt;",W82+0.001,IF(V82="&lt;",W82-0.001,W82))))</f>
        <v>0</v>
      </c>
      <c r="AR83" s="128" t="str">
        <f>IF(AK83=0,"",IF(V82="≥",W81-0.001,IF(V82="≤",W81+0.001,"")))</f>
        <v/>
      </c>
      <c r="AS83" s="128" t="str">
        <f>+IF(AK83=0,"",IF(V81="=",W81,""))</f>
        <v/>
      </c>
    </row>
    <row r="84" spans="2:45" x14ac:dyDescent="0.25">
      <c r="B84" s="106"/>
      <c r="D84" s="386" t="s">
        <v>56</v>
      </c>
      <c r="E84" s="386"/>
      <c r="F84" s="126"/>
      <c r="G84" s="126">
        <v>0.94</v>
      </c>
      <c r="H84" s="126">
        <v>0.94099999999999995</v>
      </c>
      <c r="I84" s="126">
        <v>0.96899999999999997</v>
      </c>
      <c r="J84" s="126">
        <v>0.97</v>
      </c>
      <c r="K84" s="126">
        <v>0.999</v>
      </c>
      <c r="L84" s="126">
        <v>1</v>
      </c>
      <c r="M84" s="126"/>
      <c r="O84" s="106"/>
      <c r="Q84" s="122" t="s">
        <v>1983</v>
      </c>
      <c r="R84" s="111"/>
      <c r="S84" s="127"/>
      <c r="T84" s="111"/>
      <c r="U84" s="127"/>
      <c r="V84" s="111"/>
      <c r="W84" s="127"/>
      <c r="X84" s="111"/>
      <c r="Y84" s="127"/>
      <c r="Z84" s="111"/>
      <c r="AA84" s="127"/>
      <c r="AB84" s="111"/>
      <c r="AC84" s="127"/>
      <c r="AE84" s="105" t="s">
        <v>56</v>
      </c>
      <c r="AF84" s="105">
        <v>10</v>
      </c>
      <c r="AG84" s="105">
        <f t="shared" si="0"/>
        <v>1</v>
      </c>
      <c r="AH84" s="105">
        <f>+IF(AG84=0,0,IF(AG84=1,(SUM($AG$75:AG84)-1),1))</f>
        <v>7</v>
      </c>
      <c r="AI84" s="105">
        <f t="shared" si="1"/>
        <v>1</v>
      </c>
      <c r="AJ84" s="105">
        <f t="shared" si="2"/>
        <v>0</v>
      </c>
      <c r="AK84" s="105">
        <f t="shared" si="3"/>
        <v>1</v>
      </c>
      <c r="AL84" s="128" t="str">
        <f>+""</f>
        <v/>
      </c>
      <c r="AM84" s="128">
        <f>+IF(AK84=0,"",IF(X84="&gt;",Y84+0.001,IF(X84="&lt;",Y84-0.001,Y84)))</f>
        <v>0</v>
      </c>
      <c r="AN84" s="128">
        <f>+IF(X83="NA","",IF(AK84=0,"",IF(X84="≥",Y84-0.001,IF(X84="≤",Y84+0.001,Y84))))</f>
        <v>0</v>
      </c>
      <c r="AO84" s="128">
        <f>IF(X83="NA","",IF(AK84=0,"",IF(X83="&gt;",Y83+0.001,IF(X83="&lt;",Y83-0.001,Y83))))</f>
        <v>0</v>
      </c>
      <c r="AP84" s="128">
        <f>+IF(X82="NA","",IF(AK84=0,"",IF(X83="≥",Y83-0.001,IF(X83="≤",Y83+0.001,Y83))))</f>
        <v>0</v>
      </c>
      <c r="AQ84" s="128">
        <f>+IF(X82="NA","",IF(AK84=0,"",IF(X82="&gt;",Y82+0.001,IF(X82="&lt;",Y82-0.001,Y82))))</f>
        <v>0</v>
      </c>
      <c r="AR84" s="128" t="str">
        <f>IF(AK84=0,"",IF(X82="≥",Y81-0.001,IF(X82="≤",Y81+0.001,"")))</f>
        <v/>
      </c>
      <c r="AS84" s="128" t="str">
        <f>+IF(AK84=0,"",IF(X81="=",Y81,""))</f>
        <v/>
      </c>
    </row>
    <row r="85" spans="2:45" x14ac:dyDescent="0.25">
      <c r="B85" s="106"/>
      <c r="D85" s="386" t="s">
        <v>57</v>
      </c>
      <c r="E85" s="386"/>
      <c r="F85" s="126"/>
      <c r="G85" s="126">
        <v>0.94</v>
      </c>
      <c r="H85" s="126">
        <v>0.94099999999999995</v>
      </c>
      <c r="I85" s="126">
        <v>0.96899999999999997</v>
      </c>
      <c r="J85" s="126">
        <v>0.97</v>
      </c>
      <c r="K85" s="126">
        <v>0.999</v>
      </c>
      <c r="L85" s="126">
        <v>1</v>
      </c>
      <c r="M85" s="126"/>
      <c r="O85" s="106"/>
      <c r="AE85" s="105" t="s">
        <v>57</v>
      </c>
      <c r="AF85" s="105">
        <v>11</v>
      </c>
      <c r="AG85" s="105">
        <f t="shared" si="0"/>
        <v>1</v>
      </c>
      <c r="AH85" s="105">
        <f>+IF(AG85=0,0,IF(AG85=1,(SUM($AG$75:AG85)-1),1))</f>
        <v>8</v>
      </c>
      <c r="AI85" s="105">
        <f t="shared" si="1"/>
        <v>1</v>
      </c>
      <c r="AJ85" s="105">
        <f t="shared" si="2"/>
        <v>0</v>
      </c>
      <c r="AK85" s="105">
        <f t="shared" si="3"/>
        <v>1</v>
      </c>
      <c r="AL85" s="128" t="str">
        <f>+""</f>
        <v/>
      </c>
      <c r="AM85" s="128">
        <f>+IF(AK85=0,"",IF(Z84="&gt;",AA84+0.001,IF(Z84="&lt;",AA84-0.001,AA84)))</f>
        <v>0</v>
      </c>
      <c r="AN85" s="128">
        <f>+IF(Z83="NA","",IF(AK85=0,"",IF(Z84="≥",AA84-0.001,IF(Z84="≤",AA84+0.001,AA84))))</f>
        <v>0</v>
      </c>
      <c r="AO85" s="128">
        <f>IF(Z83="NA","",IF(AK85=0,"",IF(Z83="&gt;",AA83+0.001,IF(Z83="&lt;",AA83-0.001,AA83))))</f>
        <v>0</v>
      </c>
      <c r="AP85" s="128">
        <f>+IF(Z82="NA","",IF(AK85=0,"",IF(Z83="≥",AA83-0.001,IF(Z83="≤",AA83+0.001,AA83))))</f>
        <v>0</v>
      </c>
      <c r="AQ85" s="128">
        <f>+IF(Z82="NA","",IF(AK85=0,"",IF(Z82="&gt;",AA82+0.001,IF(Z82="&lt;",AA82-0.001,AA82))))</f>
        <v>0</v>
      </c>
      <c r="AR85" s="128" t="str">
        <f>IF(AK85=0,"",IF(Z82="≥",AA81-0.001,IF(Z82="≤",AA81+0.001,"")))</f>
        <v/>
      </c>
      <c r="AS85" s="128" t="str">
        <f>+IF(AK85=0,"",IF(Z81="=",AA81,""))</f>
        <v/>
      </c>
    </row>
    <row r="86" spans="2:45" x14ac:dyDescent="0.25">
      <c r="B86" s="106"/>
      <c r="D86" s="386" t="s">
        <v>58</v>
      </c>
      <c r="E86" s="386"/>
      <c r="F86" s="126"/>
      <c r="G86" s="126">
        <v>0.94</v>
      </c>
      <c r="H86" s="126">
        <v>0.94099999999999995</v>
      </c>
      <c r="I86" s="126">
        <v>0.96899999999999997</v>
      </c>
      <c r="J86" s="126">
        <v>0.97</v>
      </c>
      <c r="K86" s="126">
        <v>0.999</v>
      </c>
      <c r="L86" s="126">
        <v>1</v>
      </c>
      <c r="M86" s="126"/>
      <c r="O86" s="106"/>
      <c r="AE86" s="105" t="s">
        <v>58</v>
      </c>
      <c r="AF86" s="129">
        <v>12</v>
      </c>
      <c r="AG86" s="105">
        <f t="shared" si="0"/>
        <v>1</v>
      </c>
      <c r="AH86" s="105">
        <f>+IF(AG86=0,0,IF(AG86=1,(SUM($AG$75:AG86)-1),1))</f>
        <v>9</v>
      </c>
      <c r="AI86" s="105">
        <f t="shared" si="1"/>
        <v>1</v>
      </c>
      <c r="AJ86" s="105">
        <f t="shared" si="2"/>
        <v>0</v>
      </c>
      <c r="AK86" s="105">
        <f t="shared" si="3"/>
        <v>1</v>
      </c>
      <c r="AL86" s="128" t="str">
        <f>+""</f>
        <v/>
      </c>
      <c r="AM86" s="128">
        <f>+IF(AK86=0,"",IF(AB84="&gt;",AC84+0.001,IF(AB84="&lt;",AC84-0.001,AC84)))</f>
        <v>0</v>
      </c>
      <c r="AN86" s="128">
        <f>+IF(AB83="NA","",IF(AK86=0,"",IF(AB84="≥",AC84-0.001,IF(AB84="≤",AC84+0.001,AC84))))</f>
        <v>0</v>
      </c>
      <c r="AO86" s="128">
        <f>IF(AB83="NA","",IF(AK86=0,"",IF(AB83="&gt;",AC83+0.001,IF(AB83="&lt;",AC83-0.001,AC83))))</f>
        <v>0</v>
      </c>
      <c r="AP86" s="128">
        <f>+IF(AB82="NA","",IF(AK86=0,"",IF(AB83="≥",AC83-0.001,IF(AB83="≤",AC83+0.001,AC83))))</f>
        <v>0</v>
      </c>
      <c r="AQ86" s="128">
        <f>+IF(AB82="NA","",IF(AK86=0,"",IF(AB82="&gt;",AC82+0.001,IF(AB82="&lt;",AC82-0.001,AC82))))</f>
        <v>0</v>
      </c>
      <c r="AR86" s="128" t="str">
        <f>IF(AK86=0,"",IF(AB82="≥",AC81-0.001,IF(AB82="≤",AC81+0.001,"")))</f>
        <v/>
      </c>
      <c r="AS86" s="128" t="str">
        <f>+IF(AK86=0,"",IF(AB81="=",AC81,""))</f>
        <v/>
      </c>
    </row>
    <row r="87" spans="2:45" ht="3.75" customHeight="1" x14ac:dyDescent="0.25">
      <c r="B87" s="106"/>
      <c r="O87" s="106"/>
      <c r="AR87" s="128" t="str">
        <f>IF(AK87=0,"",IF(S83="Creciente",IF(R88="≥",S88-0.001,""),IF(R88="≤",S88+0.001,"")))</f>
        <v/>
      </c>
    </row>
    <row r="88" spans="2:45" ht="66" customHeight="1" x14ac:dyDescent="0.25">
      <c r="B88" s="106"/>
      <c r="D88" s="378" t="s">
        <v>59</v>
      </c>
      <c r="E88" s="379"/>
      <c r="F88" s="380" t="s">
        <v>2079</v>
      </c>
      <c r="G88" s="381"/>
      <c r="H88" s="381"/>
      <c r="I88" s="381"/>
      <c r="J88" s="381"/>
      <c r="K88" s="381"/>
      <c r="L88" s="381"/>
      <c r="M88" s="382"/>
      <c r="O88" s="106"/>
    </row>
    <row r="89" spans="2:45" ht="3.95" customHeight="1" x14ac:dyDescent="0.25">
      <c r="B89" s="106"/>
      <c r="O89" s="106"/>
    </row>
    <row r="90" spans="2:45" ht="3" customHeight="1" x14ac:dyDescent="0.25">
      <c r="B90" s="106"/>
      <c r="C90" s="106"/>
      <c r="D90" s="106"/>
      <c r="E90" s="106"/>
      <c r="F90" s="106"/>
      <c r="G90" s="106"/>
      <c r="H90" s="106"/>
      <c r="I90" s="106"/>
      <c r="J90" s="106"/>
      <c r="K90" s="106"/>
      <c r="L90" s="106"/>
      <c r="M90" s="106"/>
      <c r="N90" s="106"/>
      <c r="O90" s="106"/>
    </row>
    <row r="91" spans="2:45" ht="3" customHeight="1" x14ac:dyDescent="0.25"/>
    <row r="92" spans="2:45" ht="3" customHeight="1" x14ac:dyDescent="0.25">
      <c r="B92" s="106"/>
      <c r="C92" s="106"/>
      <c r="D92" s="106"/>
      <c r="E92" s="106"/>
      <c r="F92" s="106"/>
      <c r="G92" s="106"/>
      <c r="H92" s="106"/>
      <c r="I92" s="106"/>
      <c r="J92" s="106"/>
      <c r="K92" s="106"/>
      <c r="L92" s="106"/>
      <c r="M92" s="106"/>
      <c r="N92" s="106"/>
      <c r="O92" s="106"/>
    </row>
    <row r="93" spans="2:45" ht="3.95" customHeight="1" x14ac:dyDescent="0.25">
      <c r="B93" s="106"/>
      <c r="O93" s="106"/>
    </row>
    <row r="94" spans="2:45" x14ac:dyDescent="0.25">
      <c r="B94" s="106"/>
      <c r="D94" s="112" t="s">
        <v>60</v>
      </c>
      <c r="O94" s="106"/>
    </row>
    <row r="95" spans="2:45" ht="3.95" customHeight="1" x14ac:dyDescent="0.25">
      <c r="B95" s="106"/>
      <c r="O95" s="106"/>
    </row>
    <row r="96" spans="2:45" ht="20.100000000000001" customHeight="1" x14ac:dyDescent="0.25">
      <c r="B96" s="106"/>
      <c r="D96" s="387" t="s">
        <v>61</v>
      </c>
      <c r="E96" s="387"/>
      <c r="O96" s="106"/>
    </row>
    <row r="97" spans="2:15" ht="30" customHeight="1" x14ac:dyDescent="0.25">
      <c r="B97" s="106"/>
      <c r="D97" s="369" t="s">
        <v>35</v>
      </c>
      <c r="E97" s="369"/>
      <c r="F97" s="370" t="str">
        <f>+IFERROR(VLOOKUP($S$12,[1]Hoja1!$B$5:$AT$190,29,FALSE),"")</f>
        <v>Reportes de Ejecucion Presupuestal SIIF</v>
      </c>
      <c r="G97" s="370"/>
      <c r="H97" s="370"/>
      <c r="I97" s="370"/>
      <c r="J97" s="370"/>
      <c r="K97" s="370"/>
      <c r="L97" s="370"/>
      <c r="M97" s="370"/>
      <c r="O97" s="106"/>
    </row>
    <row r="98" spans="2:15" ht="30" customHeight="1" x14ac:dyDescent="0.25">
      <c r="B98" s="106"/>
      <c r="D98" s="369" t="s">
        <v>36</v>
      </c>
      <c r="E98" s="369"/>
      <c r="F98" s="370" t="s">
        <v>1984</v>
      </c>
      <c r="G98" s="370"/>
      <c r="H98" s="370"/>
      <c r="I98" s="370"/>
      <c r="J98" s="370"/>
      <c r="K98" s="370"/>
      <c r="L98" s="370"/>
      <c r="M98" s="370"/>
      <c r="O98" s="106"/>
    </row>
    <row r="99" spans="2:15" ht="3.95" customHeight="1" x14ac:dyDescent="0.25">
      <c r="B99" s="106"/>
      <c r="O99" s="106"/>
    </row>
    <row r="100" spans="2:15" ht="58.5" customHeight="1" x14ac:dyDescent="0.25">
      <c r="B100" s="106"/>
      <c r="D100" s="378" t="s">
        <v>62</v>
      </c>
      <c r="E100" s="379"/>
      <c r="F100" s="383"/>
      <c r="G100" s="384"/>
      <c r="H100" s="384"/>
      <c r="I100" s="384"/>
      <c r="J100" s="384"/>
      <c r="K100" s="384"/>
      <c r="L100" s="384"/>
      <c r="M100" s="385"/>
      <c r="O100" s="106"/>
    </row>
    <row r="101" spans="2:15" ht="3.95" customHeight="1" x14ac:dyDescent="0.25">
      <c r="B101" s="106"/>
      <c r="O101" s="106"/>
    </row>
    <row r="102" spans="2:15" ht="19.5" customHeight="1" x14ac:dyDescent="0.25">
      <c r="B102" s="106"/>
      <c r="D102" s="371" t="s">
        <v>64</v>
      </c>
      <c r="E102" s="372"/>
      <c r="F102" s="130" t="s">
        <v>65</v>
      </c>
      <c r="G102" s="107" t="s">
        <v>2</v>
      </c>
      <c r="K102" s="131"/>
      <c r="O102" s="106"/>
    </row>
    <row r="103" spans="2:15" ht="19.5" customHeight="1" x14ac:dyDescent="0.25">
      <c r="B103" s="106"/>
      <c r="D103" s="373"/>
      <c r="E103" s="374"/>
      <c r="F103" s="130" t="s">
        <v>66</v>
      </c>
      <c r="G103" s="132"/>
      <c r="K103" s="133"/>
      <c r="O103" s="106"/>
    </row>
    <row r="104" spans="2:15" ht="27.75" customHeight="1" x14ac:dyDescent="0.25">
      <c r="B104" s="106"/>
      <c r="D104" s="373"/>
      <c r="E104" s="374"/>
      <c r="F104" s="130" t="s">
        <v>67</v>
      </c>
      <c r="G104" s="375"/>
      <c r="H104" s="376"/>
      <c r="I104" s="376"/>
      <c r="J104" s="376"/>
      <c r="K104" s="376"/>
      <c r="L104" s="376"/>
      <c r="M104" s="377"/>
      <c r="O104" s="106"/>
    </row>
    <row r="105" spans="2:15" ht="3.95" customHeight="1" x14ac:dyDescent="0.25">
      <c r="B105" s="106"/>
      <c r="O105" s="106"/>
    </row>
    <row r="106" spans="2:15" ht="229.5" customHeight="1" x14ac:dyDescent="0.25">
      <c r="B106" s="106"/>
      <c r="D106" s="378" t="s">
        <v>68</v>
      </c>
      <c r="E106" s="379"/>
      <c r="F106" s="380" t="s">
        <v>102</v>
      </c>
      <c r="G106" s="381"/>
      <c r="H106" s="381"/>
      <c r="I106" s="381"/>
      <c r="J106" s="381"/>
      <c r="K106" s="381"/>
      <c r="L106" s="381"/>
      <c r="M106" s="382"/>
      <c r="O106" s="106"/>
    </row>
    <row r="107" spans="2:15" ht="3.95" customHeight="1" x14ac:dyDescent="0.25">
      <c r="B107" s="106"/>
      <c r="O107" s="106"/>
    </row>
    <row r="108" spans="2:15" ht="17.25" customHeight="1" x14ac:dyDescent="0.25">
      <c r="B108" s="106"/>
      <c r="D108" s="371" t="s">
        <v>2040</v>
      </c>
      <c r="E108" s="372"/>
      <c r="F108" s="130" t="s">
        <v>2041</v>
      </c>
      <c r="G108" s="375" t="str">
        <f>+VLOOKUP(H10,tablero!$P$5:$R$201,3,FALSE)</f>
        <v>Director(a) Servicio y Atención</v>
      </c>
      <c r="H108" s="376"/>
      <c r="I108" s="376"/>
      <c r="J108" s="376"/>
      <c r="K108" s="376"/>
      <c r="L108" s="376"/>
      <c r="M108" s="377"/>
      <c r="O108" s="106"/>
    </row>
    <row r="109" spans="2:15" ht="17.25" customHeight="1" x14ac:dyDescent="0.25">
      <c r="B109" s="106"/>
      <c r="D109" s="373"/>
      <c r="E109" s="374"/>
      <c r="F109" s="130" t="s">
        <v>2042</v>
      </c>
      <c r="G109" s="375" t="str">
        <f>+IF(M23="Si","Coordinador(a) Planeación y Sistemas","")</f>
        <v/>
      </c>
      <c r="H109" s="376"/>
      <c r="I109" s="376"/>
      <c r="J109" s="376"/>
      <c r="K109" s="376"/>
      <c r="L109" s="376"/>
      <c r="M109" s="377"/>
      <c r="O109" s="106"/>
    </row>
    <row r="110" spans="2:15" ht="17.25" customHeight="1" x14ac:dyDescent="0.25">
      <c r="B110" s="106"/>
      <c r="D110" s="373"/>
      <c r="E110" s="374"/>
      <c r="F110" s="130" t="s">
        <v>2043</v>
      </c>
      <c r="G110" s="375" t="str">
        <f>+IF(M24="Si","Coordinador(a) Centro Zonal","")</f>
        <v/>
      </c>
      <c r="H110" s="376"/>
      <c r="I110" s="376"/>
      <c r="J110" s="376"/>
      <c r="K110" s="376"/>
      <c r="L110" s="376"/>
      <c r="M110" s="377"/>
      <c r="O110" s="106"/>
    </row>
    <row r="111" spans="2:15" ht="3.95" customHeight="1" x14ac:dyDescent="0.25">
      <c r="B111" s="106"/>
      <c r="O111" s="106"/>
    </row>
    <row r="112" spans="2:15" ht="3" customHeight="1" x14ac:dyDescent="0.25">
      <c r="B112" s="106"/>
      <c r="C112" s="106"/>
      <c r="D112" s="106"/>
      <c r="E112" s="106"/>
      <c r="F112" s="106"/>
      <c r="G112" s="106"/>
      <c r="H112" s="106"/>
      <c r="I112" s="106"/>
      <c r="J112" s="106"/>
      <c r="K112" s="106"/>
      <c r="L112" s="106"/>
      <c r="M112" s="106"/>
      <c r="N112" s="106"/>
      <c r="O112" s="106"/>
    </row>
    <row r="113" spans="13:13" x14ac:dyDescent="0.25">
      <c r="M113" s="121" t="s">
        <v>70</v>
      </c>
    </row>
  </sheetData>
  <mergeCells count="85">
    <mergeCell ref="C3:N5"/>
    <mergeCell ref="D10:E10"/>
    <mergeCell ref="D12:E12"/>
    <mergeCell ref="F12:M12"/>
    <mergeCell ref="D14:E14"/>
    <mergeCell ref="F14:M14"/>
    <mergeCell ref="D22:E22"/>
    <mergeCell ref="G22:H22"/>
    <mergeCell ref="K22:L22"/>
    <mergeCell ref="D23:E23"/>
    <mergeCell ref="G23:H23"/>
    <mergeCell ref="K23:L23"/>
    <mergeCell ref="D24:E24"/>
    <mergeCell ref="G24:H24"/>
    <mergeCell ref="K24:L24"/>
    <mergeCell ref="D25:E25"/>
    <mergeCell ref="D29:E29"/>
    <mergeCell ref="F29:M29"/>
    <mergeCell ref="D30:E31"/>
    <mergeCell ref="G30:M30"/>
    <mergeCell ref="G31:M31"/>
    <mergeCell ref="D32:E33"/>
    <mergeCell ref="G32:M32"/>
    <mergeCell ref="G33:M33"/>
    <mergeCell ref="D34:E35"/>
    <mergeCell ref="G34:M34"/>
    <mergeCell ref="G35:M35"/>
    <mergeCell ref="D43:E43"/>
    <mergeCell ref="D44:E45"/>
    <mergeCell ref="G44:M44"/>
    <mergeCell ref="G45:M45"/>
    <mergeCell ref="D46:E47"/>
    <mergeCell ref="G46:M46"/>
    <mergeCell ref="G47:M47"/>
    <mergeCell ref="D48:E49"/>
    <mergeCell ref="G48:M48"/>
    <mergeCell ref="G49:M49"/>
    <mergeCell ref="D51:E51"/>
    <mergeCell ref="G51:H51"/>
    <mergeCell ref="D59:E59"/>
    <mergeCell ref="F59:M59"/>
    <mergeCell ref="D60:E60"/>
    <mergeCell ref="F60:M60"/>
    <mergeCell ref="D82:E82"/>
    <mergeCell ref="D83:E83"/>
    <mergeCell ref="D61:E61"/>
    <mergeCell ref="F61:M61"/>
    <mergeCell ref="D67:E67"/>
    <mergeCell ref="D71:E71"/>
    <mergeCell ref="D73:E74"/>
    <mergeCell ref="F73:G73"/>
    <mergeCell ref="H73:I73"/>
    <mergeCell ref="J73:K73"/>
    <mergeCell ref="L73:M73"/>
    <mergeCell ref="D77:E77"/>
    <mergeCell ref="D78:E78"/>
    <mergeCell ref="D79:E79"/>
    <mergeCell ref="D80:E80"/>
    <mergeCell ref="D81:E81"/>
    <mergeCell ref="AR73:AS73"/>
    <mergeCell ref="D75:E75"/>
    <mergeCell ref="D76:E76"/>
    <mergeCell ref="AL73:AM73"/>
    <mergeCell ref="AN73:AO73"/>
    <mergeCell ref="AP73:AQ73"/>
    <mergeCell ref="D84:E84"/>
    <mergeCell ref="D85:E85"/>
    <mergeCell ref="D86:E86"/>
    <mergeCell ref="D88:E88"/>
    <mergeCell ref="F97:M97"/>
    <mergeCell ref="D96:E96"/>
    <mergeCell ref="D97:E97"/>
    <mergeCell ref="F88:M88"/>
    <mergeCell ref="D98:E98"/>
    <mergeCell ref="F98:M98"/>
    <mergeCell ref="D108:E110"/>
    <mergeCell ref="G108:M108"/>
    <mergeCell ref="G109:M109"/>
    <mergeCell ref="G110:M110"/>
    <mergeCell ref="D102:E104"/>
    <mergeCell ref="G104:M104"/>
    <mergeCell ref="D106:E106"/>
    <mergeCell ref="F106:M106"/>
    <mergeCell ref="D100:E100"/>
    <mergeCell ref="F100:M100"/>
  </mergeCells>
  <conditionalFormatting sqref="F44:M49">
    <cfRule type="expression" dxfId="904" priority="37">
      <formula>+IF($F$43="no",1,0)</formula>
    </cfRule>
  </conditionalFormatting>
  <conditionalFormatting sqref="F47:M47">
    <cfRule type="expression" dxfId="903" priority="34">
      <formula>+IF($Q$47=0,1,0)</formula>
    </cfRule>
  </conditionalFormatting>
  <conditionalFormatting sqref="Y75:Y78">
    <cfRule type="expression" dxfId="902" priority="30">
      <formula>+IF(Y$73=0,1,0)</formula>
    </cfRule>
  </conditionalFormatting>
  <conditionalFormatting sqref="AA75:AA78">
    <cfRule type="expression" dxfId="901" priority="29">
      <formula>+IF(AA$73=0,1,0)</formula>
    </cfRule>
  </conditionalFormatting>
  <conditionalFormatting sqref="AC75:AC78">
    <cfRule type="expression" dxfId="900" priority="28">
      <formula>+IF(AC$73=0,1,0)</formula>
    </cfRule>
  </conditionalFormatting>
  <conditionalFormatting sqref="S81:S84">
    <cfRule type="expression" dxfId="899" priority="27">
      <formula>+IF(S$79=0,1,0)</formula>
    </cfRule>
  </conditionalFormatting>
  <conditionalFormatting sqref="U81:U84">
    <cfRule type="expression" dxfId="898" priority="26">
      <formula>+IF(U$79=0,1,0)</formula>
    </cfRule>
  </conditionalFormatting>
  <conditionalFormatting sqref="W81:W84">
    <cfRule type="expression" dxfId="897" priority="25">
      <formula>+IF(W$79=0,1,0)</formula>
    </cfRule>
  </conditionalFormatting>
  <conditionalFormatting sqref="Y81:Y84">
    <cfRule type="expression" dxfId="896" priority="24">
      <formula>+IF(Y$79=0,1,0)</formula>
    </cfRule>
  </conditionalFormatting>
  <conditionalFormatting sqref="AA81:AA84">
    <cfRule type="expression" dxfId="895" priority="23">
      <formula>+IF(AA$79=0,1,0)</formula>
    </cfRule>
  </conditionalFormatting>
  <conditionalFormatting sqref="AC81:AC84">
    <cfRule type="expression" dxfId="894" priority="22">
      <formula>+IF(AC$79=0,1,0)</formula>
    </cfRule>
  </conditionalFormatting>
  <conditionalFormatting sqref="F73:G73">
    <cfRule type="cellIs" dxfId="893" priority="20" operator="equal">
      <formula>"optimo"</formula>
    </cfRule>
    <cfRule type="cellIs" dxfId="892" priority="21" operator="equal">
      <formula>"critico"</formula>
    </cfRule>
  </conditionalFormatting>
  <conditionalFormatting sqref="H73:I73">
    <cfRule type="cellIs" dxfId="891" priority="18" operator="equal">
      <formula>"Adecuado"</formula>
    </cfRule>
    <cfRule type="cellIs" dxfId="890" priority="19" operator="equal">
      <formula>"en riesgo"</formula>
    </cfRule>
  </conditionalFormatting>
  <conditionalFormatting sqref="J73:K73">
    <cfRule type="cellIs" dxfId="889" priority="16" operator="equal">
      <formula>"Adecuado"</formula>
    </cfRule>
    <cfRule type="cellIs" dxfId="888" priority="17" operator="equal">
      <formula>"en riesgo"</formula>
    </cfRule>
  </conditionalFormatting>
  <conditionalFormatting sqref="L73:M73">
    <cfRule type="cellIs" dxfId="887" priority="14" operator="equal">
      <formula>"optimo"</formula>
    </cfRule>
    <cfRule type="cellIs" dxfId="886" priority="15" operator="equal">
      <formula>"critico"</formula>
    </cfRule>
  </conditionalFormatting>
  <conditionalFormatting sqref="F75:M76">
    <cfRule type="expression" dxfId="885" priority="13">
      <formula>+IF($AK75=0,1)</formula>
    </cfRule>
  </conditionalFormatting>
  <conditionalFormatting sqref="F103:G104">
    <cfRule type="expression" dxfId="884" priority="12">
      <formula>+IF($G$102="No",1,0)</formula>
    </cfRule>
  </conditionalFormatting>
  <conditionalFormatting sqref="F51">
    <cfRule type="expression" dxfId="883" priority="11">
      <formula>+IF($F$43="no",1,0)</formula>
    </cfRule>
  </conditionalFormatting>
  <conditionalFormatting sqref="I51">
    <cfRule type="expression" dxfId="882" priority="10">
      <formula>+IF($F$51="no",1,0)</formula>
    </cfRule>
  </conditionalFormatting>
  <conditionalFormatting sqref="F32:M32">
    <cfRule type="expression" dxfId="881" priority="8">
      <formula>+IF($Q$30="NA",1,0)</formula>
    </cfRule>
  </conditionalFormatting>
  <conditionalFormatting sqref="F33:M33">
    <cfRule type="expression" dxfId="880" priority="7">
      <formula>+IF($Q$30="NA",1,0)</formula>
    </cfRule>
  </conditionalFormatting>
  <conditionalFormatting sqref="F33:M33">
    <cfRule type="expression" dxfId="879" priority="6">
      <formula>+IF($Q$33=0,1,0)</formula>
    </cfRule>
  </conditionalFormatting>
  <conditionalFormatting sqref="F77:F86 M77:M86">
    <cfRule type="expression" dxfId="878" priority="2">
      <formula>+IF($AK77=0,1)</formula>
    </cfRule>
  </conditionalFormatting>
  <conditionalFormatting sqref="G77:L86">
    <cfRule type="expression" dxfId="877" priority="1">
      <formula>+IF($AK77=0,1)</formula>
    </cfRule>
  </conditionalFormatting>
  <dataValidations count="13">
    <dataValidation type="list" allowBlank="1" showInputMessage="1" showErrorMessage="1" sqref="G102 F43 F51">
      <formula1>$S$4:$S$5</formula1>
    </dataValidation>
    <dataValidation type="list" allowBlank="1" showInputMessage="1" showErrorMessage="1" sqref="F29:M29">
      <formula1>objetivos</formula1>
    </dataValidation>
    <dataValidation type="list" allowBlank="1" showInputMessage="1" showErrorMessage="1" sqref="F35:G35">
      <formula1>macroprocesos</formula1>
    </dataValidation>
    <dataValidation type="list" allowBlank="1" showInputMessage="1" showErrorMessage="1" sqref="G33:M33">
      <formula1>INDIRECT($Q$30)</formula1>
    </dataValidation>
    <dataValidation type="list" allowBlank="1" showInputMessage="1" showErrorMessage="1" sqref="G31:M31">
      <formula1>macroproceso</formula1>
    </dataValidation>
    <dataValidation type="list" allowBlank="1" showInputMessage="1" showErrorMessage="1" sqref="G45:M45">
      <formula1>lineas</formula1>
    </dataValidation>
    <dataValidation type="list" allowBlank="1" showInputMessage="1" showErrorMessage="1" sqref="G47:M47">
      <formula1>INDIRECT($Q$45)</formula1>
    </dataValidation>
    <dataValidation type="list" allowBlank="1" showInputMessage="1" showErrorMessage="1" sqref="F24">
      <formula1>tendencia</formula1>
    </dataValidation>
    <dataValidation type="list" allowBlank="1" showInputMessage="1" showErrorMessage="1" sqref="I23">
      <formula1>medidas</formula1>
    </dataValidation>
    <dataValidation type="list" allowBlank="1" showInputMessage="1" showErrorMessage="1" sqref="I24">
      <formula1>ambito</formula1>
    </dataValidation>
    <dataValidation type="list" allowBlank="1" showInputMessage="1" showErrorMessage="1" sqref="F71">
      <formula1>$D$75:$D$86</formula1>
    </dataValidation>
    <dataValidation type="list" allowBlank="1" showInputMessage="1" showErrorMessage="1" sqref="G49:M49">
      <formula1>proyectos</formula1>
    </dataValidation>
    <dataValidation type="list" allowBlank="1" showInputMessage="1" showErrorMessage="1" sqref="F25">
      <formula1>dimen</formula1>
    </dataValidation>
  </dataValidations>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[1]base!#REF!</xm:f>
          </x14:formula1>
          <xm:sqref>R75:R78 T75:T78 V75:V78 X75:X78 Z75:Z78 AB75:AB78 T81:T84 Z81:Z84 R81:R84 V81:V84 X81:X84 AB81:AB84 F23</xm:sqref>
        </x14:dataValidation>
        <x14:dataValidation type="list" allowBlank="1" showInputMessage="1" showErrorMessage="1">
          <x14:formula1>
            <xm:f>[1]Hoja1!#REF!</xm:f>
          </x14:formula1>
          <xm:sqref>S12</xm:sqref>
        </x14:dataValidation>
      </x14:dataValidations>
    </ext>
  </extLst>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5">
    <tabColor rgb="FF75C4FF"/>
  </sheetPr>
  <dimension ref="B1:AV113"/>
  <sheetViews>
    <sheetView zoomScale="90" zoomScaleNormal="90" workbookViewId="0">
      <selection activeCell="P2" sqref="P2"/>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394</v>
      </c>
      <c r="O10" s="2"/>
    </row>
    <row r="11" spans="2:24" ht="3.95" customHeight="1" x14ac:dyDescent="0.25">
      <c r="B11" s="2"/>
      <c r="D11" s="6"/>
      <c r="O11" s="2"/>
    </row>
    <row r="12" spans="2:24" ht="36" customHeight="1" x14ac:dyDescent="0.25">
      <c r="B12" s="2"/>
      <c r="D12" s="338" t="s">
        <v>5</v>
      </c>
      <c r="E12" s="339"/>
      <c r="F12" s="340" t="s">
        <v>1285</v>
      </c>
      <c r="G12" s="341"/>
      <c r="H12" s="341"/>
      <c r="I12" s="341"/>
      <c r="J12" s="341"/>
      <c r="K12" s="341"/>
      <c r="L12" s="341"/>
      <c r="M12" s="342"/>
      <c r="O12" s="2"/>
      <c r="W12" s="3" t="str">
        <f>+F23</f>
        <v>Cuatrimestral</v>
      </c>
      <c r="X12" s="3" t="str">
        <f>+F71</f>
        <v>Agosto</v>
      </c>
    </row>
    <row r="13" spans="2:24" ht="3.95" customHeight="1" x14ac:dyDescent="0.25">
      <c r="B13" s="2"/>
      <c r="O13" s="2"/>
    </row>
    <row r="14" spans="2:24" ht="38.25" customHeight="1" x14ac:dyDescent="0.25">
      <c r="B14" s="2"/>
      <c r="D14" s="338" t="s">
        <v>6</v>
      </c>
      <c r="E14" s="339"/>
      <c r="F14" s="340" t="s">
        <v>1286</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17" t="s">
        <v>512</v>
      </c>
      <c r="G22" s="337" t="s">
        <v>9</v>
      </c>
      <c r="H22" s="337"/>
      <c r="I22" s="17">
        <v>0.2</v>
      </c>
      <c r="K22" s="337" t="s">
        <v>10</v>
      </c>
      <c r="L22" s="337"/>
      <c r="M22" s="9" t="s">
        <v>496</v>
      </c>
      <c r="O22" s="2"/>
    </row>
    <row r="23" spans="2:17" ht="19.5" customHeight="1" x14ac:dyDescent="0.25">
      <c r="B23" s="2"/>
      <c r="D23" s="337" t="s">
        <v>11</v>
      </c>
      <c r="E23" s="337"/>
      <c r="F23" s="4" t="s">
        <v>1069</v>
      </c>
      <c r="G23" s="337" t="s">
        <v>12</v>
      </c>
      <c r="H23" s="337"/>
      <c r="I23" s="4" t="s">
        <v>497</v>
      </c>
      <c r="K23" s="337" t="s">
        <v>13</v>
      </c>
      <c r="L23" s="337"/>
      <c r="M23" s="9" t="s">
        <v>2</v>
      </c>
      <c r="O23" s="2"/>
    </row>
    <row r="24" spans="2:17" ht="20.100000000000001" customHeight="1" x14ac:dyDescent="0.25">
      <c r="B24" s="2"/>
      <c r="D24" s="337" t="s">
        <v>14</v>
      </c>
      <c r="E24" s="337"/>
      <c r="F24" s="4" t="s">
        <v>1287</v>
      </c>
      <c r="G24" s="337" t="s">
        <v>15</v>
      </c>
      <c r="H24" s="337"/>
      <c r="I24" s="4" t="s">
        <v>103</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NA</v>
      </c>
    </row>
    <row r="31" spans="2:17" ht="24" customHeight="1" x14ac:dyDescent="0.25">
      <c r="B31" s="2"/>
      <c r="D31" s="347"/>
      <c r="E31" s="348"/>
      <c r="F31" s="4" t="s">
        <v>391</v>
      </c>
      <c r="G31" s="340" t="s">
        <v>392</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500</v>
      </c>
      <c r="G33" s="340"/>
      <c r="H33" s="341"/>
      <c r="I33" s="341"/>
      <c r="J33" s="341"/>
      <c r="K33" s="341"/>
      <c r="L33" s="341"/>
      <c r="M33" s="342"/>
      <c r="O33" s="2"/>
      <c r="Q33" s="3" t="str">
        <f>+IFERROR(IF(VLOOKUP(G33,base!$A$26:$C$40,3,FALSE)=F31,1,0),"")</f>
        <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1716</v>
      </c>
      <c r="G35" s="340" t="s">
        <v>1592</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1126</v>
      </c>
      <c r="G45" s="340" t="s">
        <v>1127</v>
      </c>
      <c r="H45" s="341"/>
      <c r="I45" s="341"/>
      <c r="J45" s="341"/>
      <c r="K45" s="341"/>
      <c r="L45" s="341"/>
      <c r="M45" s="342"/>
      <c r="O45" s="2"/>
      <c r="Q45" s="3" t="str">
        <f>+IFERROR(VLOOKUP(G45,base!$A$41:$C$45,3,FALSE),"")</f>
        <v>admon</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1288</v>
      </c>
      <c r="G47" s="340" t="s">
        <v>1273</v>
      </c>
      <c r="H47" s="341"/>
      <c r="I47" s="341"/>
      <c r="J47" s="341"/>
      <c r="K47" s="341"/>
      <c r="L47" s="341"/>
      <c r="M47" s="342"/>
      <c r="O47" s="2"/>
      <c r="Q47" s="3">
        <f>+IF(VLOOKUP(G47,base!$A$46:$C$66,3,FALSE)=F45,1,0)</f>
        <v>1</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1289</v>
      </c>
      <c r="G49" s="340" t="s">
        <v>1274</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496</v>
      </c>
      <c r="G51" s="337" t="s">
        <v>32</v>
      </c>
      <c r="H51" s="337"/>
      <c r="I51" s="17">
        <v>1</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37" t="s">
        <v>34</v>
      </c>
      <c r="E59" s="337"/>
      <c r="F59" s="344" t="s">
        <v>1290</v>
      </c>
      <c r="G59" s="344"/>
      <c r="H59" s="344"/>
      <c r="I59" s="344"/>
      <c r="J59" s="344"/>
      <c r="K59" s="344"/>
      <c r="L59" s="344"/>
      <c r="M59" s="344"/>
      <c r="O59" s="2"/>
    </row>
    <row r="60" spans="2:15" ht="66" customHeight="1" x14ac:dyDescent="0.25">
      <c r="B60" s="2"/>
      <c r="D60" s="359" t="s">
        <v>35</v>
      </c>
      <c r="E60" s="359"/>
      <c r="F60" s="344" t="s">
        <v>1290</v>
      </c>
      <c r="G60" s="344"/>
      <c r="H60" s="344"/>
      <c r="I60" s="344"/>
      <c r="J60" s="344"/>
      <c r="K60" s="344"/>
      <c r="L60" s="344"/>
      <c r="M60" s="344"/>
      <c r="O60" s="2"/>
    </row>
    <row r="61" spans="2:15" ht="41.25" customHeight="1" x14ac:dyDescent="0.25">
      <c r="B61" s="2"/>
      <c r="D61" s="359" t="s">
        <v>36</v>
      </c>
      <c r="E61" s="359"/>
      <c r="F61" s="340"/>
      <c r="G61" s="341"/>
      <c r="H61" s="341"/>
      <c r="I61" s="341"/>
      <c r="J61" s="341"/>
      <c r="K61" s="341"/>
      <c r="L61" s="341"/>
      <c r="M61" s="342"/>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4</v>
      </c>
    </row>
    <row r="70" spans="2:37" ht="3.95" customHeight="1" x14ac:dyDescent="0.25">
      <c r="B70" s="2"/>
      <c r="D70" s="7"/>
      <c r="E70" s="7"/>
      <c r="O70" s="2"/>
    </row>
    <row r="71" spans="2:37" ht="18.75" customHeight="1" x14ac:dyDescent="0.25">
      <c r="B71" s="2"/>
      <c r="D71" s="343" t="s">
        <v>39</v>
      </c>
      <c r="E71" s="343"/>
      <c r="F71" s="4" t="s">
        <v>54</v>
      </c>
      <c r="G71" s="3">
        <v>8</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60" t="s">
        <v>50</v>
      </c>
      <c r="E80" s="360"/>
      <c r="F80" s="16" t="s">
        <v>500</v>
      </c>
      <c r="G80" s="16" t="s">
        <v>500</v>
      </c>
      <c r="H80" s="16" t="s">
        <v>500</v>
      </c>
      <c r="I80" s="16" t="s">
        <v>500</v>
      </c>
      <c r="J80" s="16" t="s">
        <v>500</v>
      </c>
      <c r="K80" s="16" t="s">
        <v>500</v>
      </c>
      <c r="L80" s="16" t="s">
        <v>500</v>
      </c>
      <c r="M80" s="16" t="s">
        <v>500</v>
      </c>
      <c r="O80" s="2"/>
      <c r="AE80" s="3" t="s">
        <v>50</v>
      </c>
      <c r="AF80" s="3">
        <v>6</v>
      </c>
      <c r="AG80" s="3">
        <f t="shared" si="0"/>
        <v>0</v>
      </c>
      <c r="AH80" s="3">
        <f>+IF(AG80=0,0,IF(AG80=1,(SUM($AG$75:AG80)-1),1))</f>
        <v>0</v>
      </c>
      <c r="AI80" s="3">
        <f t="shared" si="1"/>
        <v>0</v>
      </c>
      <c r="AJ80" s="3">
        <f t="shared" si="2"/>
        <v>0</v>
      </c>
      <c r="AK80" s="3">
        <f t="shared" si="3"/>
        <v>0</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0</v>
      </c>
      <c r="AH81" s="3">
        <f>+IF(AG81=0,0,IF(AG81=1,(SUM($AG$75:AG81)-1),1))</f>
        <v>0</v>
      </c>
      <c r="AI81" s="3">
        <f t="shared" si="1"/>
        <v>0</v>
      </c>
      <c r="AJ81" s="3">
        <f t="shared" si="2"/>
        <v>0</v>
      </c>
      <c r="AK81" s="3">
        <f t="shared" si="3"/>
        <v>0</v>
      </c>
    </row>
    <row r="82" spans="2:37" x14ac:dyDescent="0.25">
      <c r="B82" s="2"/>
      <c r="D82" s="360" t="s">
        <v>54</v>
      </c>
      <c r="E82" s="360"/>
      <c r="F82" s="16" t="s">
        <v>500</v>
      </c>
      <c r="G82" s="16">
        <v>2.8999999999999998E-2</v>
      </c>
      <c r="H82" s="16">
        <v>0.03</v>
      </c>
      <c r="I82" s="16">
        <v>5.8999999999999997E-2</v>
      </c>
      <c r="J82" s="16">
        <v>0.06</v>
      </c>
      <c r="K82" s="16">
        <v>7.9000000000000001E-2</v>
      </c>
      <c r="L82" s="16">
        <v>0.08</v>
      </c>
      <c r="M82" s="16" t="s">
        <v>500</v>
      </c>
      <c r="O82" s="2"/>
      <c r="AE82" s="3" t="s">
        <v>54</v>
      </c>
      <c r="AF82" s="3">
        <v>8</v>
      </c>
      <c r="AG82" s="3">
        <f t="shared" si="0"/>
        <v>1</v>
      </c>
      <c r="AH82" s="3">
        <f>+IF(AG82=0,0,IF(AG82=1,(SUM($AG$75:AG82)-1),1))</f>
        <v>0</v>
      </c>
      <c r="AI82" s="3">
        <f t="shared" si="1"/>
        <v>0</v>
      </c>
      <c r="AJ82" s="3">
        <f t="shared" si="2"/>
        <v>1</v>
      </c>
      <c r="AK82" s="3">
        <f t="shared" si="3"/>
        <v>1</v>
      </c>
    </row>
    <row r="83" spans="2:37" x14ac:dyDescent="0.25">
      <c r="B83" s="2"/>
      <c r="D83" s="360" t="s">
        <v>55</v>
      </c>
      <c r="E83" s="360"/>
      <c r="F83" s="16" t="s">
        <v>500</v>
      </c>
      <c r="G83" s="16" t="s">
        <v>500</v>
      </c>
      <c r="H83" s="16" t="s">
        <v>500</v>
      </c>
      <c r="I83" s="16" t="s">
        <v>500</v>
      </c>
      <c r="J83" s="16" t="s">
        <v>500</v>
      </c>
      <c r="K83" s="16" t="s">
        <v>500</v>
      </c>
      <c r="L83" s="16" t="s">
        <v>500</v>
      </c>
      <c r="M83" s="16" t="s">
        <v>500</v>
      </c>
      <c r="O83" s="2"/>
      <c r="AE83" s="3" t="s">
        <v>55</v>
      </c>
      <c r="AF83" s="3">
        <v>9</v>
      </c>
      <c r="AG83" s="3">
        <f t="shared" si="0"/>
        <v>1</v>
      </c>
      <c r="AH83" s="3">
        <f>+IF(AG83=0,0,IF(AG83=1,(SUM($AG$75:AG83)-1),1))</f>
        <v>1</v>
      </c>
      <c r="AI83" s="3">
        <f t="shared" si="1"/>
        <v>0</v>
      </c>
      <c r="AJ83" s="3">
        <f t="shared" si="2"/>
        <v>0</v>
      </c>
      <c r="AK83" s="3">
        <f t="shared" si="3"/>
        <v>0</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2</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3</v>
      </c>
      <c r="AI85" s="3">
        <f t="shared" si="1"/>
        <v>0</v>
      </c>
      <c r="AJ85" s="3">
        <f t="shared" si="2"/>
        <v>0</v>
      </c>
      <c r="AK85" s="3">
        <f t="shared" si="3"/>
        <v>0</v>
      </c>
    </row>
    <row r="86" spans="2:37" x14ac:dyDescent="0.25">
      <c r="B86" s="2"/>
      <c r="D86" s="360" t="s">
        <v>58</v>
      </c>
      <c r="E86" s="360"/>
      <c r="F86" s="16" t="s">
        <v>500</v>
      </c>
      <c r="G86" s="16">
        <v>0.13900000000000001</v>
      </c>
      <c r="H86" s="16">
        <v>0.14000000000000001</v>
      </c>
      <c r="I86" s="16">
        <v>0.16900000000000001</v>
      </c>
      <c r="J86" s="16">
        <v>0.17</v>
      </c>
      <c r="K86" s="16">
        <v>0.19900000000000001</v>
      </c>
      <c r="L86" s="16">
        <v>0.2</v>
      </c>
      <c r="M86" s="16" t="s">
        <v>500</v>
      </c>
      <c r="O86" s="2"/>
      <c r="AE86" s="3" t="s">
        <v>58</v>
      </c>
      <c r="AF86" s="65">
        <v>12</v>
      </c>
      <c r="AG86" s="3">
        <f t="shared" si="0"/>
        <v>1</v>
      </c>
      <c r="AH86" s="3">
        <f>+IF(AG86=0,0,IF(AG86=1,(SUM($AG$75:AG86)-1),1))</f>
        <v>4</v>
      </c>
      <c r="AI86" s="3">
        <f t="shared" si="1"/>
        <v>1</v>
      </c>
      <c r="AJ86" s="3">
        <f t="shared" si="2"/>
        <v>0</v>
      </c>
      <c r="AK86" s="3">
        <f t="shared" si="3"/>
        <v>1</v>
      </c>
    </row>
    <row r="87" spans="2:37" ht="3.75" customHeight="1" x14ac:dyDescent="0.25">
      <c r="B87" s="2"/>
      <c r="O87" s="2"/>
    </row>
    <row r="88" spans="2:37" ht="165" customHeight="1" x14ac:dyDescent="0.25">
      <c r="B88" s="2"/>
      <c r="D88" s="338" t="s">
        <v>59</v>
      </c>
      <c r="E88" s="339"/>
      <c r="F88" s="340" t="s">
        <v>1275</v>
      </c>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2" customHeight="1" x14ac:dyDescent="0.25">
      <c r="B97" s="2"/>
      <c r="D97" s="359" t="s">
        <v>35</v>
      </c>
      <c r="E97" s="359"/>
      <c r="F97" s="344" t="s">
        <v>1291</v>
      </c>
      <c r="G97" s="344"/>
      <c r="H97" s="344"/>
      <c r="I97" s="344"/>
      <c r="J97" s="344"/>
      <c r="K97" s="344"/>
      <c r="L97" s="344"/>
      <c r="M97" s="344"/>
      <c r="O97" s="2"/>
    </row>
    <row r="98" spans="2:15" ht="42" customHeight="1" x14ac:dyDescent="0.25">
      <c r="B98" s="2"/>
      <c r="D98" s="359" t="s">
        <v>36</v>
      </c>
      <c r="E98" s="359"/>
      <c r="F98" s="472"/>
      <c r="G98" s="472"/>
      <c r="H98" s="472"/>
      <c r="I98" s="472"/>
      <c r="J98" s="472"/>
      <c r="K98" s="472"/>
      <c r="L98" s="472"/>
      <c r="M98" s="472"/>
      <c r="O98" s="2"/>
    </row>
    <row r="99" spans="2:15" ht="3.95" customHeight="1" x14ac:dyDescent="0.25">
      <c r="B99" s="2"/>
      <c r="O99" s="2"/>
    </row>
    <row r="100" spans="2:15" ht="58.5" customHeight="1" x14ac:dyDescent="0.25">
      <c r="B100" s="2"/>
      <c r="D100" s="338" t="s">
        <v>62</v>
      </c>
      <c r="E100" s="339"/>
      <c r="F100" s="333"/>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2</v>
      </c>
      <c r="K102" s="20"/>
      <c r="O102" s="2"/>
    </row>
    <row r="103" spans="2:15" ht="19.5" customHeight="1" x14ac:dyDescent="0.25">
      <c r="B103" s="2"/>
      <c r="D103" s="331"/>
      <c r="E103" s="332"/>
      <c r="F103" s="19" t="s">
        <v>66</v>
      </c>
      <c r="G103" s="4"/>
      <c r="K103" s="21"/>
      <c r="O103" s="2"/>
    </row>
    <row r="104" spans="2:15" ht="27.75" customHeight="1" x14ac:dyDescent="0.25">
      <c r="B104" s="2"/>
      <c r="D104" s="331"/>
      <c r="E104" s="332"/>
      <c r="F104" s="19" t="s">
        <v>67</v>
      </c>
      <c r="G104" s="333"/>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 xml:space="preserve">Director(a) Información y Tecnología </v>
      </c>
      <c r="H108" s="334"/>
      <c r="I108" s="334"/>
      <c r="J108" s="334"/>
      <c r="K108" s="334"/>
      <c r="L108" s="334"/>
      <c r="M108" s="335"/>
      <c r="O108" s="2"/>
    </row>
    <row r="109" spans="2:15" ht="17.25" customHeight="1" x14ac:dyDescent="0.25">
      <c r="B109" s="2"/>
      <c r="D109" s="331"/>
      <c r="E109" s="332"/>
      <c r="F109" s="19" t="s">
        <v>2042</v>
      </c>
      <c r="G109" s="333" t="str">
        <f>+IF(M23="Si","Coordinador(a) Planeación y Sistemas","")</f>
        <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876" priority="31">
      <formula>+IF($F$43="no",1,0)</formula>
    </cfRule>
  </conditionalFormatting>
  <conditionalFormatting sqref="F32:M33">
    <cfRule type="expression" dxfId="875" priority="30">
      <formula>+IF($Q$30="NA",1,0)</formula>
    </cfRule>
  </conditionalFormatting>
  <conditionalFormatting sqref="F33:M33">
    <cfRule type="expression" dxfId="874" priority="29">
      <formula>+IF($Q$33=0,1,0)</formula>
    </cfRule>
  </conditionalFormatting>
  <conditionalFormatting sqref="F47:M47">
    <cfRule type="expression" dxfId="873" priority="28">
      <formula>+IF($Q$47=0,1,0)</formula>
    </cfRule>
  </conditionalFormatting>
  <conditionalFormatting sqref="F73:G73">
    <cfRule type="cellIs" dxfId="872" priority="14" operator="equal">
      <formula>"optimo"</formula>
    </cfRule>
    <cfRule type="cellIs" dxfId="871" priority="15" operator="equal">
      <formula>"critico"</formula>
    </cfRule>
  </conditionalFormatting>
  <conditionalFormatting sqref="H73:I73">
    <cfRule type="cellIs" dxfId="870" priority="12" operator="equal">
      <formula>"Adecuado"</formula>
    </cfRule>
    <cfRule type="cellIs" dxfId="869" priority="13" operator="equal">
      <formula>"en riesgo"</formula>
    </cfRule>
  </conditionalFormatting>
  <conditionalFormatting sqref="J73:K73">
    <cfRule type="cellIs" dxfId="868" priority="10" operator="equal">
      <formula>"Adecuado"</formula>
    </cfRule>
    <cfRule type="cellIs" dxfId="867" priority="11" operator="equal">
      <formula>"en riesgo"</formula>
    </cfRule>
  </conditionalFormatting>
  <conditionalFormatting sqref="L73:M73">
    <cfRule type="cellIs" dxfId="866" priority="8" operator="equal">
      <formula>"optimo"</formula>
    </cfRule>
    <cfRule type="cellIs" dxfId="865" priority="9" operator="equal">
      <formula>"critico"</formula>
    </cfRule>
  </conditionalFormatting>
  <conditionalFormatting sqref="F75:M86">
    <cfRule type="expression" dxfId="864" priority="7">
      <formula>+IF($AK75=0,1)</formula>
    </cfRule>
  </conditionalFormatting>
  <conditionalFormatting sqref="F103:G104">
    <cfRule type="expression" dxfId="863" priority="6">
      <formula>+IF($G$102="No",1,0)</formula>
    </cfRule>
  </conditionalFormatting>
  <conditionalFormatting sqref="F51">
    <cfRule type="expression" dxfId="862" priority="5">
      <formula>+IF($F$43="no",1,0)</formula>
    </cfRule>
  </conditionalFormatting>
  <conditionalFormatting sqref="I51">
    <cfRule type="expression" dxfId="861"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tabColor rgb="FF0070C0"/>
  </sheetPr>
  <dimension ref="B1:AV113"/>
  <sheetViews>
    <sheetView topLeftCell="A58" zoomScaleNormal="100" workbookViewId="0">
      <selection activeCell="A80" sqref="A80:XFD86"/>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127</v>
      </c>
      <c r="O10" s="2"/>
    </row>
    <row r="11" spans="2:24" ht="3.95" customHeight="1" x14ac:dyDescent="0.25">
      <c r="B11" s="2"/>
      <c r="D11" s="6"/>
      <c r="O11" s="2"/>
    </row>
    <row r="12" spans="2:24" ht="36" customHeight="1" x14ac:dyDescent="0.25">
      <c r="B12" s="2"/>
      <c r="D12" s="338" t="s">
        <v>5</v>
      </c>
      <c r="E12" s="339"/>
      <c r="F12" s="340" t="s">
        <v>128</v>
      </c>
      <c r="G12" s="341"/>
      <c r="H12" s="341"/>
      <c r="I12" s="341"/>
      <c r="J12" s="341"/>
      <c r="K12" s="341"/>
      <c r="L12" s="341"/>
      <c r="M12" s="342"/>
      <c r="O12" s="2"/>
      <c r="W12" s="3" t="str">
        <f>+F23</f>
        <v>Mensual</v>
      </c>
      <c r="X12" s="3" t="str">
        <f>+F71</f>
        <v>Febrero</v>
      </c>
    </row>
    <row r="13" spans="2:24" ht="3.95" customHeight="1" x14ac:dyDescent="0.25">
      <c r="B13" s="2"/>
      <c r="O13" s="2"/>
    </row>
    <row r="14" spans="2:24" ht="36" customHeight="1" x14ac:dyDescent="0.25">
      <c r="B14" s="2"/>
      <c r="D14" s="338" t="s">
        <v>6</v>
      </c>
      <c r="E14" s="339"/>
      <c r="F14" s="340" t="s">
        <v>612</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8">
        <v>925529</v>
      </c>
      <c r="G22" s="337" t="s">
        <v>9</v>
      </c>
      <c r="H22" s="337"/>
      <c r="I22" s="8">
        <v>777706</v>
      </c>
      <c r="K22" s="337" t="s">
        <v>10</v>
      </c>
      <c r="L22" s="337"/>
      <c r="M22" s="9" t="s">
        <v>496</v>
      </c>
      <c r="O22" s="2"/>
    </row>
    <row r="23" spans="2:17" ht="19.5" customHeight="1" x14ac:dyDescent="0.25">
      <c r="B23" s="2"/>
      <c r="D23" s="337" t="s">
        <v>11</v>
      </c>
      <c r="E23" s="337"/>
      <c r="F23" s="4" t="s">
        <v>84</v>
      </c>
      <c r="G23" s="337" t="s">
        <v>12</v>
      </c>
      <c r="H23" s="337"/>
      <c r="I23" s="4" t="s">
        <v>553</v>
      </c>
      <c r="K23" s="337" t="s">
        <v>13</v>
      </c>
      <c r="L23" s="337"/>
      <c r="M23" s="9" t="s">
        <v>496</v>
      </c>
      <c r="O23" s="2"/>
    </row>
    <row r="24" spans="2:17" ht="20.100000000000001" customHeight="1" x14ac:dyDescent="0.25">
      <c r="B24" s="2"/>
      <c r="D24" s="337" t="s">
        <v>14</v>
      </c>
      <c r="E24" s="337"/>
      <c r="F24" s="4" t="s">
        <v>498</v>
      </c>
      <c r="G24" s="337" t="s">
        <v>15</v>
      </c>
      <c r="H24" s="337"/>
      <c r="I24" s="4" t="s">
        <v>519</v>
      </c>
      <c r="K24" s="337" t="s">
        <v>16</v>
      </c>
      <c r="L24" s="337"/>
      <c r="M24" s="9" t="s">
        <v>496</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20</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NA</v>
      </c>
    </row>
    <row r="31" spans="2:17" ht="24" customHeight="1" x14ac:dyDescent="0.25">
      <c r="B31" s="2"/>
      <c r="D31" s="347"/>
      <c r="E31" s="348"/>
      <c r="F31" s="4" t="s">
        <v>109</v>
      </c>
      <c r="G31" s="340" t="s">
        <v>110</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500</v>
      </c>
      <c r="G33" s="340"/>
      <c r="H33" s="341"/>
      <c r="I33" s="341"/>
      <c r="J33" s="341"/>
      <c r="K33" s="341"/>
      <c r="L33" s="341"/>
      <c r="M33" s="342"/>
      <c r="O33" s="2"/>
      <c r="Q33" s="3" t="str">
        <f>+IFERROR(IF(VLOOKUP(G33,base!$A$26:$C$40,3,FALSE)=F31,1,0),"")</f>
        <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1711</v>
      </c>
      <c r="G35" s="340" t="s">
        <v>1587</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2</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500</v>
      </c>
      <c r="G45" s="340" t="s">
        <v>512</v>
      </c>
      <c r="H45" s="341"/>
      <c r="I45" s="341"/>
      <c r="J45" s="341"/>
      <c r="K45" s="341"/>
      <c r="L45" s="341"/>
      <c r="M45" s="342"/>
      <c r="O45" s="2"/>
      <c r="Q45" s="3" t="str">
        <f>+IFERROR(VLOOKUP(G45,base!$A$41:$C$45,3,FALSE),"")</f>
        <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500</v>
      </c>
      <c r="G47" s="340" t="s">
        <v>512</v>
      </c>
      <c r="H47" s="341"/>
      <c r="I47" s="341"/>
      <c r="J47" s="341"/>
      <c r="K47" s="341"/>
      <c r="L47" s="341"/>
      <c r="M47" s="342"/>
      <c r="O47" s="2"/>
      <c r="Q47" s="3" t="e">
        <f>+IF(VLOOKUP(G47,base!$A$46:$C$66,3,FALSE)=F45,1,0)</f>
        <v>#N/A</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535</v>
      </c>
      <c r="G49" s="340" t="s">
        <v>30</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8"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75" customHeight="1" x14ac:dyDescent="0.25">
      <c r="B59" s="2"/>
      <c r="D59" s="337" t="s">
        <v>34</v>
      </c>
      <c r="E59" s="337"/>
      <c r="F59" s="344" t="s">
        <v>613</v>
      </c>
      <c r="G59" s="344"/>
      <c r="H59" s="344"/>
      <c r="I59" s="344"/>
      <c r="J59" s="344"/>
      <c r="K59" s="344"/>
      <c r="L59" s="344"/>
      <c r="M59" s="344"/>
      <c r="O59" s="2"/>
    </row>
    <row r="60" spans="2:15" ht="27" customHeight="1" x14ac:dyDescent="0.25">
      <c r="B60" s="2"/>
      <c r="D60" s="359" t="s">
        <v>35</v>
      </c>
      <c r="E60" s="359"/>
      <c r="F60" s="344" t="s">
        <v>614</v>
      </c>
      <c r="G60" s="344"/>
      <c r="H60" s="344"/>
      <c r="I60" s="344"/>
      <c r="J60" s="344"/>
      <c r="K60" s="344"/>
      <c r="L60" s="344"/>
      <c r="M60" s="344"/>
      <c r="O60" s="2"/>
    </row>
    <row r="61" spans="2:15" ht="27" customHeight="1" x14ac:dyDescent="0.25">
      <c r="B61" s="2"/>
      <c r="D61" s="359" t="s">
        <v>36</v>
      </c>
      <c r="E61" s="359"/>
      <c r="F61" s="344" t="s">
        <v>615</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43" t="s">
        <v>39</v>
      </c>
      <c r="E71" s="343"/>
      <c r="F71" s="4" t="s">
        <v>40</v>
      </c>
      <c r="G71" s="3">
        <v>2</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v>0.499</v>
      </c>
      <c r="H76" s="16">
        <v>0.5</v>
      </c>
      <c r="I76" s="16">
        <v>0.69899999999999995</v>
      </c>
      <c r="J76" s="16">
        <v>0.7</v>
      </c>
      <c r="K76" s="16">
        <v>0.89900000000000002</v>
      </c>
      <c r="L76" s="16">
        <v>0.9</v>
      </c>
      <c r="M76" s="16" t="s">
        <v>500</v>
      </c>
      <c r="O76" s="2"/>
      <c r="AE76" s="3" t="s">
        <v>40</v>
      </c>
      <c r="AF76" s="3">
        <v>2</v>
      </c>
      <c r="AG76" s="3">
        <f t="shared" ref="AG76:AG86" si="0">+IF(AF76&gt;=$G$71,1,0)</f>
        <v>1</v>
      </c>
      <c r="AH76" s="3">
        <f>+IF(AG76=0,0,IF(AG76=1,(SUM($AG$75:AG76)-1),1))</f>
        <v>0</v>
      </c>
      <c r="AI76" s="3">
        <f t="shared" ref="AI76:AI86" si="1">+IF(AH76=0,0,IF(MOD(AH76,$U$69)=0,1,0))</f>
        <v>0</v>
      </c>
      <c r="AJ76" s="3">
        <f t="shared" ref="AJ76:AJ86" si="2">+IF(AE76=$F$71,1,0)</f>
        <v>1</v>
      </c>
      <c r="AK76" s="3">
        <f t="shared" ref="AK76:AK86" si="3">+MAX(AI76:AJ76)</f>
        <v>1</v>
      </c>
    </row>
    <row r="77" spans="2:37" x14ac:dyDescent="0.25">
      <c r="B77" s="2"/>
      <c r="D77" s="360" t="s">
        <v>47</v>
      </c>
      <c r="E77" s="360"/>
      <c r="F77" s="16" t="s">
        <v>500</v>
      </c>
      <c r="G77" s="16">
        <v>0.499</v>
      </c>
      <c r="H77" s="16">
        <v>0.5</v>
      </c>
      <c r="I77" s="16">
        <v>0.69899999999999995</v>
      </c>
      <c r="J77" s="16">
        <v>0.7</v>
      </c>
      <c r="K77" s="16">
        <v>0.89900000000000002</v>
      </c>
      <c r="L77" s="16">
        <v>0.9</v>
      </c>
      <c r="M77" s="16" t="s">
        <v>500</v>
      </c>
      <c r="O77" s="2"/>
      <c r="AE77" s="3" t="s">
        <v>47</v>
      </c>
      <c r="AF77" s="3">
        <v>3</v>
      </c>
      <c r="AG77" s="3">
        <f t="shared" si="0"/>
        <v>1</v>
      </c>
      <c r="AH77" s="3">
        <f>+IF(AG77=0,0,IF(AG77=1,(SUM($AG$75:AG77)-1),1))</f>
        <v>1</v>
      </c>
      <c r="AI77" s="3">
        <f t="shared" si="1"/>
        <v>1</v>
      </c>
      <c r="AJ77" s="3">
        <f t="shared" si="2"/>
        <v>0</v>
      </c>
      <c r="AK77" s="3">
        <f t="shared" si="3"/>
        <v>1</v>
      </c>
    </row>
    <row r="78" spans="2:37" x14ac:dyDescent="0.25">
      <c r="B78" s="2"/>
      <c r="D78" s="360" t="s">
        <v>48</v>
      </c>
      <c r="E78" s="360"/>
      <c r="F78" s="16" t="s">
        <v>500</v>
      </c>
      <c r="G78" s="16">
        <v>0.59899999999999998</v>
      </c>
      <c r="H78" s="16">
        <v>0.6</v>
      </c>
      <c r="I78" s="16">
        <v>0.79900000000000004</v>
      </c>
      <c r="J78" s="16">
        <v>0.8</v>
      </c>
      <c r="K78" s="16">
        <v>0.999</v>
      </c>
      <c r="L78" s="16" t="s">
        <v>500</v>
      </c>
      <c r="M78" s="16">
        <v>1</v>
      </c>
      <c r="O78" s="2"/>
      <c r="AE78" s="3" t="s">
        <v>48</v>
      </c>
      <c r="AF78" s="3">
        <v>4</v>
      </c>
      <c r="AG78" s="3">
        <f t="shared" si="0"/>
        <v>1</v>
      </c>
      <c r="AH78" s="3">
        <f>+IF(AG78=0,0,IF(AG78=1,(SUM($AG$75:AG78)-1),1))</f>
        <v>2</v>
      </c>
      <c r="AI78" s="3">
        <f t="shared" si="1"/>
        <v>1</v>
      </c>
      <c r="AJ78" s="3">
        <f t="shared" si="2"/>
        <v>0</v>
      </c>
      <c r="AK78" s="3">
        <f t="shared" si="3"/>
        <v>1</v>
      </c>
    </row>
    <row r="79" spans="2:37" x14ac:dyDescent="0.25">
      <c r="B79" s="2"/>
      <c r="D79" s="360" t="s">
        <v>49</v>
      </c>
      <c r="E79" s="360"/>
      <c r="F79" s="16" t="s">
        <v>500</v>
      </c>
      <c r="G79" s="16">
        <v>0.59899999999999998</v>
      </c>
      <c r="H79" s="16">
        <v>0.6</v>
      </c>
      <c r="I79" s="16">
        <v>0.79900000000000004</v>
      </c>
      <c r="J79" s="16">
        <v>0.8</v>
      </c>
      <c r="K79" s="16">
        <v>0.999</v>
      </c>
      <c r="L79" s="16" t="s">
        <v>500</v>
      </c>
      <c r="M79" s="16">
        <v>1</v>
      </c>
      <c r="O79" s="2"/>
      <c r="AE79" s="3" t="s">
        <v>49</v>
      </c>
      <c r="AF79" s="3">
        <v>5</v>
      </c>
      <c r="AG79" s="3">
        <f t="shared" si="0"/>
        <v>1</v>
      </c>
      <c r="AH79" s="3">
        <f>+IF(AG79=0,0,IF(AG79=1,(SUM($AG$75:AG79)-1),1))</f>
        <v>3</v>
      </c>
      <c r="AI79" s="3">
        <f t="shared" si="1"/>
        <v>1</v>
      </c>
      <c r="AJ79" s="3">
        <f t="shared" si="2"/>
        <v>0</v>
      </c>
      <c r="AK79" s="3">
        <f t="shared" si="3"/>
        <v>1</v>
      </c>
    </row>
    <row r="80" spans="2:37" x14ac:dyDescent="0.25">
      <c r="B80" s="2"/>
      <c r="D80" s="360" t="s">
        <v>50</v>
      </c>
      <c r="E80" s="360"/>
      <c r="F80" s="16" t="s">
        <v>500</v>
      </c>
      <c r="G80" s="16">
        <v>0.59899999999999998</v>
      </c>
      <c r="H80" s="16">
        <v>0.6</v>
      </c>
      <c r="I80" s="16">
        <v>0.79900000000000004</v>
      </c>
      <c r="J80" s="16">
        <v>0.8</v>
      </c>
      <c r="K80" s="16">
        <v>0.999</v>
      </c>
      <c r="L80" s="16" t="s">
        <v>500</v>
      </c>
      <c r="M80" s="16">
        <v>1</v>
      </c>
      <c r="O80" s="2"/>
      <c r="AE80" s="3" t="s">
        <v>50</v>
      </c>
      <c r="AF80" s="3">
        <v>6</v>
      </c>
      <c r="AG80" s="3">
        <f t="shared" si="0"/>
        <v>1</v>
      </c>
      <c r="AH80" s="3">
        <f>+IF(AG80=0,0,IF(AG80=1,(SUM($AG$75:AG80)-1),1))</f>
        <v>4</v>
      </c>
      <c r="AI80" s="3">
        <f t="shared" si="1"/>
        <v>1</v>
      </c>
      <c r="AJ80" s="3">
        <f t="shared" si="2"/>
        <v>0</v>
      </c>
      <c r="AK80" s="3">
        <f t="shared" si="3"/>
        <v>1</v>
      </c>
    </row>
    <row r="81" spans="2:37" x14ac:dyDescent="0.25">
      <c r="B81" s="2"/>
      <c r="D81" s="360" t="s">
        <v>53</v>
      </c>
      <c r="E81" s="360"/>
      <c r="F81" s="16" t="s">
        <v>500</v>
      </c>
      <c r="G81" s="16">
        <v>0.59899999999999998</v>
      </c>
      <c r="H81" s="16">
        <v>0.6</v>
      </c>
      <c r="I81" s="16">
        <v>0.79900000000000004</v>
      </c>
      <c r="J81" s="16">
        <v>0.8</v>
      </c>
      <c r="K81" s="16">
        <v>0.999</v>
      </c>
      <c r="L81" s="16" t="s">
        <v>500</v>
      </c>
      <c r="M81" s="16">
        <v>1</v>
      </c>
      <c r="O81" s="2"/>
      <c r="AE81" s="3" t="s">
        <v>53</v>
      </c>
      <c r="AF81" s="3">
        <v>7</v>
      </c>
      <c r="AG81" s="3">
        <f t="shared" si="0"/>
        <v>1</v>
      </c>
      <c r="AH81" s="3">
        <f>+IF(AG81=0,0,IF(AG81=1,(SUM($AG$75:AG81)-1),1))</f>
        <v>5</v>
      </c>
      <c r="AI81" s="3">
        <f t="shared" si="1"/>
        <v>1</v>
      </c>
      <c r="AJ81" s="3">
        <f t="shared" si="2"/>
        <v>0</v>
      </c>
      <c r="AK81" s="3">
        <f t="shared" si="3"/>
        <v>1</v>
      </c>
    </row>
    <row r="82" spans="2:37" x14ac:dyDescent="0.25">
      <c r="B82" s="2"/>
      <c r="D82" s="360" t="s">
        <v>54</v>
      </c>
      <c r="E82" s="360"/>
      <c r="F82" s="16" t="s">
        <v>500</v>
      </c>
      <c r="G82" s="16">
        <v>0.59899999999999998</v>
      </c>
      <c r="H82" s="16">
        <v>0.6</v>
      </c>
      <c r="I82" s="16">
        <v>0.79900000000000004</v>
      </c>
      <c r="J82" s="16">
        <v>0.8</v>
      </c>
      <c r="K82" s="16">
        <v>0.999</v>
      </c>
      <c r="L82" s="16" t="s">
        <v>500</v>
      </c>
      <c r="M82" s="16">
        <v>1</v>
      </c>
      <c r="O82" s="2"/>
      <c r="AE82" s="3" t="s">
        <v>54</v>
      </c>
      <c r="AF82" s="3">
        <v>8</v>
      </c>
      <c r="AG82" s="3">
        <f t="shared" si="0"/>
        <v>1</v>
      </c>
      <c r="AH82" s="3">
        <f>+IF(AG82=0,0,IF(AG82=1,(SUM($AG$75:AG82)-1),1))</f>
        <v>6</v>
      </c>
      <c r="AI82" s="3">
        <f t="shared" si="1"/>
        <v>1</v>
      </c>
      <c r="AJ82" s="3">
        <f t="shared" si="2"/>
        <v>0</v>
      </c>
      <c r="AK82" s="3">
        <f t="shared" si="3"/>
        <v>1</v>
      </c>
    </row>
    <row r="83" spans="2:37" x14ac:dyDescent="0.25">
      <c r="B83" s="2"/>
      <c r="D83" s="360" t="s">
        <v>55</v>
      </c>
      <c r="E83" s="360"/>
      <c r="F83" s="16" t="s">
        <v>500</v>
      </c>
      <c r="G83" s="16">
        <v>0.59899999999999998</v>
      </c>
      <c r="H83" s="16">
        <v>0.6</v>
      </c>
      <c r="I83" s="16">
        <v>0.79900000000000004</v>
      </c>
      <c r="J83" s="16">
        <v>0.8</v>
      </c>
      <c r="K83" s="16">
        <v>0.999</v>
      </c>
      <c r="L83" s="16" t="s">
        <v>500</v>
      </c>
      <c r="M83" s="16">
        <v>1</v>
      </c>
      <c r="O83" s="2"/>
      <c r="AE83" s="3" t="s">
        <v>55</v>
      </c>
      <c r="AF83" s="3">
        <v>9</v>
      </c>
      <c r="AG83" s="3">
        <f t="shared" si="0"/>
        <v>1</v>
      </c>
      <c r="AH83" s="3">
        <f>+IF(AG83=0,0,IF(AG83=1,(SUM($AG$75:AG83)-1),1))</f>
        <v>7</v>
      </c>
      <c r="AI83" s="3">
        <f t="shared" si="1"/>
        <v>1</v>
      </c>
      <c r="AJ83" s="3">
        <f t="shared" si="2"/>
        <v>0</v>
      </c>
      <c r="AK83" s="3">
        <f t="shared" si="3"/>
        <v>1</v>
      </c>
    </row>
    <row r="84" spans="2:37" x14ac:dyDescent="0.25">
      <c r="B84" s="2"/>
      <c r="D84" s="360" t="s">
        <v>56</v>
      </c>
      <c r="E84" s="360"/>
      <c r="F84" s="16" t="s">
        <v>500</v>
      </c>
      <c r="G84" s="16">
        <v>0.59899999999999998</v>
      </c>
      <c r="H84" s="16">
        <v>0.6</v>
      </c>
      <c r="I84" s="16">
        <v>0.79900000000000004</v>
      </c>
      <c r="J84" s="16">
        <v>0.8</v>
      </c>
      <c r="K84" s="16">
        <v>0.999</v>
      </c>
      <c r="L84" s="16" t="s">
        <v>500</v>
      </c>
      <c r="M84" s="16">
        <v>1</v>
      </c>
      <c r="O84" s="2"/>
      <c r="AE84" s="3" t="s">
        <v>56</v>
      </c>
      <c r="AF84" s="3">
        <v>10</v>
      </c>
      <c r="AG84" s="3">
        <f t="shared" si="0"/>
        <v>1</v>
      </c>
      <c r="AH84" s="3">
        <f>+IF(AG84=0,0,IF(AG84=1,(SUM($AG$75:AG84)-1),1))</f>
        <v>8</v>
      </c>
      <c r="AI84" s="3">
        <f t="shared" si="1"/>
        <v>1</v>
      </c>
      <c r="AJ84" s="3">
        <f t="shared" si="2"/>
        <v>0</v>
      </c>
      <c r="AK84" s="3">
        <f t="shared" si="3"/>
        <v>1</v>
      </c>
    </row>
    <row r="85" spans="2:37" x14ac:dyDescent="0.25">
      <c r="B85" s="2"/>
      <c r="D85" s="360" t="s">
        <v>57</v>
      </c>
      <c r="E85" s="360"/>
      <c r="F85" s="16" t="s">
        <v>500</v>
      </c>
      <c r="G85" s="16">
        <v>0.59899999999999998</v>
      </c>
      <c r="H85" s="16">
        <v>0.6</v>
      </c>
      <c r="I85" s="16">
        <v>0.79900000000000004</v>
      </c>
      <c r="J85" s="16">
        <v>0.8</v>
      </c>
      <c r="K85" s="16">
        <v>0.999</v>
      </c>
      <c r="L85" s="16" t="s">
        <v>500</v>
      </c>
      <c r="M85" s="16">
        <v>1</v>
      </c>
      <c r="O85" s="2"/>
      <c r="AE85" s="3" t="s">
        <v>57</v>
      </c>
      <c r="AF85" s="3">
        <v>11</v>
      </c>
      <c r="AG85" s="3">
        <f t="shared" si="0"/>
        <v>1</v>
      </c>
      <c r="AH85" s="3">
        <f>+IF(AG85=0,0,IF(AG85=1,(SUM($AG$75:AG85)-1),1))</f>
        <v>9</v>
      </c>
      <c r="AI85" s="3">
        <f t="shared" si="1"/>
        <v>1</v>
      </c>
      <c r="AJ85" s="3">
        <f t="shared" si="2"/>
        <v>0</v>
      </c>
      <c r="AK85" s="3">
        <f t="shared" si="3"/>
        <v>1</v>
      </c>
    </row>
    <row r="86" spans="2:37" x14ac:dyDescent="0.25">
      <c r="B86" s="2"/>
      <c r="D86" s="360" t="s">
        <v>58</v>
      </c>
      <c r="E86" s="360"/>
      <c r="F86" s="16" t="s">
        <v>500</v>
      </c>
      <c r="G86" s="16">
        <v>0.59899999999999998</v>
      </c>
      <c r="H86" s="16">
        <v>0.6</v>
      </c>
      <c r="I86" s="16">
        <v>0.79900000000000004</v>
      </c>
      <c r="J86" s="16">
        <v>0.8</v>
      </c>
      <c r="K86" s="16">
        <v>0.999</v>
      </c>
      <c r="L86" s="16" t="s">
        <v>500</v>
      </c>
      <c r="M86" s="16">
        <v>1</v>
      </c>
      <c r="O86" s="2"/>
      <c r="AE86" s="3" t="s">
        <v>58</v>
      </c>
      <c r="AF86" s="65">
        <v>12</v>
      </c>
      <c r="AG86" s="3">
        <f t="shared" si="0"/>
        <v>1</v>
      </c>
      <c r="AH86" s="3">
        <f>+IF(AG86=0,0,IF(AG86=1,(SUM($AG$75:AG86)-1),1))</f>
        <v>10</v>
      </c>
      <c r="AI86" s="3">
        <f t="shared" si="1"/>
        <v>1</v>
      </c>
      <c r="AJ86" s="3">
        <f t="shared" si="2"/>
        <v>0</v>
      </c>
      <c r="AK86" s="3">
        <f t="shared" si="3"/>
        <v>1</v>
      </c>
    </row>
    <row r="87" spans="2:37" ht="3.75" customHeight="1" x14ac:dyDescent="0.25">
      <c r="B87" s="2"/>
      <c r="O87" s="2"/>
    </row>
    <row r="88" spans="2:37" ht="84.75" customHeight="1" x14ac:dyDescent="0.25">
      <c r="B88" s="2"/>
      <c r="D88" s="338" t="s">
        <v>59</v>
      </c>
      <c r="E88" s="339"/>
      <c r="F88" s="340" t="s">
        <v>82</v>
      </c>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28.5" customHeight="1" x14ac:dyDescent="0.25">
      <c r="B97" s="2"/>
      <c r="D97" s="359" t="s">
        <v>35</v>
      </c>
      <c r="E97" s="359"/>
      <c r="F97" s="344" t="s">
        <v>616</v>
      </c>
      <c r="G97" s="344"/>
      <c r="H97" s="344"/>
      <c r="I97" s="344"/>
      <c r="J97" s="344"/>
      <c r="K97" s="344"/>
      <c r="L97" s="344"/>
      <c r="M97" s="344"/>
      <c r="O97" s="2"/>
    </row>
    <row r="98" spans="2:15" ht="28.5" customHeight="1" x14ac:dyDescent="0.25">
      <c r="B98" s="2"/>
      <c r="D98" s="359" t="s">
        <v>36</v>
      </c>
      <c r="E98" s="359"/>
      <c r="F98" s="344" t="s">
        <v>605</v>
      </c>
      <c r="G98" s="344"/>
      <c r="H98" s="344"/>
      <c r="I98" s="344"/>
      <c r="J98" s="344"/>
      <c r="K98" s="344"/>
      <c r="L98" s="344"/>
      <c r="M98" s="344"/>
      <c r="O98" s="2"/>
    </row>
    <row r="99" spans="2:15" ht="3.95" customHeight="1" x14ac:dyDescent="0.25">
      <c r="B99" s="2"/>
      <c r="O99" s="2"/>
    </row>
    <row r="100" spans="2:15" ht="108.75" customHeight="1" x14ac:dyDescent="0.25">
      <c r="B100" s="2"/>
      <c r="D100" s="338" t="s">
        <v>62</v>
      </c>
      <c r="E100" s="339"/>
      <c r="F100" s="340" t="s">
        <v>83</v>
      </c>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1</v>
      </c>
      <c r="K102" s="20"/>
      <c r="O102" s="2"/>
    </row>
    <row r="103" spans="2:15" ht="19.5" customHeight="1" x14ac:dyDescent="0.25">
      <c r="B103" s="2"/>
      <c r="D103" s="331"/>
      <c r="E103" s="332"/>
      <c r="F103" s="19" t="s">
        <v>66</v>
      </c>
      <c r="G103" s="4" t="s">
        <v>1723</v>
      </c>
      <c r="K103" s="21"/>
      <c r="O103" s="2"/>
    </row>
    <row r="104" spans="2:15" ht="27.75" customHeight="1" x14ac:dyDescent="0.25">
      <c r="B104" s="2"/>
      <c r="D104" s="331"/>
      <c r="E104" s="332"/>
      <c r="F104" s="19" t="s">
        <v>67</v>
      </c>
      <c r="G104" s="333" t="s">
        <v>1724</v>
      </c>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69</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 xml:space="preserve">Director(a) Primera Infancia </v>
      </c>
      <c r="H108" s="334"/>
      <c r="I108" s="334"/>
      <c r="J108" s="334"/>
      <c r="K108" s="334"/>
      <c r="L108" s="334"/>
      <c r="M108" s="335"/>
      <c r="O108" s="2"/>
    </row>
    <row r="109" spans="2:15" ht="17.25" customHeight="1" x14ac:dyDescent="0.25">
      <c r="B109" s="2"/>
      <c r="D109" s="331"/>
      <c r="E109" s="332"/>
      <c r="F109" s="19" t="s">
        <v>2042</v>
      </c>
      <c r="G109" s="333" t="str">
        <f>+IF(M23="Si","Coordinador(a) Planeación y Sistemas","")</f>
        <v>Coordinador(a) Planeación y Sistemas</v>
      </c>
      <c r="H109" s="334"/>
      <c r="I109" s="334"/>
      <c r="J109" s="334"/>
      <c r="K109" s="334"/>
      <c r="L109" s="334"/>
      <c r="M109" s="335"/>
      <c r="O109" s="2"/>
    </row>
    <row r="110" spans="2:15" ht="17.25" customHeight="1" x14ac:dyDescent="0.25">
      <c r="B110" s="2"/>
      <c r="D110" s="331"/>
      <c r="E110" s="332"/>
      <c r="F110" s="19" t="s">
        <v>2043</v>
      </c>
      <c r="G110" s="333" t="str">
        <f>+IF(M24="Si","Coordinador(a) Centro Zonal","")</f>
        <v>Coordinador(a) Centro Zonal</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3311" priority="31">
      <formula>+IF($F$43="no",1,0)</formula>
    </cfRule>
  </conditionalFormatting>
  <conditionalFormatting sqref="F32:M33">
    <cfRule type="expression" dxfId="3310" priority="30">
      <formula>+IF($Q$30="NA",1,0)</formula>
    </cfRule>
  </conditionalFormatting>
  <conditionalFormatting sqref="F33:M33">
    <cfRule type="expression" dxfId="3309" priority="29">
      <formula>+IF($Q$33=0,1,0)</formula>
    </cfRule>
  </conditionalFormatting>
  <conditionalFormatting sqref="F47:M47">
    <cfRule type="expression" dxfId="3308" priority="28">
      <formula>+IF($Q$47=0,1,0)</formula>
    </cfRule>
  </conditionalFormatting>
  <conditionalFormatting sqref="F73:G73">
    <cfRule type="cellIs" dxfId="3307" priority="23" operator="equal">
      <formula>"optimo"</formula>
    </cfRule>
    <cfRule type="cellIs" dxfId="3306" priority="24" operator="equal">
      <formula>"critico"</formula>
    </cfRule>
  </conditionalFormatting>
  <conditionalFormatting sqref="H73:I73">
    <cfRule type="cellIs" dxfId="3305" priority="21" operator="equal">
      <formula>"Adecuado"</formula>
    </cfRule>
    <cfRule type="cellIs" dxfId="3304" priority="22" operator="equal">
      <formula>"en riesgo"</formula>
    </cfRule>
  </conditionalFormatting>
  <conditionalFormatting sqref="J73:K73">
    <cfRule type="cellIs" dxfId="3303" priority="19" operator="equal">
      <formula>"Adecuado"</formula>
    </cfRule>
    <cfRule type="cellIs" dxfId="3302" priority="20" operator="equal">
      <formula>"en riesgo"</formula>
    </cfRule>
  </conditionalFormatting>
  <conditionalFormatting sqref="L73:M73">
    <cfRule type="cellIs" dxfId="3301" priority="17" operator="equal">
      <formula>"optimo"</formula>
    </cfRule>
    <cfRule type="cellIs" dxfId="3300" priority="18" operator="equal">
      <formula>"critico"</formula>
    </cfRule>
  </conditionalFormatting>
  <conditionalFormatting sqref="F75:M86">
    <cfRule type="expression" dxfId="3299" priority="16">
      <formula>+IF($AK75=0,1)</formula>
    </cfRule>
  </conditionalFormatting>
  <conditionalFormatting sqref="F103:G104">
    <cfRule type="expression" dxfId="3298" priority="15">
      <formula>+IF($G$102="No",1,0)</formula>
    </cfRule>
  </conditionalFormatting>
  <conditionalFormatting sqref="F51">
    <cfRule type="expression" dxfId="3297" priority="14">
      <formula>+IF($F$43="no",1,0)</formula>
    </cfRule>
  </conditionalFormatting>
  <conditionalFormatting sqref="I51">
    <cfRule type="expression" dxfId="3296" priority="13">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6">
    <tabColor rgb="FF75C4FF"/>
  </sheetPr>
  <dimension ref="B1:AV113"/>
  <sheetViews>
    <sheetView topLeftCell="A52" zoomScale="90" zoomScaleNormal="90" workbookViewId="0">
      <selection activeCell="F108" sqref="F108:M11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395</v>
      </c>
      <c r="O10" s="2"/>
    </row>
    <row r="11" spans="2:24" ht="3.95" customHeight="1" x14ac:dyDescent="0.25">
      <c r="B11" s="2"/>
      <c r="D11" s="6"/>
      <c r="O11" s="2"/>
    </row>
    <row r="12" spans="2:24" ht="36" customHeight="1" x14ac:dyDescent="0.25">
      <c r="B12" s="2"/>
      <c r="D12" s="338" t="s">
        <v>5</v>
      </c>
      <c r="E12" s="339"/>
      <c r="F12" s="340" t="s">
        <v>396</v>
      </c>
      <c r="G12" s="341"/>
      <c r="H12" s="341"/>
      <c r="I12" s="341"/>
      <c r="J12" s="341"/>
      <c r="K12" s="341"/>
      <c r="L12" s="341"/>
      <c r="M12" s="342"/>
      <c r="O12" s="2"/>
      <c r="W12" s="3" t="str">
        <f>+F23</f>
        <v>Anual</v>
      </c>
      <c r="X12" s="3" t="str">
        <f>+F71</f>
        <v>Diciembre</v>
      </c>
    </row>
    <row r="13" spans="2:24" ht="3.95" customHeight="1" x14ac:dyDescent="0.25">
      <c r="B13" s="2"/>
      <c r="O13" s="2"/>
    </row>
    <row r="14" spans="2:24" ht="38.25" customHeight="1" x14ac:dyDescent="0.25">
      <c r="B14" s="2"/>
      <c r="D14" s="338" t="s">
        <v>6</v>
      </c>
      <c r="E14" s="339"/>
      <c r="F14" s="340" t="s">
        <v>1304</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17">
        <v>0.86</v>
      </c>
      <c r="G22" s="337" t="s">
        <v>9</v>
      </c>
      <c r="H22" s="337"/>
      <c r="I22" s="17">
        <v>1</v>
      </c>
      <c r="K22" s="337" t="s">
        <v>10</v>
      </c>
      <c r="L22" s="337"/>
      <c r="M22" s="9" t="s">
        <v>496</v>
      </c>
      <c r="O22" s="2"/>
    </row>
    <row r="23" spans="2:17" ht="19.5" customHeight="1" x14ac:dyDescent="0.25">
      <c r="B23" s="2"/>
      <c r="D23" s="337" t="s">
        <v>11</v>
      </c>
      <c r="E23" s="337"/>
      <c r="F23" s="4" t="s">
        <v>1249</v>
      </c>
      <c r="G23" s="337" t="s">
        <v>12</v>
      </c>
      <c r="H23" s="337"/>
      <c r="I23" s="4" t="s">
        <v>497</v>
      </c>
      <c r="K23" s="337" t="s">
        <v>13</v>
      </c>
      <c r="L23" s="337"/>
      <c r="M23" s="9" t="s">
        <v>2</v>
      </c>
      <c r="O23" s="2"/>
    </row>
    <row r="24" spans="2:17" ht="20.100000000000001" customHeight="1" x14ac:dyDescent="0.25">
      <c r="B24" s="2"/>
      <c r="D24" s="337" t="s">
        <v>14</v>
      </c>
      <c r="E24" s="337"/>
      <c r="F24" s="4" t="s">
        <v>1287</v>
      </c>
      <c r="G24" s="337" t="s">
        <v>15</v>
      </c>
      <c r="H24" s="337"/>
      <c r="I24" s="4" t="s">
        <v>103</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NA</v>
      </c>
    </row>
    <row r="31" spans="2:17" ht="24" customHeight="1" x14ac:dyDescent="0.25">
      <c r="B31" s="2"/>
      <c r="D31" s="347"/>
      <c r="E31" s="348"/>
      <c r="F31" s="4" t="s">
        <v>391</v>
      </c>
      <c r="G31" s="340" t="s">
        <v>392</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500</v>
      </c>
      <c r="G33" s="340"/>
      <c r="H33" s="341"/>
      <c r="I33" s="341"/>
      <c r="J33" s="341"/>
      <c r="K33" s="341"/>
      <c r="L33" s="341"/>
      <c r="M33" s="342"/>
      <c r="O33" s="2"/>
      <c r="Q33" s="3" t="str">
        <f>+IFERROR(IF(VLOOKUP(G33,base!$A$26:$C$40,3,FALSE)=F31,1,0),"")</f>
        <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1716</v>
      </c>
      <c r="G35" s="340" t="s">
        <v>1592</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1126</v>
      </c>
      <c r="G45" s="340" t="s">
        <v>1127</v>
      </c>
      <c r="H45" s="341"/>
      <c r="I45" s="341"/>
      <c r="J45" s="341"/>
      <c r="K45" s="341"/>
      <c r="L45" s="341"/>
      <c r="M45" s="342"/>
      <c r="O45" s="2"/>
      <c r="Q45" s="3" t="str">
        <f>+IFERROR(VLOOKUP(G45,base!$A$41:$C$45,3,FALSE),"")</f>
        <v>admon</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1288</v>
      </c>
      <c r="G47" s="340" t="s">
        <v>1273</v>
      </c>
      <c r="H47" s="341"/>
      <c r="I47" s="341"/>
      <c r="J47" s="341"/>
      <c r="K47" s="341"/>
      <c r="L47" s="341"/>
      <c r="M47" s="342"/>
      <c r="O47" s="2"/>
      <c r="Q47" s="3">
        <f>+IF(VLOOKUP(G47,base!$A$46:$C$66,3,FALSE)=F45,1,0)</f>
        <v>1</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1289</v>
      </c>
      <c r="G49" s="340" t="s">
        <v>1274</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17"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37" t="s">
        <v>34</v>
      </c>
      <c r="E59" s="337"/>
      <c r="F59" s="344" t="s">
        <v>1873</v>
      </c>
      <c r="G59" s="344"/>
      <c r="H59" s="344"/>
      <c r="I59" s="344"/>
      <c r="J59" s="344"/>
      <c r="K59" s="344"/>
      <c r="L59" s="344"/>
      <c r="M59" s="344"/>
      <c r="O59" s="2"/>
    </row>
    <row r="60" spans="2:15" ht="66" customHeight="1" x14ac:dyDescent="0.25">
      <c r="B60" s="2"/>
      <c r="D60" s="359" t="s">
        <v>35</v>
      </c>
      <c r="E60" s="359"/>
      <c r="F60" s="344" t="s">
        <v>1305</v>
      </c>
      <c r="G60" s="344"/>
      <c r="H60" s="344"/>
      <c r="I60" s="344"/>
      <c r="J60" s="344"/>
      <c r="K60" s="344"/>
      <c r="L60" s="344"/>
      <c r="M60" s="344"/>
      <c r="O60" s="2"/>
    </row>
    <row r="61" spans="2:15" ht="41.25" customHeight="1" x14ac:dyDescent="0.25">
      <c r="B61" s="2"/>
      <c r="D61" s="359" t="s">
        <v>36</v>
      </c>
      <c r="E61" s="359"/>
      <c r="F61" s="340"/>
      <c r="G61" s="341"/>
      <c r="H61" s="341"/>
      <c r="I61" s="341"/>
      <c r="J61" s="341"/>
      <c r="K61" s="341"/>
      <c r="L61" s="341"/>
      <c r="M61" s="342"/>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12</v>
      </c>
    </row>
    <row r="70" spans="2:37" ht="3.95" customHeight="1" x14ac:dyDescent="0.25">
      <c r="B70" s="2"/>
      <c r="D70" s="7"/>
      <c r="E70" s="7"/>
      <c r="O70" s="2"/>
    </row>
    <row r="71" spans="2:37" ht="18.75" customHeight="1" x14ac:dyDescent="0.25">
      <c r="B71" s="2"/>
      <c r="D71" s="343" t="s">
        <v>39</v>
      </c>
      <c r="E71" s="343"/>
      <c r="F71" s="4" t="s">
        <v>58</v>
      </c>
      <c r="G71" s="3">
        <v>12</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60" t="s">
        <v>50</v>
      </c>
      <c r="E80" s="360"/>
      <c r="F80" s="16" t="s">
        <v>500</v>
      </c>
      <c r="G80" s="16" t="s">
        <v>500</v>
      </c>
      <c r="H80" s="16" t="s">
        <v>500</v>
      </c>
      <c r="I80" s="16" t="s">
        <v>500</v>
      </c>
      <c r="J80" s="16" t="s">
        <v>500</v>
      </c>
      <c r="K80" s="16" t="s">
        <v>500</v>
      </c>
      <c r="L80" s="16" t="s">
        <v>500</v>
      </c>
      <c r="M80" s="16" t="s">
        <v>500</v>
      </c>
      <c r="O80" s="2"/>
      <c r="AE80" s="3" t="s">
        <v>50</v>
      </c>
      <c r="AF80" s="3">
        <v>6</v>
      </c>
      <c r="AG80" s="3">
        <f t="shared" si="0"/>
        <v>0</v>
      </c>
      <c r="AH80" s="3">
        <f>+IF(AG80=0,0,IF(AG80=1,(SUM($AG$75:AG80)-1),1))</f>
        <v>0</v>
      </c>
      <c r="AI80" s="3">
        <f t="shared" si="1"/>
        <v>0</v>
      </c>
      <c r="AJ80" s="3">
        <f t="shared" si="2"/>
        <v>0</v>
      </c>
      <c r="AK80" s="3">
        <f t="shared" si="3"/>
        <v>0</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0</v>
      </c>
      <c r="AH81" s="3">
        <f>+IF(AG81=0,0,IF(AG81=1,(SUM($AG$75:AG81)-1),1))</f>
        <v>0</v>
      </c>
      <c r="AI81" s="3">
        <f t="shared" si="1"/>
        <v>0</v>
      </c>
      <c r="AJ81" s="3">
        <f t="shared" si="2"/>
        <v>0</v>
      </c>
      <c r="AK81" s="3">
        <f t="shared" si="3"/>
        <v>0</v>
      </c>
    </row>
    <row r="82" spans="2:37" x14ac:dyDescent="0.25">
      <c r="B82" s="2"/>
      <c r="D82" s="360" t="s">
        <v>54</v>
      </c>
      <c r="E82" s="360"/>
      <c r="F82" s="16" t="s">
        <v>500</v>
      </c>
      <c r="G82" s="16" t="s">
        <v>500</v>
      </c>
      <c r="H82" s="16" t="s">
        <v>500</v>
      </c>
      <c r="I82" s="16" t="s">
        <v>500</v>
      </c>
      <c r="J82" s="16" t="s">
        <v>500</v>
      </c>
      <c r="K82" s="16" t="s">
        <v>500</v>
      </c>
      <c r="L82" s="16" t="s">
        <v>500</v>
      </c>
      <c r="M82" s="16" t="s">
        <v>500</v>
      </c>
      <c r="O82" s="2"/>
      <c r="AE82" s="3" t="s">
        <v>54</v>
      </c>
      <c r="AF82" s="3">
        <v>8</v>
      </c>
      <c r="AG82" s="3">
        <f t="shared" si="0"/>
        <v>0</v>
      </c>
      <c r="AH82" s="3">
        <f>+IF(AG82=0,0,IF(AG82=1,(SUM($AG$75:AG82)-1),1))</f>
        <v>0</v>
      </c>
      <c r="AI82" s="3">
        <f t="shared" si="1"/>
        <v>0</v>
      </c>
      <c r="AJ82" s="3">
        <f t="shared" si="2"/>
        <v>0</v>
      </c>
      <c r="AK82" s="3">
        <f t="shared" si="3"/>
        <v>0</v>
      </c>
    </row>
    <row r="83" spans="2:37" x14ac:dyDescent="0.25">
      <c r="B83" s="2"/>
      <c r="D83" s="360" t="s">
        <v>55</v>
      </c>
      <c r="E83" s="360"/>
      <c r="F83" s="16" t="s">
        <v>500</v>
      </c>
      <c r="G83" s="16" t="s">
        <v>500</v>
      </c>
      <c r="H83" s="16" t="s">
        <v>500</v>
      </c>
      <c r="I83" s="16" t="s">
        <v>500</v>
      </c>
      <c r="J83" s="16" t="s">
        <v>500</v>
      </c>
      <c r="K83" s="16" t="s">
        <v>500</v>
      </c>
      <c r="L83" s="16" t="s">
        <v>500</v>
      </c>
      <c r="M83" s="16" t="s">
        <v>500</v>
      </c>
      <c r="O83" s="2"/>
      <c r="AE83" s="3" t="s">
        <v>55</v>
      </c>
      <c r="AF83" s="3">
        <v>9</v>
      </c>
      <c r="AG83" s="3">
        <f t="shared" si="0"/>
        <v>0</v>
      </c>
      <c r="AH83" s="3">
        <f>+IF(AG83=0,0,IF(AG83=1,(SUM($AG$75:AG83)-1),1))</f>
        <v>0</v>
      </c>
      <c r="AI83" s="3">
        <f t="shared" si="1"/>
        <v>0</v>
      </c>
      <c r="AJ83" s="3">
        <f t="shared" si="2"/>
        <v>0</v>
      </c>
      <c r="AK83" s="3">
        <f t="shared" si="3"/>
        <v>0</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0</v>
      </c>
      <c r="AH84" s="3">
        <f>+IF(AG84=0,0,IF(AG84=1,(SUM($AG$75:AG84)-1),1))</f>
        <v>0</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0</v>
      </c>
      <c r="AH85" s="3">
        <f>+IF(AG85=0,0,IF(AG85=1,(SUM($AG$75:AG85)-1),1))</f>
        <v>0</v>
      </c>
      <c r="AI85" s="3">
        <f t="shared" si="1"/>
        <v>0</v>
      </c>
      <c r="AJ85" s="3">
        <f t="shared" si="2"/>
        <v>0</v>
      </c>
      <c r="AK85" s="3">
        <f t="shared" si="3"/>
        <v>0</v>
      </c>
    </row>
    <row r="86" spans="2:37" x14ac:dyDescent="0.25">
      <c r="B86" s="2"/>
      <c r="D86" s="360" t="s">
        <v>58</v>
      </c>
      <c r="E86" s="360"/>
      <c r="F86" s="16" t="s">
        <v>500</v>
      </c>
      <c r="G86" s="16">
        <v>0.59899999999999998</v>
      </c>
      <c r="H86" s="16">
        <v>0.6</v>
      </c>
      <c r="I86" s="16">
        <v>0.749</v>
      </c>
      <c r="J86" s="16">
        <v>0.75</v>
      </c>
      <c r="K86" s="16">
        <v>0.999</v>
      </c>
      <c r="L86" s="16" t="s">
        <v>500</v>
      </c>
      <c r="M86" s="16">
        <v>1</v>
      </c>
      <c r="O86" s="2"/>
      <c r="AE86" s="3" t="s">
        <v>58</v>
      </c>
      <c r="AF86" s="65">
        <v>12</v>
      </c>
      <c r="AG86" s="3">
        <f t="shared" si="0"/>
        <v>1</v>
      </c>
      <c r="AH86" s="3">
        <f>+IF(AG86=0,0,IF(AG86=1,(SUM($AG$75:AG86)-1),1))</f>
        <v>0</v>
      </c>
      <c r="AI86" s="3">
        <f t="shared" si="1"/>
        <v>0</v>
      </c>
      <c r="AJ86" s="3">
        <f t="shared" si="2"/>
        <v>1</v>
      </c>
      <c r="AK86" s="3">
        <f t="shared" si="3"/>
        <v>1</v>
      </c>
    </row>
    <row r="87" spans="2:37" ht="3.75" customHeight="1" x14ac:dyDescent="0.25">
      <c r="B87" s="2"/>
      <c r="O87" s="2"/>
    </row>
    <row r="88" spans="2:37" ht="128.25" customHeight="1" x14ac:dyDescent="0.25">
      <c r="B88" s="2"/>
      <c r="D88" s="338" t="s">
        <v>59</v>
      </c>
      <c r="E88" s="339"/>
      <c r="F88" s="340" t="s">
        <v>1276</v>
      </c>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2" customHeight="1" x14ac:dyDescent="0.25">
      <c r="B97" s="2"/>
      <c r="D97" s="359" t="s">
        <v>35</v>
      </c>
      <c r="E97" s="359"/>
      <c r="F97" s="344" t="s">
        <v>1306</v>
      </c>
      <c r="G97" s="344"/>
      <c r="H97" s="344"/>
      <c r="I97" s="344"/>
      <c r="J97" s="344"/>
      <c r="K97" s="344"/>
      <c r="L97" s="344"/>
      <c r="M97" s="344"/>
      <c r="O97" s="2"/>
    </row>
    <row r="98" spans="2:15" ht="42" customHeight="1" x14ac:dyDescent="0.25">
      <c r="B98" s="2"/>
      <c r="D98" s="359" t="s">
        <v>36</v>
      </c>
      <c r="E98" s="359"/>
      <c r="F98" s="472"/>
      <c r="G98" s="472"/>
      <c r="H98" s="472"/>
      <c r="I98" s="472"/>
      <c r="J98" s="472"/>
      <c r="K98" s="472"/>
      <c r="L98" s="472"/>
      <c r="M98" s="472"/>
      <c r="O98" s="2"/>
    </row>
    <row r="99" spans="2:15" ht="3.95" customHeight="1" x14ac:dyDescent="0.25">
      <c r="B99" s="2"/>
      <c r="O99" s="2"/>
    </row>
    <row r="100" spans="2:15" ht="58.5" customHeight="1" x14ac:dyDescent="0.25">
      <c r="B100" s="2"/>
      <c r="D100" s="338" t="s">
        <v>62</v>
      </c>
      <c r="E100" s="339"/>
      <c r="F100" s="333"/>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1</v>
      </c>
      <c r="K102" s="20"/>
      <c r="O102" s="2"/>
    </row>
    <row r="103" spans="2:15" ht="19.5" customHeight="1" x14ac:dyDescent="0.25">
      <c r="B103" s="2"/>
      <c r="D103" s="331"/>
      <c r="E103" s="332"/>
      <c r="F103" s="19" t="s">
        <v>66</v>
      </c>
      <c r="G103" s="4" t="s">
        <v>397</v>
      </c>
      <c r="K103" s="21"/>
      <c r="O103" s="2"/>
    </row>
    <row r="104" spans="2:15" ht="27.75" customHeight="1" x14ac:dyDescent="0.25">
      <c r="B104" s="2"/>
      <c r="D104" s="331"/>
      <c r="E104" s="332"/>
      <c r="F104" s="19" t="s">
        <v>67</v>
      </c>
      <c r="G104" s="340" t="s">
        <v>1277</v>
      </c>
      <c r="H104" s="341"/>
      <c r="I104" s="341"/>
      <c r="J104" s="341"/>
      <c r="K104" s="341"/>
      <c r="L104" s="341"/>
      <c r="M104" s="341"/>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40" t="str">
        <f>+VLOOKUP(H10,tablero!$P$5:$R$201,3,FALSE)</f>
        <v xml:space="preserve">Director(a) Información y Tecnología </v>
      </c>
      <c r="H108" s="341"/>
      <c r="I108" s="341"/>
      <c r="J108" s="341"/>
      <c r="K108" s="341"/>
      <c r="L108" s="341"/>
      <c r="M108" s="341"/>
      <c r="O108" s="2"/>
    </row>
    <row r="109" spans="2:15" ht="17.25" customHeight="1" x14ac:dyDescent="0.25">
      <c r="B109" s="2"/>
      <c r="D109" s="331"/>
      <c r="E109" s="332"/>
      <c r="F109" s="19" t="s">
        <v>2042</v>
      </c>
      <c r="G109" s="340" t="str">
        <f>+IF(M23="Si","Coordinador(a) Planeación y Sistemas","")</f>
        <v/>
      </c>
      <c r="H109" s="341"/>
      <c r="I109" s="341"/>
      <c r="J109" s="341"/>
      <c r="K109" s="341"/>
      <c r="L109" s="341"/>
      <c r="M109" s="341"/>
      <c r="O109" s="2"/>
    </row>
    <row r="110" spans="2:15" ht="17.25" customHeight="1" x14ac:dyDescent="0.25">
      <c r="B110" s="2"/>
      <c r="D110" s="331"/>
      <c r="E110" s="332"/>
      <c r="F110" s="19" t="s">
        <v>2043</v>
      </c>
      <c r="G110" s="340" t="str">
        <f>+IF(M24="Si","Coordinador(a) Centro Zonal","")</f>
        <v/>
      </c>
      <c r="H110" s="341"/>
      <c r="I110" s="341"/>
      <c r="J110" s="341"/>
      <c r="K110" s="341"/>
      <c r="L110" s="341"/>
      <c r="M110" s="341"/>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860" priority="29">
      <formula>+IF($F$43="no",1,0)</formula>
    </cfRule>
  </conditionalFormatting>
  <conditionalFormatting sqref="F32:M33">
    <cfRule type="expression" dxfId="859" priority="28">
      <formula>+IF($Q$30="NA",1,0)</formula>
    </cfRule>
  </conditionalFormatting>
  <conditionalFormatting sqref="F33:M33">
    <cfRule type="expression" dxfId="858" priority="27">
      <formula>+IF($Q$33=0,1,0)</formula>
    </cfRule>
  </conditionalFormatting>
  <conditionalFormatting sqref="F47:M47">
    <cfRule type="expression" dxfId="857" priority="26">
      <formula>+IF($Q$47=0,1,0)</formula>
    </cfRule>
  </conditionalFormatting>
  <conditionalFormatting sqref="F73:G73">
    <cfRule type="cellIs" dxfId="856" priority="12" operator="equal">
      <formula>"optimo"</formula>
    </cfRule>
    <cfRule type="cellIs" dxfId="855" priority="13" operator="equal">
      <formula>"critico"</formula>
    </cfRule>
  </conditionalFormatting>
  <conditionalFormatting sqref="H73:I73">
    <cfRule type="cellIs" dxfId="854" priority="10" operator="equal">
      <formula>"Adecuado"</formula>
    </cfRule>
    <cfRule type="cellIs" dxfId="853" priority="11" operator="equal">
      <formula>"en riesgo"</formula>
    </cfRule>
  </conditionalFormatting>
  <conditionalFormatting sqref="J73:K73">
    <cfRule type="cellIs" dxfId="852" priority="8" operator="equal">
      <formula>"Adecuado"</formula>
    </cfRule>
    <cfRule type="cellIs" dxfId="851" priority="9" operator="equal">
      <formula>"en riesgo"</formula>
    </cfRule>
  </conditionalFormatting>
  <conditionalFormatting sqref="L73:M73">
    <cfRule type="cellIs" dxfId="850" priority="6" operator="equal">
      <formula>"optimo"</formula>
    </cfRule>
    <cfRule type="cellIs" dxfId="849" priority="7" operator="equal">
      <formula>"critico"</formula>
    </cfRule>
  </conditionalFormatting>
  <conditionalFormatting sqref="F75:M86">
    <cfRule type="expression" dxfId="848" priority="5">
      <formula>+IF($AK75=0,1)</formula>
    </cfRule>
  </conditionalFormatting>
  <conditionalFormatting sqref="F103:G103 F104">
    <cfRule type="expression" dxfId="847" priority="4">
      <formula>+IF($G$102="No",1,0)</formula>
    </cfRule>
  </conditionalFormatting>
  <conditionalFormatting sqref="F51">
    <cfRule type="expression" dxfId="846" priority="3">
      <formula>+IF($F$43="no",1,0)</formula>
    </cfRule>
  </conditionalFormatting>
  <conditionalFormatting sqref="I51">
    <cfRule type="expression" dxfId="845" priority="2">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7">
    <tabColor rgb="FF0070C0"/>
  </sheetPr>
  <dimension ref="B1:AV113"/>
  <sheetViews>
    <sheetView topLeftCell="A55" zoomScale="90" zoomScaleNormal="90" workbookViewId="0">
      <selection activeCell="G79" sqref="G79"/>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397</v>
      </c>
      <c r="O10" s="2"/>
    </row>
    <row r="11" spans="2:24" ht="3.95" customHeight="1" x14ac:dyDescent="0.25">
      <c r="B11" s="2"/>
      <c r="D11" s="6"/>
      <c r="O11" s="2"/>
    </row>
    <row r="12" spans="2:24" ht="36" customHeight="1" x14ac:dyDescent="0.25">
      <c r="B12" s="2"/>
      <c r="D12" s="338" t="s">
        <v>5</v>
      </c>
      <c r="E12" s="339"/>
      <c r="F12" s="340" t="s">
        <v>398</v>
      </c>
      <c r="G12" s="341"/>
      <c r="H12" s="341"/>
      <c r="I12" s="341"/>
      <c r="J12" s="341"/>
      <c r="K12" s="341"/>
      <c r="L12" s="341"/>
      <c r="M12" s="342"/>
      <c r="O12" s="2"/>
      <c r="W12" s="3" t="str">
        <f>+F23</f>
        <v>Mensual</v>
      </c>
      <c r="X12" s="3" t="str">
        <f>+F71</f>
        <v>Enero</v>
      </c>
    </row>
    <row r="13" spans="2:24" ht="3.95" customHeight="1" x14ac:dyDescent="0.25">
      <c r="B13" s="2"/>
      <c r="O13" s="2"/>
    </row>
    <row r="14" spans="2:24" ht="38.25" customHeight="1" x14ac:dyDescent="0.25">
      <c r="B14" s="2"/>
      <c r="D14" s="338" t="s">
        <v>6</v>
      </c>
      <c r="E14" s="339"/>
      <c r="F14" s="340" t="s">
        <v>2086</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17">
        <v>0.75</v>
      </c>
      <c r="G22" s="337" t="s">
        <v>9</v>
      </c>
      <c r="H22" s="337"/>
      <c r="I22" s="17">
        <v>0.75</v>
      </c>
      <c r="K22" s="337" t="s">
        <v>10</v>
      </c>
      <c r="L22" s="337"/>
      <c r="M22" s="9" t="s">
        <v>496</v>
      </c>
      <c r="O22" s="2"/>
    </row>
    <row r="23" spans="2:17" ht="19.5" customHeight="1" x14ac:dyDescent="0.25">
      <c r="B23" s="2"/>
      <c r="D23" s="337" t="s">
        <v>11</v>
      </c>
      <c r="E23" s="337"/>
      <c r="F23" s="4" t="s">
        <v>84</v>
      </c>
      <c r="G23" s="337" t="s">
        <v>12</v>
      </c>
      <c r="H23" s="337"/>
      <c r="I23" s="4" t="s">
        <v>497</v>
      </c>
      <c r="K23" s="337" t="s">
        <v>13</v>
      </c>
      <c r="L23" s="337"/>
      <c r="M23" s="9" t="s">
        <v>496</v>
      </c>
      <c r="O23" s="2"/>
    </row>
    <row r="24" spans="2:17" ht="20.100000000000001" customHeight="1" x14ac:dyDescent="0.25">
      <c r="B24" s="2"/>
      <c r="D24" s="337" t="s">
        <v>14</v>
      </c>
      <c r="E24" s="337"/>
      <c r="F24" s="4" t="s">
        <v>81</v>
      </c>
      <c r="G24" s="337" t="s">
        <v>15</v>
      </c>
      <c r="H24" s="337"/>
      <c r="I24" s="4" t="s">
        <v>103</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NA</v>
      </c>
    </row>
    <row r="31" spans="2:17" ht="24" customHeight="1" x14ac:dyDescent="0.25">
      <c r="B31" s="2"/>
      <c r="D31" s="347"/>
      <c r="E31" s="348"/>
      <c r="F31" s="4" t="s">
        <v>391</v>
      </c>
      <c r="G31" s="340" t="s">
        <v>392</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500</v>
      </c>
      <c r="G33" s="340"/>
      <c r="H33" s="341"/>
      <c r="I33" s="341"/>
      <c r="J33" s="341"/>
      <c r="K33" s="341"/>
      <c r="L33" s="341"/>
      <c r="M33" s="342"/>
      <c r="O33" s="2"/>
      <c r="Q33" s="3" t="str">
        <f>+IFERROR(IF(VLOOKUP(G33,base!$A$26:$C$40,3,FALSE)=F31,1,0),"")</f>
        <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1720</v>
      </c>
      <c r="G35" s="340" t="s">
        <v>1597</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2</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500</v>
      </c>
      <c r="G45" s="340" t="s">
        <v>512</v>
      </c>
      <c r="H45" s="341"/>
      <c r="I45" s="341"/>
      <c r="J45" s="341"/>
      <c r="K45" s="341"/>
      <c r="L45" s="341"/>
      <c r="M45" s="342"/>
      <c r="O45" s="2"/>
      <c r="Q45" s="3" t="str">
        <f>+IFERROR(VLOOKUP(G45,base!$A$41:$C$45,3,FALSE),"")</f>
        <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c r="G47" s="340"/>
      <c r="H47" s="341"/>
      <c r="I47" s="341"/>
      <c r="J47" s="341"/>
      <c r="K47" s="341"/>
      <c r="L47" s="341"/>
      <c r="M47" s="342"/>
      <c r="O47" s="2"/>
      <c r="Q47" s="3" t="e">
        <f>+IF(VLOOKUP(G47,base!$A$46:$C$66,3,FALSE)=F45,1,0)</f>
        <v>#N/A</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920</v>
      </c>
      <c r="G49" s="340" t="s">
        <v>899</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17"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37" t="s">
        <v>34</v>
      </c>
      <c r="E59" s="337"/>
      <c r="F59" s="344" t="str">
        <f>+F60&amp;" / "&amp;F61</f>
        <v>Número de incidentes de seguridad de la información atendidos  por la Dirección de Información y Tecnología y/o Ingenieros Regionales registrados en la herramienta de gestión de la mesa de servicio. / Total de incidentes de seguridad de la información recibidos y registrados en la herramienta de gestión de la mesa de servicio en el periodo.</v>
      </c>
      <c r="G59" s="344"/>
      <c r="H59" s="344"/>
      <c r="I59" s="344"/>
      <c r="J59" s="344"/>
      <c r="K59" s="344"/>
      <c r="L59" s="344"/>
      <c r="M59" s="344"/>
      <c r="O59" s="2"/>
    </row>
    <row r="60" spans="2:15" ht="46.5" customHeight="1" x14ac:dyDescent="0.25">
      <c r="B60" s="2"/>
      <c r="D60" s="359" t="s">
        <v>35</v>
      </c>
      <c r="E60" s="359"/>
      <c r="F60" s="344" t="s">
        <v>2087</v>
      </c>
      <c r="G60" s="344"/>
      <c r="H60" s="344"/>
      <c r="I60" s="344"/>
      <c r="J60" s="344"/>
      <c r="K60" s="344"/>
      <c r="L60" s="344"/>
      <c r="M60" s="344"/>
      <c r="O60" s="2"/>
    </row>
    <row r="61" spans="2:15" ht="41.25" customHeight="1" x14ac:dyDescent="0.25">
      <c r="B61" s="2"/>
      <c r="D61" s="359" t="s">
        <v>36</v>
      </c>
      <c r="E61" s="359"/>
      <c r="F61" s="340" t="s">
        <v>2088</v>
      </c>
      <c r="G61" s="341"/>
      <c r="H61" s="341"/>
      <c r="I61" s="341"/>
      <c r="J61" s="341"/>
      <c r="K61" s="341"/>
      <c r="L61" s="341"/>
      <c r="M61" s="342"/>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43" t="s">
        <v>39</v>
      </c>
      <c r="E71" s="343"/>
      <c r="F71" s="4" t="s">
        <v>46</v>
      </c>
      <c r="G71" s="3">
        <v>1</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v>0.54900000000000004</v>
      </c>
      <c r="H75" s="16">
        <v>0.55000000000000004</v>
      </c>
      <c r="I75" s="16">
        <v>0.64900000000000002</v>
      </c>
      <c r="J75" s="16">
        <v>0.65</v>
      </c>
      <c r="K75" s="16">
        <v>0.749</v>
      </c>
      <c r="L75" s="16">
        <v>0.75</v>
      </c>
      <c r="M75" s="16" t="s">
        <v>500</v>
      </c>
      <c r="O75" s="2"/>
      <c r="AE75" s="3" t="s">
        <v>46</v>
      </c>
      <c r="AF75" s="3">
        <v>1</v>
      </c>
      <c r="AG75" s="3">
        <f>+IF(AF75&gt;=$G$71,1,0)</f>
        <v>1</v>
      </c>
      <c r="AH75" s="3">
        <f>+IF(AG75=0,0,IF(AG75=1,(SUM($AG$75:AG75)-1),1))</f>
        <v>0</v>
      </c>
      <c r="AI75" s="3">
        <f>+IF(AH75=0,0,IF(MOD(AH75,$U$69)=0,1,0))</f>
        <v>0</v>
      </c>
      <c r="AJ75" s="3">
        <f>+IF(AE75=$F$71,1,0)</f>
        <v>1</v>
      </c>
      <c r="AK75" s="3">
        <f>+MAX(AI75:AJ75)</f>
        <v>1</v>
      </c>
    </row>
    <row r="76" spans="2:37" x14ac:dyDescent="0.25">
      <c r="B76" s="2"/>
      <c r="D76" s="360" t="s">
        <v>40</v>
      </c>
      <c r="E76" s="360"/>
      <c r="F76" s="16" t="s">
        <v>500</v>
      </c>
      <c r="G76" s="16">
        <v>0.54900000000000004</v>
      </c>
      <c r="H76" s="16">
        <v>0.55000000000000004</v>
      </c>
      <c r="I76" s="16">
        <v>0.64900000000000002</v>
      </c>
      <c r="J76" s="16">
        <v>0.65</v>
      </c>
      <c r="K76" s="16">
        <v>0.749</v>
      </c>
      <c r="L76" s="16">
        <v>0.75</v>
      </c>
      <c r="M76" s="16" t="s">
        <v>500</v>
      </c>
      <c r="O76" s="2"/>
      <c r="AE76" s="3" t="s">
        <v>40</v>
      </c>
      <c r="AF76" s="3">
        <v>2</v>
      </c>
      <c r="AG76" s="3">
        <f t="shared" ref="AG76:AG86" si="0">+IF(AF76&gt;=$G$71,1,0)</f>
        <v>1</v>
      </c>
      <c r="AH76" s="3">
        <f>+IF(AG76=0,0,IF(AG76=1,(SUM($AG$75:AG76)-1),1))</f>
        <v>1</v>
      </c>
      <c r="AI76" s="3">
        <f t="shared" ref="AI76:AI86" si="1">+IF(AH76=0,0,IF(MOD(AH76,$U$69)=0,1,0))</f>
        <v>1</v>
      </c>
      <c r="AJ76" s="3">
        <f t="shared" ref="AJ76:AJ86" si="2">+IF(AE76=$F$71,1,0)</f>
        <v>0</v>
      </c>
      <c r="AK76" s="3">
        <f t="shared" ref="AK76:AK86" si="3">+MAX(AI76:AJ76)</f>
        <v>1</v>
      </c>
    </row>
    <row r="77" spans="2:37" x14ac:dyDescent="0.25">
      <c r="B77" s="2"/>
      <c r="D77" s="360" t="s">
        <v>47</v>
      </c>
      <c r="E77" s="360"/>
      <c r="F77" s="16" t="s">
        <v>500</v>
      </c>
      <c r="G77" s="16">
        <v>0.54900000000000004</v>
      </c>
      <c r="H77" s="16">
        <v>0.55000000000000004</v>
      </c>
      <c r="I77" s="16">
        <v>0.64900000000000002</v>
      </c>
      <c r="J77" s="16">
        <v>0.65</v>
      </c>
      <c r="K77" s="16">
        <v>0.749</v>
      </c>
      <c r="L77" s="16">
        <v>0.75</v>
      </c>
      <c r="M77" s="16" t="s">
        <v>500</v>
      </c>
      <c r="O77" s="2"/>
      <c r="AE77" s="3" t="s">
        <v>47</v>
      </c>
      <c r="AF77" s="3">
        <v>3</v>
      </c>
      <c r="AG77" s="3">
        <f t="shared" si="0"/>
        <v>1</v>
      </c>
      <c r="AH77" s="3">
        <f>+IF(AG77=0,0,IF(AG77=1,(SUM($AG$75:AG77)-1),1))</f>
        <v>2</v>
      </c>
      <c r="AI77" s="3">
        <f t="shared" si="1"/>
        <v>1</v>
      </c>
      <c r="AJ77" s="3">
        <f t="shared" si="2"/>
        <v>0</v>
      </c>
      <c r="AK77" s="3">
        <f t="shared" si="3"/>
        <v>1</v>
      </c>
    </row>
    <row r="78" spans="2:37" x14ac:dyDescent="0.25">
      <c r="B78" s="2"/>
      <c r="D78" s="360" t="s">
        <v>48</v>
      </c>
      <c r="E78" s="360"/>
      <c r="F78" s="16" t="s">
        <v>500</v>
      </c>
      <c r="G78" s="16">
        <v>0.54900000000000004</v>
      </c>
      <c r="H78" s="16">
        <v>0.55000000000000004</v>
      </c>
      <c r="I78" s="16">
        <v>0.64900000000000002</v>
      </c>
      <c r="J78" s="16">
        <v>0.65</v>
      </c>
      <c r="K78" s="16">
        <v>0.749</v>
      </c>
      <c r="L78" s="16">
        <v>0.75</v>
      </c>
      <c r="M78" s="16" t="s">
        <v>500</v>
      </c>
      <c r="O78" s="2"/>
      <c r="AE78" s="3" t="s">
        <v>48</v>
      </c>
      <c r="AF78" s="3">
        <v>4</v>
      </c>
      <c r="AG78" s="3">
        <f t="shared" si="0"/>
        <v>1</v>
      </c>
      <c r="AH78" s="3">
        <f>+IF(AG78=0,0,IF(AG78=1,(SUM($AG$75:AG78)-1),1))</f>
        <v>3</v>
      </c>
      <c r="AI78" s="3">
        <f t="shared" si="1"/>
        <v>1</v>
      </c>
      <c r="AJ78" s="3">
        <f t="shared" si="2"/>
        <v>0</v>
      </c>
      <c r="AK78" s="3">
        <f t="shared" si="3"/>
        <v>1</v>
      </c>
    </row>
    <row r="79" spans="2:37" x14ac:dyDescent="0.25">
      <c r="B79" s="2"/>
      <c r="D79" s="360" t="s">
        <v>49</v>
      </c>
      <c r="E79" s="360"/>
      <c r="F79" s="16" t="s">
        <v>500</v>
      </c>
      <c r="G79" s="16">
        <v>0.54900000000000004</v>
      </c>
      <c r="H79" s="16">
        <v>0.55000000000000004</v>
      </c>
      <c r="I79" s="16">
        <v>0.64900000000000002</v>
      </c>
      <c r="J79" s="16">
        <v>0.65</v>
      </c>
      <c r="K79" s="16">
        <v>0.749</v>
      </c>
      <c r="L79" s="16">
        <v>0.75</v>
      </c>
      <c r="M79" s="16" t="s">
        <v>500</v>
      </c>
      <c r="O79" s="2"/>
      <c r="AE79" s="3" t="s">
        <v>49</v>
      </c>
      <c r="AF79" s="3">
        <v>5</v>
      </c>
      <c r="AG79" s="3">
        <f t="shared" si="0"/>
        <v>1</v>
      </c>
      <c r="AH79" s="3">
        <f>+IF(AG79=0,0,IF(AG79=1,(SUM($AG$75:AG79)-1),1))</f>
        <v>4</v>
      </c>
      <c r="AI79" s="3">
        <f t="shared" si="1"/>
        <v>1</v>
      </c>
      <c r="AJ79" s="3">
        <f t="shared" si="2"/>
        <v>0</v>
      </c>
      <c r="AK79" s="3">
        <f t="shared" si="3"/>
        <v>1</v>
      </c>
    </row>
    <row r="80" spans="2:37" x14ac:dyDescent="0.25">
      <c r="B80" s="2"/>
      <c r="D80" s="360" t="s">
        <v>50</v>
      </c>
      <c r="E80" s="360"/>
      <c r="F80" s="16" t="s">
        <v>500</v>
      </c>
      <c r="G80" s="16">
        <v>0.54900000000000004</v>
      </c>
      <c r="H80" s="16">
        <v>0.55000000000000004</v>
      </c>
      <c r="I80" s="16">
        <v>0.64900000000000002</v>
      </c>
      <c r="J80" s="16">
        <v>0.65</v>
      </c>
      <c r="K80" s="16">
        <v>0.749</v>
      </c>
      <c r="L80" s="16">
        <v>0.75</v>
      </c>
      <c r="M80" s="16" t="s">
        <v>500</v>
      </c>
      <c r="O80" s="2"/>
      <c r="AE80" s="3" t="s">
        <v>50</v>
      </c>
      <c r="AF80" s="3">
        <v>6</v>
      </c>
      <c r="AG80" s="3">
        <f t="shared" si="0"/>
        <v>1</v>
      </c>
      <c r="AH80" s="3">
        <f>+IF(AG80=0,0,IF(AG80=1,(SUM($AG$75:AG80)-1),1))</f>
        <v>5</v>
      </c>
      <c r="AI80" s="3">
        <f t="shared" si="1"/>
        <v>1</v>
      </c>
      <c r="AJ80" s="3">
        <f t="shared" si="2"/>
        <v>0</v>
      </c>
      <c r="AK80" s="3">
        <f t="shared" si="3"/>
        <v>1</v>
      </c>
    </row>
    <row r="81" spans="2:37" x14ac:dyDescent="0.25">
      <c r="B81" s="2"/>
      <c r="D81" s="360" t="s">
        <v>53</v>
      </c>
      <c r="E81" s="360"/>
      <c r="F81" s="16" t="s">
        <v>500</v>
      </c>
      <c r="G81" s="16">
        <v>0.54900000000000004</v>
      </c>
      <c r="H81" s="16">
        <v>0.55000000000000004</v>
      </c>
      <c r="I81" s="16">
        <v>0.64900000000000002</v>
      </c>
      <c r="J81" s="16">
        <v>0.65</v>
      </c>
      <c r="K81" s="16">
        <v>0.749</v>
      </c>
      <c r="L81" s="16">
        <v>0.75</v>
      </c>
      <c r="M81" s="16" t="s">
        <v>500</v>
      </c>
      <c r="O81" s="2"/>
      <c r="AE81" s="3" t="s">
        <v>53</v>
      </c>
      <c r="AF81" s="3">
        <v>7</v>
      </c>
      <c r="AG81" s="3">
        <f t="shared" si="0"/>
        <v>1</v>
      </c>
      <c r="AH81" s="3">
        <f>+IF(AG81=0,0,IF(AG81=1,(SUM($AG$75:AG81)-1),1))</f>
        <v>6</v>
      </c>
      <c r="AI81" s="3">
        <f t="shared" si="1"/>
        <v>1</v>
      </c>
      <c r="AJ81" s="3">
        <f t="shared" si="2"/>
        <v>0</v>
      </c>
      <c r="AK81" s="3">
        <f t="shared" si="3"/>
        <v>1</v>
      </c>
    </row>
    <row r="82" spans="2:37" x14ac:dyDescent="0.25">
      <c r="B82" s="2"/>
      <c r="D82" s="360" t="s">
        <v>54</v>
      </c>
      <c r="E82" s="360"/>
      <c r="F82" s="16" t="s">
        <v>500</v>
      </c>
      <c r="G82" s="16">
        <v>0.54900000000000004</v>
      </c>
      <c r="H82" s="16">
        <v>0.55000000000000004</v>
      </c>
      <c r="I82" s="16">
        <v>0.64900000000000002</v>
      </c>
      <c r="J82" s="16">
        <v>0.65</v>
      </c>
      <c r="K82" s="16">
        <v>0.749</v>
      </c>
      <c r="L82" s="16">
        <v>0.75</v>
      </c>
      <c r="M82" s="16" t="s">
        <v>500</v>
      </c>
      <c r="O82" s="2"/>
      <c r="AE82" s="3" t="s">
        <v>54</v>
      </c>
      <c r="AF82" s="3">
        <v>8</v>
      </c>
      <c r="AG82" s="3">
        <f t="shared" si="0"/>
        <v>1</v>
      </c>
      <c r="AH82" s="3">
        <f>+IF(AG82=0,0,IF(AG82=1,(SUM($AG$75:AG82)-1),1))</f>
        <v>7</v>
      </c>
      <c r="AI82" s="3">
        <f t="shared" si="1"/>
        <v>1</v>
      </c>
      <c r="AJ82" s="3">
        <f t="shared" si="2"/>
        <v>0</v>
      </c>
      <c r="AK82" s="3">
        <f t="shared" si="3"/>
        <v>1</v>
      </c>
    </row>
    <row r="83" spans="2:37" x14ac:dyDescent="0.25">
      <c r="B83" s="2"/>
      <c r="D83" s="360" t="s">
        <v>55</v>
      </c>
      <c r="E83" s="360"/>
      <c r="F83" s="16" t="s">
        <v>500</v>
      </c>
      <c r="G83" s="16">
        <v>0.54900000000000004</v>
      </c>
      <c r="H83" s="16">
        <v>0.55000000000000004</v>
      </c>
      <c r="I83" s="16">
        <v>0.64900000000000002</v>
      </c>
      <c r="J83" s="16">
        <v>0.65</v>
      </c>
      <c r="K83" s="16">
        <v>0.749</v>
      </c>
      <c r="L83" s="16">
        <v>0.75</v>
      </c>
      <c r="M83" s="16" t="s">
        <v>500</v>
      </c>
      <c r="O83" s="2"/>
      <c r="AE83" s="3" t="s">
        <v>55</v>
      </c>
      <c r="AF83" s="3">
        <v>9</v>
      </c>
      <c r="AG83" s="3">
        <f t="shared" si="0"/>
        <v>1</v>
      </c>
      <c r="AH83" s="3">
        <f>+IF(AG83=0,0,IF(AG83=1,(SUM($AG$75:AG83)-1),1))</f>
        <v>8</v>
      </c>
      <c r="AI83" s="3">
        <f t="shared" si="1"/>
        <v>1</v>
      </c>
      <c r="AJ83" s="3">
        <f t="shared" si="2"/>
        <v>0</v>
      </c>
      <c r="AK83" s="3">
        <f t="shared" si="3"/>
        <v>1</v>
      </c>
    </row>
    <row r="84" spans="2:37" x14ac:dyDescent="0.25">
      <c r="B84" s="2"/>
      <c r="D84" s="360" t="s">
        <v>56</v>
      </c>
      <c r="E84" s="360"/>
      <c r="F84" s="16" t="s">
        <v>500</v>
      </c>
      <c r="G84" s="16">
        <v>0.54900000000000004</v>
      </c>
      <c r="H84" s="16">
        <v>0.55000000000000004</v>
      </c>
      <c r="I84" s="16">
        <v>0.64900000000000002</v>
      </c>
      <c r="J84" s="16">
        <v>0.65</v>
      </c>
      <c r="K84" s="16">
        <v>0.749</v>
      </c>
      <c r="L84" s="16">
        <v>0.75</v>
      </c>
      <c r="M84" s="16" t="s">
        <v>500</v>
      </c>
      <c r="O84" s="2"/>
      <c r="AE84" s="3" t="s">
        <v>56</v>
      </c>
      <c r="AF84" s="3">
        <v>10</v>
      </c>
      <c r="AG84" s="3">
        <f t="shared" si="0"/>
        <v>1</v>
      </c>
      <c r="AH84" s="3">
        <f>+IF(AG84=0,0,IF(AG84=1,(SUM($AG$75:AG84)-1),1))</f>
        <v>9</v>
      </c>
      <c r="AI84" s="3">
        <f t="shared" si="1"/>
        <v>1</v>
      </c>
      <c r="AJ84" s="3">
        <f t="shared" si="2"/>
        <v>0</v>
      </c>
      <c r="AK84" s="3">
        <f t="shared" si="3"/>
        <v>1</v>
      </c>
    </row>
    <row r="85" spans="2:37" x14ac:dyDescent="0.25">
      <c r="B85" s="2"/>
      <c r="D85" s="360" t="s">
        <v>57</v>
      </c>
      <c r="E85" s="360"/>
      <c r="F85" s="16" t="s">
        <v>500</v>
      </c>
      <c r="G85" s="16">
        <v>0.54900000000000004</v>
      </c>
      <c r="H85" s="16">
        <v>0.55000000000000004</v>
      </c>
      <c r="I85" s="16">
        <v>0.64900000000000002</v>
      </c>
      <c r="J85" s="16">
        <v>0.65</v>
      </c>
      <c r="K85" s="16">
        <v>0.749</v>
      </c>
      <c r="L85" s="16">
        <v>0.75</v>
      </c>
      <c r="M85" s="16" t="s">
        <v>500</v>
      </c>
      <c r="O85" s="2"/>
      <c r="AE85" s="3" t="s">
        <v>57</v>
      </c>
      <c r="AF85" s="3">
        <v>11</v>
      </c>
      <c r="AG85" s="3">
        <f t="shared" si="0"/>
        <v>1</v>
      </c>
      <c r="AH85" s="3">
        <f>+IF(AG85=0,0,IF(AG85=1,(SUM($AG$75:AG85)-1),1))</f>
        <v>10</v>
      </c>
      <c r="AI85" s="3">
        <f t="shared" si="1"/>
        <v>1</v>
      </c>
      <c r="AJ85" s="3">
        <f t="shared" si="2"/>
        <v>0</v>
      </c>
      <c r="AK85" s="3">
        <f t="shared" si="3"/>
        <v>1</v>
      </c>
    </row>
    <row r="86" spans="2:37" x14ac:dyDescent="0.25">
      <c r="B86" s="2"/>
      <c r="D86" s="360" t="s">
        <v>58</v>
      </c>
      <c r="E86" s="360"/>
      <c r="F86" s="16" t="s">
        <v>500</v>
      </c>
      <c r="G86" s="16">
        <v>0.54900000000000004</v>
      </c>
      <c r="H86" s="16">
        <v>0.55000000000000004</v>
      </c>
      <c r="I86" s="16">
        <v>0.64900000000000002</v>
      </c>
      <c r="J86" s="16">
        <v>0.65</v>
      </c>
      <c r="K86" s="16">
        <v>0.749</v>
      </c>
      <c r="L86" s="16">
        <v>0.75</v>
      </c>
      <c r="M86" s="16" t="s">
        <v>500</v>
      </c>
      <c r="O86" s="2"/>
      <c r="AE86" s="3" t="s">
        <v>58</v>
      </c>
      <c r="AF86" s="65">
        <v>12</v>
      </c>
      <c r="AG86" s="3">
        <f t="shared" si="0"/>
        <v>1</v>
      </c>
      <c r="AH86" s="3">
        <f>+IF(AG86=0,0,IF(AG86=1,(SUM($AG$75:AG86)-1),1))</f>
        <v>11</v>
      </c>
      <c r="AI86" s="3">
        <f t="shared" si="1"/>
        <v>1</v>
      </c>
      <c r="AJ86" s="3">
        <f t="shared" si="2"/>
        <v>0</v>
      </c>
      <c r="AK86" s="3">
        <f t="shared" si="3"/>
        <v>1</v>
      </c>
    </row>
    <row r="87" spans="2:37" ht="3.75" customHeight="1" x14ac:dyDescent="0.25">
      <c r="B87" s="2"/>
      <c r="O87" s="2"/>
    </row>
    <row r="88" spans="2:37" ht="159.75" customHeight="1" x14ac:dyDescent="0.25">
      <c r="B88" s="2"/>
      <c r="D88" s="338" t="s">
        <v>59</v>
      </c>
      <c r="E88" s="339"/>
      <c r="F88" s="340" t="s">
        <v>2089</v>
      </c>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33.75" customHeight="1" x14ac:dyDescent="0.25">
      <c r="B97" s="2"/>
      <c r="D97" s="359" t="s">
        <v>35</v>
      </c>
      <c r="E97" s="359"/>
      <c r="F97" s="344" t="s">
        <v>1303</v>
      </c>
      <c r="G97" s="344"/>
      <c r="H97" s="344"/>
      <c r="I97" s="344"/>
      <c r="J97" s="344"/>
      <c r="K97" s="344"/>
      <c r="L97" s="344"/>
      <c r="M97" s="344"/>
      <c r="O97" s="2"/>
    </row>
    <row r="98" spans="2:15" ht="33.75" customHeight="1" x14ac:dyDescent="0.25">
      <c r="B98" s="2"/>
      <c r="D98" s="359" t="s">
        <v>36</v>
      </c>
      <c r="E98" s="359"/>
      <c r="F98" s="344" t="s">
        <v>1303</v>
      </c>
      <c r="G98" s="344"/>
      <c r="H98" s="344"/>
      <c r="I98" s="344"/>
      <c r="J98" s="344"/>
      <c r="K98" s="344"/>
      <c r="L98" s="344"/>
      <c r="M98" s="344"/>
      <c r="O98" s="2"/>
    </row>
    <row r="99" spans="2:15" ht="3.95" customHeight="1" x14ac:dyDescent="0.25">
      <c r="B99" s="2"/>
      <c r="O99" s="2"/>
    </row>
    <row r="100" spans="2:15" ht="146.25" customHeight="1" x14ac:dyDescent="0.25">
      <c r="B100" s="2"/>
      <c r="D100" s="338" t="s">
        <v>62</v>
      </c>
      <c r="E100" s="339"/>
      <c r="F100" s="340" t="s">
        <v>1278</v>
      </c>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1</v>
      </c>
      <c r="K102" s="20"/>
      <c r="O102" s="2"/>
    </row>
    <row r="103" spans="2:15" ht="19.5" customHeight="1" x14ac:dyDescent="0.25">
      <c r="B103" s="2"/>
      <c r="D103" s="331"/>
      <c r="E103" s="332"/>
      <c r="F103" s="19" t="s">
        <v>66</v>
      </c>
      <c r="G103" s="4" t="s">
        <v>399</v>
      </c>
      <c r="K103" s="21"/>
      <c r="O103" s="2"/>
    </row>
    <row r="104" spans="2:15" ht="27.75" customHeight="1" x14ac:dyDescent="0.25">
      <c r="B104" s="2"/>
      <c r="D104" s="331"/>
      <c r="E104" s="332"/>
      <c r="F104" s="19" t="s">
        <v>67</v>
      </c>
      <c r="G104" s="333" t="s">
        <v>1279</v>
      </c>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 xml:space="preserve">Director(a) Información y Tecnología </v>
      </c>
      <c r="H108" s="334"/>
      <c r="I108" s="334"/>
      <c r="J108" s="334"/>
      <c r="K108" s="334"/>
      <c r="L108" s="334"/>
      <c r="M108" s="335"/>
      <c r="O108" s="2"/>
    </row>
    <row r="109" spans="2:15" ht="17.25" customHeight="1" x14ac:dyDescent="0.25">
      <c r="B109" s="2"/>
      <c r="D109" s="331"/>
      <c r="E109" s="332"/>
      <c r="F109" s="19" t="s">
        <v>2042</v>
      </c>
      <c r="G109" s="333" t="str">
        <f>+IF(M23="Si","Coordinador(a) Planeación y Sistemas","")</f>
        <v>Coordinador(a) Planeación y Sistemas</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844" priority="22">
      <formula>+IF($F$43="no",1,0)</formula>
    </cfRule>
  </conditionalFormatting>
  <conditionalFormatting sqref="F32:M33">
    <cfRule type="expression" dxfId="843" priority="21">
      <formula>+IF($Q$30="NA",1,0)</formula>
    </cfRule>
  </conditionalFormatting>
  <conditionalFormatting sqref="F33:M33">
    <cfRule type="expression" dxfId="842" priority="20">
      <formula>+IF($Q$33=0,1,0)</formula>
    </cfRule>
  </conditionalFormatting>
  <conditionalFormatting sqref="F47:M47">
    <cfRule type="expression" dxfId="841" priority="19">
      <formula>+IF($Q$47=0,1,0)</formula>
    </cfRule>
  </conditionalFormatting>
  <conditionalFormatting sqref="F73:G73">
    <cfRule type="cellIs" dxfId="840" priority="16" operator="equal">
      <formula>"optimo"</formula>
    </cfRule>
    <cfRule type="cellIs" dxfId="839" priority="17" operator="equal">
      <formula>"critico"</formula>
    </cfRule>
  </conditionalFormatting>
  <conditionalFormatting sqref="H73:I73">
    <cfRule type="cellIs" dxfId="838" priority="14" operator="equal">
      <formula>"Adecuado"</formula>
    </cfRule>
    <cfRule type="cellIs" dxfId="837" priority="15" operator="equal">
      <formula>"en riesgo"</formula>
    </cfRule>
  </conditionalFormatting>
  <conditionalFormatting sqref="J73:K73">
    <cfRule type="cellIs" dxfId="836" priority="12" operator="equal">
      <formula>"Adecuado"</formula>
    </cfRule>
    <cfRule type="cellIs" dxfId="835" priority="13" operator="equal">
      <formula>"en riesgo"</formula>
    </cfRule>
  </conditionalFormatting>
  <conditionalFormatting sqref="L73:M73">
    <cfRule type="cellIs" dxfId="834" priority="10" operator="equal">
      <formula>"optimo"</formula>
    </cfRule>
    <cfRule type="cellIs" dxfId="833" priority="11" operator="equal">
      <formula>"critico"</formula>
    </cfRule>
  </conditionalFormatting>
  <conditionalFormatting sqref="F75:M86">
    <cfRule type="expression" dxfId="832" priority="9">
      <formula>+IF($AK75=0,1)</formula>
    </cfRule>
  </conditionalFormatting>
  <conditionalFormatting sqref="F103:G104">
    <cfRule type="expression" dxfId="831" priority="8">
      <formula>+IF($G$102="No",1,0)</formula>
    </cfRule>
  </conditionalFormatting>
  <conditionalFormatting sqref="F51">
    <cfRule type="expression" dxfId="830" priority="7">
      <formula>+IF($F$43="no",1,0)</formula>
    </cfRule>
  </conditionalFormatting>
  <conditionalFormatting sqref="I51">
    <cfRule type="expression" dxfId="829" priority="6">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8">
    <tabColor rgb="FF75C4FF"/>
  </sheetPr>
  <dimension ref="B1:AV113"/>
  <sheetViews>
    <sheetView topLeftCell="A61" zoomScale="90" zoomScaleNormal="90" workbookViewId="0">
      <selection activeCell="G79" sqref="G79"/>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399</v>
      </c>
      <c r="O10" s="2"/>
    </row>
    <row r="11" spans="2:24" ht="3.95" customHeight="1" x14ac:dyDescent="0.25">
      <c r="B11" s="2"/>
      <c r="D11" s="6"/>
      <c r="O11" s="2"/>
    </row>
    <row r="12" spans="2:24" ht="36" customHeight="1" x14ac:dyDescent="0.25">
      <c r="B12" s="2"/>
      <c r="D12" s="338" t="s">
        <v>5</v>
      </c>
      <c r="E12" s="339"/>
      <c r="F12" s="340" t="s">
        <v>400</v>
      </c>
      <c r="G12" s="341"/>
      <c r="H12" s="341"/>
      <c r="I12" s="341"/>
      <c r="J12" s="341"/>
      <c r="K12" s="341"/>
      <c r="L12" s="341"/>
      <c r="M12" s="342"/>
      <c r="O12" s="2"/>
      <c r="W12" s="3" t="str">
        <f>+F23</f>
        <v>Trimestral</v>
      </c>
      <c r="X12" s="3" t="str">
        <f>+F71</f>
        <v>Marzo</v>
      </c>
    </row>
    <row r="13" spans="2:24" ht="3.95" customHeight="1" x14ac:dyDescent="0.25">
      <c r="B13" s="2"/>
      <c r="O13" s="2"/>
    </row>
    <row r="14" spans="2:24" ht="38.25" customHeight="1" x14ac:dyDescent="0.25">
      <c r="B14" s="2"/>
      <c r="D14" s="338" t="s">
        <v>6</v>
      </c>
      <c r="E14" s="339"/>
      <c r="F14" s="340" t="s">
        <v>1300</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17" t="s">
        <v>512</v>
      </c>
      <c r="G22" s="337" t="s">
        <v>9</v>
      </c>
      <c r="H22" s="337"/>
      <c r="I22" s="17">
        <v>0.8</v>
      </c>
      <c r="K22" s="337" t="s">
        <v>10</v>
      </c>
      <c r="L22" s="337"/>
      <c r="M22" s="9" t="s">
        <v>496</v>
      </c>
      <c r="O22" s="2"/>
    </row>
    <row r="23" spans="2:17" ht="19.5" customHeight="1" x14ac:dyDescent="0.25">
      <c r="B23" s="2"/>
      <c r="D23" s="337" t="s">
        <v>11</v>
      </c>
      <c r="E23" s="337"/>
      <c r="F23" s="4" t="s">
        <v>71</v>
      </c>
      <c r="G23" s="337" t="s">
        <v>12</v>
      </c>
      <c r="H23" s="337"/>
      <c r="I23" s="4" t="s">
        <v>497</v>
      </c>
      <c r="K23" s="337" t="s">
        <v>13</v>
      </c>
      <c r="L23" s="337"/>
      <c r="M23" s="9" t="s">
        <v>2</v>
      </c>
      <c r="O23" s="2"/>
    </row>
    <row r="24" spans="2:17" ht="20.100000000000001" customHeight="1" x14ac:dyDescent="0.25">
      <c r="B24" s="2"/>
      <c r="D24" s="337" t="s">
        <v>14</v>
      </c>
      <c r="E24" s="337"/>
      <c r="F24" s="4" t="s">
        <v>81</v>
      </c>
      <c r="G24" s="337" t="s">
        <v>15</v>
      </c>
      <c r="H24" s="337"/>
      <c r="I24" s="4" t="s">
        <v>103</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NA</v>
      </c>
    </row>
    <row r="31" spans="2:17" ht="24" customHeight="1" x14ac:dyDescent="0.25">
      <c r="B31" s="2"/>
      <c r="D31" s="347"/>
      <c r="E31" s="348"/>
      <c r="F31" s="4" t="s">
        <v>391</v>
      </c>
      <c r="G31" s="340" t="s">
        <v>392</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500</v>
      </c>
      <c r="G33" s="340"/>
      <c r="H33" s="341"/>
      <c r="I33" s="341"/>
      <c r="J33" s="341"/>
      <c r="K33" s="341"/>
      <c r="L33" s="341"/>
      <c r="M33" s="342"/>
      <c r="O33" s="2"/>
      <c r="Q33" s="3" t="str">
        <f>+IFERROR(IF(VLOOKUP(G33,base!$A$26:$C$40,3,FALSE)=F31,1,0),"")</f>
        <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1716</v>
      </c>
      <c r="G35" s="340" t="s">
        <v>1592</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2</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500</v>
      </c>
      <c r="G45" s="340" t="s">
        <v>512</v>
      </c>
      <c r="H45" s="341"/>
      <c r="I45" s="341"/>
      <c r="J45" s="341"/>
      <c r="K45" s="341"/>
      <c r="L45" s="341"/>
      <c r="M45" s="342"/>
      <c r="O45" s="2"/>
      <c r="Q45" s="3" t="str">
        <f>+IFERROR(VLOOKUP(G45,base!$A$41:$C$45,3,FALSE),"")</f>
        <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500</v>
      </c>
      <c r="G47" s="340"/>
      <c r="H47" s="341"/>
      <c r="I47" s="341"/>
      <c r="J47" s="341"/>
      <c r="K47" s="341"/>
      <c r="L47" s="341"/>
      <c r="M47" s="342"/>
      <c r="O47" s="2"/>
      <c r="Q47" s="3" t="e">
        <f>+IF(VLOOKUP(G47,base!$A$46:$C$66,3,FALSE)=F45,1,0)</f>
        <v>#N/A</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920</v>
      </c>
      <c r="G49" s="340" t="s">
        <v>899</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17"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37" t="s">
        <v>34</v>
      </c>
      <c r="E59" s="337"/>
      <c r="F59" s="344" t="s">
        <v>1301</v>
      </c>
      <c r="G59" s="344"/>
      <c r="H59" s="344"/>
      <c r="I59" s="344"/>
      <c r="J59" s="344"/>
      <c r="K59" s="344"/>
      <c r="L59" s="344"/>
      <c r="M59" s="344"/>
      <c r="O59" s="2"/>
    </row>
    <row r="60" spans="2:15" ht="66" customHeight="1" x14ac:dyDescent="0.25">
      <c r="B60" s="2"/>
      <c r="D60" s="359" t="s">
        <v>35</v>
      </c>
      <c r="E60" s="359"/>
      <c r="F60" s="344" t="s">
        <v>1301</v>
      </c>
      <c r="G60" s="344"/>
      <c r="H60" s="344"/>
      <c r="I60" s="344"/>
      <c r="J60" s="344"/>
      <c r="K60" s="344"/>
      <c r="L60" s="344"/>
      <c r="M60" s="344"/>
      <c r="O60" s="2"/>
    </row>
    <row r="61" spans="2:15" ht="41.25" customHeight="1" x14ac:dyDescent="0.25">
      <c r="B61" s="2"/>
      <c r="D61" s="359" t="s">
        <v>36</v>
      </c>
      <c r="E61" s="359"/>
      <c r="F61" s="340"/>
      <c r="G61" s="341"/>
      <c r="H61" s="341"/>
      <c r="I61" s="341"/>
      <c r="J61" s="341"/>
      <c r="K61" s="341"/>
      <c r="L61" s="341"/>
      <c r="M61" s="342"/>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43" t="s">
        <v>39</v>
      </c>
      <c r="E71" s="343"/>
      <c r="F71" s="4" t="s">
        <v>47</v>
      </c>
      <c r="G71" s="3">
        <v>3</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v>9.9000000000000005E-2</v>
      </c>
      <c r="H77" s="16">
        <v>0.1</v>
      </c>
      <c r="I77" s="16">
        <v>0.14899999999999999</v>
      </c>
      <c r="J77" s="16">
        <v>0.15</v>
      </c>
      <c r="K77" s="16">
        <v>0.19900000000000001</v>
      </c>
      <c r="L77" s="16">
        <v>0.2</v>
      </c>
      <c r="M77" s="16" t="s">
        <v>500</v>
      </c>
      <c r="O77" s="2"/>
      <c r="AE77" s="3" t="s">
        <v>47</v>
      </c>
      <c r="AF77" s="3">
        <v>3</v>
      </c>
      <c r="AG77" s="3">
        <f t="shared" si="0"/>
        <v>1</v>
      </c>
      <c r="AH77" s="3">
        <f>+IF(AG77=0,0,IF(AG77=1,(SUM($AG$75:AG77)-1),1))</f>
        <v>0</v>
      </c>
      <c r="AI77" s="3">
        <f t="shared" si="1"/>
        <v>0</v>
      </c>
      <c r="AJ77" s="3">
        <f t="shared" si="2"/>
        <v>1</v>
      </c>
      <c r="AK77" s="3">
        <f t="shared" si="3"/>
        <v>1</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2</v>
      </c>
      <c r="AI79" s="3">
        <f t="shared" si="1"/>
        <v>0</v>
      </c>
      <c r="AJ79" s="3">
        <f t="shared" si="2"/>
        <v>0</v>
      </c>
      <c r="AK79" s="3">
        <f t="shared" si="3"/>
        <v>0</v>
      </c>
    </row>
    <row r="80" spans="2:37" x14ac:dyDescent="0.25">
      <c r="B80" s="2"/>
      <c r="D80" s="360" t="s">
        <v>50</v>
      </c>
      <c r="E80" s="360"/>
      <c r="F80" s="16" t="s">
        <v>500</v>
      </c>
      <c r="G80" s="16">
        <v>0.59899999999999998</v>
      </c>
      <c r="H80" s="16">
        <v>0.6</v>
      </c>
      <c r="I80" s="16">
        <v>0.69899999999999995</v>
      </c>
      <c r="J80" s="16">
        <v>0.7</v>
      </c>
      <c r="K80" s="16">
        <v>0.79900000000000004</v>
      </c>
      <c r="L80" s="16">
        <v>0.8</v>
      </c>
      <c r="M80" s="16" t="s">
        <v>500</v>
      </c>
      <c r="O80" s="2"/>
      <c r="AE80" s="3" t="s">
        <v>50</v>
      </c>
      <c r="AF80" s="3">
        <v>6</v>
      </c>
      <c r="AG80" s="3">
        <f t="shared" si="0"/>
        <v>1</v>
      </c>
      <c r="AH80" s="3">
        <f>+IF(AG80=0,0,IF(AG80=1,(SUM($AG$75:AG80)-1),1))</f>
        <v>3</v>
      </c>
      <c r="AI80" s="3">
        <f t="shared" si="1"/>
        <v>1</v>
      </c>
      <c r="AJ80" s="3">
        <f t="shared" si="2"/>
        <v>0</v>
      </c>
      <c r="AK80" s="3">
        <f t="shared" si="3"/>
        <v>1</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4</v>
      </c>
      <c r="AI81" s="3">
        <f t="shared" si="1"/>
        <v>0</v>
      </c>
      <c r="AJ81" s="3">
        <f t="shared" si="2"/>
        <v>0</v>
      </c>
      <c r="AK81" s="3">
        <f t="shared" si="3"/>
        <v>0</v>
      </c>
    </row>
    <row r="82" spans="2:37" x14ac:dyDescent="0.25">
      <c r="B82" s="2"/>
      <c r="D82" s="360" t="s">
        <v>54</v>
      </c>
      <c r="E82" s="360"/>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60" t="s">
        <v>55</v>
      </c>
      <c r="E83" s="360"/>
      <c r="F83" s="16" t="s">
        <v>500</v>
      </c>
      <c r="G83" s="16">
        <v>0.59899999999999998</v>
      </c>
      <c r="H83" s="16">
        <v>0.6</v>
      </c>
      <c r="I83" s="16">
        <v>0.69899999999999995</v>
      </c>
      <c r="J83" s="16">
        <v>0.7</v>
      </c>
      <c r="K83" s="16">
        <v>0.79900000000000004</v>
      </c>
      <c r="L83" s="16">
        <v>0.8</v>
      </c>
      <c r="M83" s="16" t="s">
        <v>500</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60" t="s">
        <v>58</v>
      </c>
      <c r="E86" s="360"/>
      <c r="F86" s="16" t="s">
        <v>500</v>
      </c>
      <c r="G86" s="16">
        <v>0.59899999999999998</v>
      </c>
      <c r="H86" s="16">
        <v>0.6</v>
      </c>
      <c r="I86" s="16">
        <v>0.69899999999999995</v>
      </c>
      <c r="J86" s="16">
        <v>0.7</v>
      </c>
      <c r="K86" s="16">
        <v>0.79900000000000004</v>
      </c>
      <c r="L86" s="16">
        <v>0.8</v>
      </c>
      <c r="M86" s="16" t="s">
        <v>500</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319.5" customHeight="1" x14ac:dyDescent="0.25">
      <c r="B88" s="2"/>
      <c r="D88" s="338" t="s">
        <v>59</v>
      </c>
      <c r="E88" s="339"/>
      <c r="F88" s="340" t="s">
        <v>1280</v>
      </c>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2" customHeight="1" x14ac:dyDescent="0.25">
      <c r="B97" s="2"/>
      <c r="D97" s="359" t="s">
        <v>35</v>
      </c>
      <c r="E97" s="359"/>
      <c r="F97" s="344" t="s">
        <v>1302</v>
      </c>
      <c r="G97" s="344"/>
      <c r="H97" s="344"/>
      <c r="I97" s="344"/>
      <c r="J97" s="344"/>
      <c r="K97" s="344"/>
      <c r="L97" s="344"/>
      <c r="M97" s="344"/>
      <c r="O97" s="2"/>
    </row>
    <row r="98" spans="2:15" ht="42" customHeight="1" x14ac:dyDescent="0.25">
      <c r="B98" s="2"/>
      <c r="D98" s="359" t="s">
        <v>36</v>
      </c>
      <c r="E98" s="359"/>
      <c r="F98" s="344"/>
      <c r="G98" s="344"/>
      <c r="H98" s="344"/>
      <c r="I98" s="344"/>
      <c r="J98" s="344"/>
      <c r="K98" s="344"/>
      <c r="L98" s="344"/>
      <c r="M98" s="344"/>
      <c r="O98" s="2"/>
    </row>
    <row r="99" spans="2:15" ht="3.95" customHeight="1" x14ac:dyDescent="0.25">
      <c r="B99" s="2"/>
      <c r="O99" s="2"/>
    </row>
    <row r="100" spans="2:15" ht="58.5" customHeight="1" x14ac:dyDescent="0.25">
      <c r="B100" s="2"/>
      <c r="D100" s="338" t="s">
        <v>62</v>
      </c>
      <c r="E100" s="339"/>
      <c r="F100" s="333"/>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2</v>
      </c>
      <c r="K102" s="20"/>
      <c r="O102" s="2"/>
    </row>
    <row r="103" spans="2:15" ht="19.5" customHeight="1" x14ac:dyDescent="0.25">
      <c r="B103" s="2"/>
      <c r="D103" s="331"/>
      <c r="E103" s="332"/>
      <c r="F103" s="19" t="s">
        <v>66</v>
      </c>
      <c r="G103" s="4"/>
      <c r="K103" s="21"/>
      <c r="O103" s="2"/>
    </row>
    <row r="104" spans="2:15" ht="27.75" customHeight="1" x14ac:dyDescent="0.25">
      <c r="B104" s="2"/>
      <c r="D104" s="331"/>
      <c r="E104" s="332"/>
      <c r="F104" s="19" t="s">
        <v>67</v>
      </c>
      <c r="G104" s="333"/>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 xml:space="preserve">Director(a) Información y Tecnología </v>
      </c>
      <c r="H108" s="334"/>
      <c r="I108" s="334"/>
      <c r="J108" s="334"/>
      <c r="K108" s="334"/>
      <c r="L108" s="334"/>
      <c r="M108" s="335"/>
      <c r="O108" s="2"/>
    </row>
    <row r="109" spans="2:15" ht="17.25" customHeight="1" x14ac:dyDescent="0.25">
      <c r="B109" s="2"/>
      <c r="D109" s="331"/>
      <c r="E109" s="332"/>
      <c r="F109" s="19" t="s">
        <v>2042</v>
      </c>
      <c r="G109" s="333" t="str">
        <f>+IF(M23="Si","Coordinador(a) Planeación y Sistemas","")</f>
        <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828" priority="31">
      <formula>+IF($F$43="no",1,0)</formula>
    </cfRule>
  </conditionalFormatting>
  <conditionalFormatting sqref="F32:M33">
    <cfRule type="expression" dxfId="827" priority="30">
      <formula>+IF($Q$30="NA",1,0)</formula>
    </cfRule>
  </conditionalFormatting>
  <conditionalFormatting sqref="F33:M33">
    <cfRule type="expression" dxfId="826" priority="29">
      <formula>+IF($Q$33=0,1,0)</formula>
    </cfRule>
  </conditionalFormatting>
  <conditionalFormatting sqref="F47:M47">
    <cfRule type="expression" dxfId="825" priority="28">
      <formula>+IF($Q$47=0,1,0)</formula>
    </cfRule>
  </conditionalFormatting>
  <conditionalFormatting sqref="F73:G73">
    <cfRule type="cellIs" dxfId="824" priority="16" operator="equal">
      <formula>"optimo"</formula>
    </cfRule>
    <cfRule type="cellIs" dxfId="823" priority="17" operator="equal">
      <formula>"critico"</formula>
    </cfRule>
  </conditionalFormatting>
  <conditionalFormatting sqref="H73:I73">
    <cfRule type="cellIs" dxfId="822" priority="14" operator="equal">
      <formula>"Adecuado"</formula>
    </cfRule>
    <cfRule type="cellIs" dxfId="821" priority="15" operator="equal">
      <formula>"en riesgo"</formula>
    </cfRule>
  </conditionalFormatting>
  <conditionalFormatting sqref="J73:K73">
    <cfRule type="cellIs" dxfId="820" priority="12" operator="equal">
      <formula>"Adecuado"</formula>
    </cfRule>
    <cfRule type="cellIs" dxfId="819" priority="13" operator="equal">
      <formula>"en riesgo"</formula>
    </cfRule>
  </conditionalFormatting>
  <conditionalFormatting sqref="L73:M73">
    <cfRule type="cellIs" dxfId="818" priority="10" operator="equal">
      <formula>"optimo"</formula>
    </cfRule>
    <cfRule type="cellIs" dxfId="817" priority="11" operator="equal">
      <formula>"critico"</formula>
    </cfRule>
  </conditionalFormatting>
  <conditionalFormatting sqref="F75:M86">
    <cfRule type="expression" dxfId="816" priority="9">
      <formula>+IF($AK75=0,1)</formula>
    </cfRule>
  </conditionalFormatting>
  <conditionalFormatting sqref="F103:G104">
    <cfRule type="expression" dxfId="815" priority="8">
      <formula>+IF($G$102="No",1,0)</formula>
    </cfRule>
  </conditionalFormatting>
  <conditionalFormatting sqref="F51">
    <cfRule type="expression" dxfId="814" priority="7">
      <formula>+IF($F$43="no",1,0)</formula>
    </cfRule>
  </conditionalFormatting>
  <conditionalFormatting sqref="I51">
    <cfRule type="expression" dxfId="813" priority="6">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9">
    <tabColor rgb="FF75C4FF"/>
  </sheetPr>
  <dimension ref="B1:AV113"/>
  <sheetViews>
    <sheetView topLeftCell="A52" zoomScale="90" zoomScaleNormal="90" workbookViewId="0">
      <selection activeCell="G80" sqref="G8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401</v>
      </c>
      <c r="O10" s="2"/>
    </row>
    <row r="11" spans="2:24" ht="3.95" customHeight="1" x14ac:dyDescent="0.25">
      <c r="B11" s="2"/>
      <c r="D11" s="6"/>
      <c r="O11" s="2"/>
    </row>
    <row r="12" spans="2:24" ht="36" customHeight="1" x14ac:dyDescent="0.25">
      <c r="B12" s="2"/>
      <c r="D12" s="338" t="s">
        <v>5</v>
      </c>
      <c r="E12" s="339"/>
      <c r="F12" s="340" t="s">
        <v>402</v>
      </c>
      <c r="G12" s="341"/>
      <c r="H12" s="341"/>
      <c r="I12" s="341"/>
      <c r="J12" s="341"/>
      <c r="K12" s="341"/>
      <c r="L12" s="341"/>
      <c r="M12" s="342"/>
      <c r="O12" s="2"/>
      <c r="W12" s="3" t="str">
        <f>+F23</f>
        <v>Trimestral</v>
      </c>
      <c r="X12" s="3" t="str">
        <f>+F71</f>
        <v>Marzo</v>
      </c>
    </row>
    <row r="13" spans="2:24" ht="3.95" customHeight="1" x14ac:dyDescent="0.25">
      <c r="B13" s="2"/>
      <c r="O13" s="2"/>
    </row>
    <row r="14" spans="2:24" ht="38.25" customHeight="1" x14ac:dyDescent="0.25">
      <c r="B14" s="2"/>
      <c r="D14" s="338" t="s">
        <v>6</v>
      </c>
      <c r="E14" s="339"/>
      <c r="F14" s="340" t="s">
        <v>1297</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17" t="s">
        <v>512</v>
      </c>
      <c r="G22" s="337" t="s">
        <v>9</v>
      </c>
      <c r="H22" s="337"/>
      <c r="I22" s="17">
        <v>0.8</v>
      </c>
      <c r="K22" s="337" t="s">
        <v>10</v>
      </c>
      <c r="L22" s="337"/>
      <c r="M22" s="9" t="s">
        <v>496</v>
      </c>
      <c r="O22" s="2"/>
    </row>
    <row r="23" spans="2:17" ht="19.5" customHeight="1" x14ac:dyDescent="0.25">
      <c r="B23" s="2"/>
      <c r="D23" s="337" t="s">
        <v>11</v>
      </c>
      <c r="E23" s="337"/>
      <c r="F23" s="4" t="s">
        <v>71</v>
      </c>
      <c r="G23" s="337" t="s">
        <v>12</v>
      </c>
      <c r="H23" s="337"/>
      <c r="I23" s="4" t="s">
        <v>497</v>
      </c>
      <c r="K23" s="337" t="s">
        <v>13</v>
      </c>
      <c r="L23" s="337"/>
      <c r="M23" s="9" t="s">
        <v>2</v>
      </c>
      <c r="O23" s="2"/>
    </row>
    <row r="24" spans="2:17" ht="20.100000000000001" customHeight="1" x14ac:dyDescent="0.25">
      <c r="B24" s="2"/>
      <c r="D24" s="337" t="s">
        <v>14</v>
      </c>
      <c r="E24" s="337"/>
      <c r="F24" s="4" t="s">
        <v>81</v>
      </c>
      <c r="G24" s="337" t="s">
        <v>15</v>
      </c>
      <c r="H24" s="337"/>
      <c r="I24" s="4" t="s">
        <v>103</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NA</v>
      </c>
    </row>
    <row r="31" spans="2:17" ht="24" customHeight="1" x14ac:dyDescent="0.25">
      <c r="B31" s="2"/>
      <c r="D31" s="347"/>
      <c r="E31" s="348"/>
      <c r="F31" s="4" t="s">
        <v>391</v>
      </c>
      <c r="G31" s="340" t="s">
        <v>392</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500</v>
      </c>
      <c r="G33" s="340"/>
      <c r="H33" s="341"/>
      <c r="I33" s="341"/>
      <c r="J33" s="341"/>
      <c r="K33" s="341"/>
      <c r="L33" s="341"/>
      <c r="M33" s="342"/>
      <c r="O33" s="2"/>
      <c r="Q33" s="3" t="str">
        <f>+IFERROR(IF(VLOOKUP(G33,base!$A$26:$C$40,3,FALSE)=F31,1,0),"")</f>
        <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1716</v>
      </c>
      <c r="G35" s="340" t="s">
        <v>1592</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2</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500</v>
      </c>
      <c r="G45" s="340" t="s">
        <v>512</v>
      </c>
      <c r="H45" s="341"/>
      <c r="I45" s="341"/>
      <c r="J45" s="341"/>
      <c r="K45" s="341"/>
      <c r="L45" s="341"/>
      <c r="M45" s="342"/>
      <c r="O45" s="2"/>
      <c r="Q45" s="3" t="str">
        <f>+IFERROR(VLOOKUP(G45,base!$A$41:$C$45,3,FALSE),"")</f>
        <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500</v>
      </c>
      <c r="G47" s="340"/>
      <c r="H47" s="341"/>
      <c r="I47" s="341"/>
      <c r="J47" s="341"/>
      <c r="K47" s="341"/>
      <c r="L47" s="341"/>
      <c r="M47" s="342"/>
      <c r="O47" s="2"/>
      <c r="Q47" s="3" t="e">
        <f>+IF(VLOOKUP(G47,base!$A$46:$C$66,3,FALSE)=F45,1,0)</f>
        <v>#N/A</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920</v>
      </c>
      <c r="G49" s="340" t="s">
        <v>899</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17"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37" t="s">
        <v>34</v>
      </c>
      <c r="E59" s="337"/>
      <c r="F59" s="344" t="s">
        <v>1298</v>
      </c>
      <c r="G59" s="344"/>
      <c r="H59" s="344"/>
      <c r="I59" s="344"/>
      <c r="J59" s="344"/>
      <c r="K59" s="344"/>
      <c r="L59" s="344"/>
      <c r="M59" s="344"/>
      <c r="O59" s="2"/>
    </row>
    <row r="60" spans="2:15" ht="66" customHeight="1" x14ac:dyDescent="0.25">
      <c r="B60" s="2"/>
      <c r="D60" s="359" t="s">
        <v>35</v>
      </c>
      <c r="E60" s="359"/>
      <c r="F60" s="344" t="s">
        <v>1298</v>
      </c>
      <c r="G60" s="344"/>
      <c r="H60" s="344"/>
      <c r="I60" s="344"/>
      <c r="J60" s="344"/>
      <c r="K60" s="344"/>
      <c r="L60" s="344"/>
      <c r="M60" s="344"/>
      <c r="O60" s="2"/>
    </row>
    <row r="61" spans="2:15" ht="41.25" customHeight="1" x14ac:dyDescent="0.25">
      <c r="B61" s="2"/>
      <c r="D61" s="359" t="s">
        <v>36</v>
      </c>
      <c r="E61" s="359"/>
      <c r="F61" s="340"/>
      <c r="G61" s="341"/>
      <c r="H61" s="341"/>
      <c r="I61" s="341"/>
      <c r="J61" s="341"/>
      <c r="K61" s="341"/>
      <c r="L61" s="341"/>
      <c r="M61" s="342"/>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43" t="s">
        <v>39</v>
      </c>
      <c r="E71" s="343"/>
      <c r="F71" s="4" t="s">
        <v>47</v>
      </c>
      <c r="G71" s="3">
        <v>3</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v>9.9000000000000005E-2</v>
      </c>
      <c r="H77" s="16">
        <v>0.1</v>
      </c>
      <c r="I77" s="16">
        <v>0.14899999999999999</v>
      </c>
      <c r="J77" s="16">
        <v>0.15</v>
      </c>
      <c r="K77" s="16">
        <v>0.19900000000000001</v>
      </c>
      <c r="L77" s="16">
        <v>0.2</v>
      </c>
      <c r="M77" s="16" t="s">
        <v>500</v>
      </c>
      <c r="O77" s="2"/>
      <c r="AE77" s="3" t="s">
        <v>47</v>
      </c>
      <c r="AF77" s="3">
        <v>3</v>
      </c>
      <c r="AG77" s="3">
        <f t="shared" si="0"/>
        <v>1</v>
      </c>
      <c r="AH77" s="3">
        <f>+IF(AG77=0,0,IF(AG77=1,(SUM($AG$75:AG77)-1),1))</f>
        <v>0</v>
      </c>
      <c r="AI77" s="3">
        <f t="shared" si="1"/>
        <v>0</v>
      </c>
      <c r="AJ77" s="3">
        <f t="shared" si="2"/>
        <v>1</v>
      </c>
      <c r="AK77" s="3">
        <f t="shared" si="3"/>
        <v>1</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2</v>
      </c>
      <c r="AI79" s="3">
        <f t="shared" si="1"/>
        <v>0</v>
      </c>
      <c r="AJ79" s="3">
        <f t="shared" si="2"/>
        <v>0</v>
      </c>
      <c r="AK79" s="3">
        <f t="shared" si="3"/>
        <v>0</v>
      </c>
    </row>
    <row r="80" spans="2:37" x14ac:dyDescent="0.25">
      <c r="B80" s="2"/>
      <c r="D80" s="360" t="s">
        <v>50</v>
      </c>
      <c r="E80" s="360"/>
      <c r="F80" s="16" t="s">
        <v>500</v>
      </c>
      <c r="G80" s="16">
        <v>0.59899999999999998</v>
      </c>
      <c r="H80" s="16">
        <v>0.6</v>
      </c>
      <c r="I80" s="16">
        <v>0.69899999999999995</v>
      </c>
      <c r="J80" s="16">
        <v>0.7</v>
      </c>
      <c r="K80" s="16">
        <v>0.79900000000000004</v>
      </c>
      <c r="L80" s="16">
        <v>0.8</v>
      </c>
      <c r="M80" s="16" t="s">
        <v>500</v>
      </c>
      <c r="O80" s="2"/>
      <c r="AE80" s="3" t="s">
        <v>50</v>
      </c>
      <c r="AF80" s="3">
        <v>6</v>
      </c>
      <c r="AG80" s="3">
        <f t="shared" si="0"/>
        <v>1</v>
      </c>
      <c r="AH80" s="3">
        <f>+IF(AG80=0,0,IF(AG80=1,(SUM($AG$75:AG80)-1),1))</f>
        <v>3</v>
      </c>
      <c r="AI80" s="3">
        <f t="shared" si="1"/>
        <v>1</v>
      </c>
      <c r="AJ80" s="3">
        <f t="shared" si="2"/>
        <v>0</v>
      </c>
      <c r="AK80" s="3">
        <f t="shared" si="3"/>
        <v>1</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4</v>
      </c>
      <c r="AI81" s="3">
        <f t="shared" si="1"/>
        <v>0</v>
      </c>
      <c r="AJ81" s="3">
        <f t="shared" si="2"/>
        <v>0</v>
      </c>
      <c r="AK81" s="3">
        <f t="shared" si="3"/>
        <v>0</v>
      </c>
    </row>
    <row r="82" spans="2:37" x14ac:dyDescent="0.25">
      <c r="B82" s="2"/>
      <c r="D82" s="360" t="s">
        <v>54</v>
      </c>
      <c r="E82" s="360"/>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60" t="s">
        <v>55</v>
      </c>
      <c r="E83" s="360"/>
      <c r="F83" s="16" t="s">
        <v>500</v>
      </c>
      <c r="G83" s="16">
        <v>0.59899999999999998</v>
      </c>
      <c r="H83" s="16">
        <v>0.6</v>
      </c>
      <c r="I83" s="16">
        <v>0.69899999999999995</v>
      </c>
      <c r="J83" s="16">
        <v>0.7</v>
      </c>
      <c r="K83" s="16">
        <v>0.79900000000000004</v>
      </c>
      <c r="L83" s="16">
        <v>0.8</v>
      </c>
      <c r="M83" s="16" t="s">
        <v>500</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60" t="s">
        <v>58</v>
      </c>
      <c r="E86" s="360"/>
      <c r="F86" s="16" t="s">
        <v>500</v>
      </c>
      <c r="G86" s="16">
        <v>0.59899999999999998</v>
      </c>
      <c r="H86" s="16">
        <v>0.6</v>
      </c>
      <c r="I86" s="16">
        <v>0.69899999999999995</v>
      </c>
      <c r="J86" s="16">
        <v>0.7</v>
      </c>
      <c r="K86" s="16">
        <v>0.79900000000000004</v>
      </c>
      <c r="L86" s="16">
        <v>0.8</v>
      </c>
      <c r="M86" s="16" t="s">
        <v>500</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257.25" customHeight="1" x14ac:dyDescent="0.25">
      <c r="B88" s="2"/>
      <c r="D88" s="338" t="s">
        <v>59</v>
      </c>
      <c r="E88" s="339"/>
      <c r="F88" s="340" t="s">
        <v>1281</v>
      </c>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2" customHeight="1" x14ac:dyDescent="0.25">
      <c r="B97" s="2"/>
      <c r="D97" s="359" t="s">
        <v>35</v>
      </c>
      <c r="E97" s="359"/>
      <c r="F97" s="344" t="s">
        <v>1299</v>
      </c>
      <c r="G97" s="344"/>
      <c r="H97" s="344"/>
      <c r="I97" s="344"/>
      <c r="J97" s="344"/>
      <c r="K97" s="344"/>
      <c r="L97" s="344"/>
      <c r="M97" s="344"/>
      <c r="O97" s="2"/>
    </row>
    <row r="98" spans="2:15" ht="42" customHeight="1" x14ac:dyDescent="0.25">
      <c r="B98" s="2"/>
      <c r="D98" s="359" t="s">
        <v>36</v>
      </c>
      <c r="E98" s="359"/>
      <c r="F98" s="344"/>
      <c r="G98" s="344"/>
      <c r="H98" s="344"/>
      <c r="I98" s="344"/>
      <c r="J98" s="344"/>
      <c r="K98" s="344"/>
      <c r="L98" s="344"/>
      <c r="M98" s="344"/>
      <c r="O98" s="2"/>
    </row>
    <row r="99" spans="2:15" ht="3.95" customHeight="1" x14ac:dyDescent="0.25">
      <c r="B99" s="2"/>
      <c r="O99" s="2"/>
    </row>
    <row r="100" spans="2:15" ht="58.5" customHeight="1" x14ac:dyDescent="0.25">
      <c r="B100" s="2"/>
      <c r="D100" s="338" t="s">
        <v>62</v>
      </c>
      <c r="E100" s="339"/>
      <c r="F100" s="333"/>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2</v>
      </c>
      <c r="K102" s="20"/>
      <c r="O102" s="2"/>
    </row>
    <row r="103" spans="2:15" ht="19.5" customHeight="1" x14ac:dyDescent="0.25">
      <c r="B103" s="2"/>
      <c r="D103" s="331"/>
      <c r="E103" s="332"/>
      <c r="F103" s="19" t="s">
        <v>66</v>
      </c>
      <c r="G103" s="4"/>
      <c r="K103" s="21"/>
      <c r="O103" s="2"/>
    </row>
    <row r="104" spans="2:15" ht="27.75" customHeight="1" x14ac:dyDescent="0.25">
      <c r="B104" s="2"/>
      <c r="D104" s="331"/>
      <c r="E104" s="332"/>
      <c r="F104" s="19" t="s">
        <v>67</v>
      </c>
      <c r="G104" s="333"/>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 xml:space="preserve">Director(a) Información y Tecnología </v>
      </c>
      <c r="H108" s="334"/>
      <c r="I108" s="334"/>
      <c r="J108" s="334"/>
      <c r="K108" s="334"/>
      <c r="L108" s="334"/>
      <c r="M108" s="335"/>
      <c r="O108" s="2"/>
    </row>
    <row r="109" spans="2:15" ht="17.25" customHeight="1" x14ac:dyDescent="0.25">
      <c r="B109" s="2"/>
      <c r="D109" s="331"/>
      <c r="E109" s="332"/>
      <c r="F109" s="19" t="s">
        <v>2042</v>
      </c>
      <c r="G109" s="333" t="str">
        <f>+IF(M23="Si","Coordinador(a) Planeación y Sistemas","")</f>
        <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812" priority="31">
      <formula>+IF($F$43="no",1,0)</formula>
    </cfRule>
  </conditionalFormatting>
  <conditionalFormatting sqref="F32:M33">
    <cfRule type="expression" dxfId="811" priority="30">
      <formula>+IF($Q$30="NA",1,0)</formula>
    </cfRule>
  </conditionalFormatting>
  <conditionalFormatting sqref="F33:M33">
    <cfRule type="expression" dxfId="810" priority="29">
      <formula>+IF($Q$33=0,1,0)</formula>
    </cfRule>
  </conditionalFormatting>
  <conditionalFormatting sqref="F47:M47">
    <cfRule type="expression" dxfId="809" priority="28">
      <formula>+IF($Q$47=0,1,0)</formula>
    </cfRule>
  </conditionalFormatting>
  <conditionalFormatting sqref="F73:G73">
    <cfRule type="cellIs" dxfId="808" priority="18" operator="equal">
      <formula>"optimo"</formula>
    </cfRule>
    <cfRule type="cellIs" dxfId="807" priority="19" operator="equal">
      <formula>"critico"</formula>
    </cfRule>
  </conditionalFormatting>
  <conditionalFormatting sqref="H73:I73">
    <cfRule type="cellIs" dxfId="806" priority="16" operator="equal">
      <formula>"Adecuado"</formula>
    </cfRule>
    <cfRule type="cellIs" dxfId="805" priority="17" operator="equal">
      <formula>"en riesgo"</formula>
    </cfRule>
  </conditionalFormatting>
  <conditionalFormatting sqref="J73:K73">
    <cfRule type="cellIs" dxfId="804" priority="14" operator="equal">
      <formula>"Adecuado"</formula>
    </cfRule>
    <cfRule type="cellIs" dxfId="803" priority="15" operator="equal">
      <formula>"en riesgo"</formula>
    </cfRule>
  </conditionalFormatting>
  <conditionalFormatting sqref="L73:M73">
    <cfRule type="cellIs" dxfId="802" priority="12" operator="equal">
      <formula>"optimo"</formula>
    </cfRule>
    <cfRule type="cellIs" dxfId="801" priority="13" operator="equal">
      <formula>"critico"</formula>
    </cfRule>
  </conditionalFormatting>
  <conditionalFormatting sqref="F75:M86">
    <cfRule type="expression" dxfId="800" priority="11">
      <formula>+IF($AK75=0,1)</formula>
    </cfRule>
  </conditionalFormatting>
  <conditionalFormatting sqref="F103:G104">
    <cfRule type="expression" dxfId="799" priority="10">
      <formula>+IF($G$102="No",1,0)</formula>
    </cfRule>
  </conditionalFormatting>
  <conditionalFormatting sqref="F51">
    <cfRule type="expression" dxfId="798" priority="9">
      <formula>+IF($F$43="no",1,0)</formula>
    </cfRule>
  </conditionalFormatting>
  <conditionalFormatting sqref="I51">
    <cfRule type="expression" dxfId="797" priority="8">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0">
    <tabColor rgb="FF0070C0"/>
  </sheetPr>
  <dimension ref="B1:AV113"/>
  <sheetViews>
    <sheetView zoomScale="90" zoomScaleNormal="90" workbookViewId="0">
      <selection activeCell="G80" sqref="G8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403</v>
      </c>
      <c r="O10" s="2"/>
    </row>
    <row r="11" spans="2:24" ht="3.95" customHeight="1" x14ac:dyDescent="0.25">
      <c r="B11" s="2"/>
      <c r="D11" s="6"/>
      <c r="O11" s="2"/>
    </row>
    <row r="12" spans="2:24" ht="36" customHeight="1" x14ac:dyDescent="0.25">
      <c r="B12" s="2"/>
      <c r="D12" s="338" t="s">
        <v>5</v>
      </c>
      <c r="E12" s="339"/>
      <c r="F12" s="340" t="s">
        <v>404</v>
      </c>
      <c r="G12" s="341"/>
      <c r="H12" s="341"/>
      <c r="I12" s="341"/>
      <c r="J12" s="341"/>
      <c r="K12" s="341"/>
      <c r="L12" s="341"/>
      <c r="M12" s="342"/>
      <c r="O12" s="2"/>
      <c r="W12" s="3" t="str">
        <f>+F23</f>
        <v>Trimestral</v>
      </c>
      <c r="X12" s="3" t="str">
        <f>+F71</f>
        <v>Marzo</v>
      </c>
    </row>
    <row r="13" spans="2:24" ht="3.95" customHeight="1" x14ac:dyDescent="0.25">
      <c r="B13" s="2"/>
      <c r="O13" s="2"/>
    </row>
    <row r="14" spans="2:24" ht="38.25" customHeight="1" x14ac:dyDescent="0.25">
      <c r="B14" s="2"/>
      <c r="D14" s="338" t="s">
        <v>6</v>
      </c>
      <c r="E14" s="339"/>
      <c r="F14" s="340" t="s">
        <v>1292</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17">
        <v>0.85</v>
      </c>
      <c r="G22" s="337" t="s">
        <v>9</v>
      </c>
      <c r="H22" s="337"/>
      <c r="I22" s="17">
        <v>0.85</v>
      </c>
      <c r="K22" s="337" t="s">
        <v>10</v>
      </c>
      <c r="L22" s="337"/>
      <c r="M22" s="9" t="s">
        <v>496</v>
      </c>
      <c r="O22" s="2"/>
    </row>
    <row r="23" spans="2:17" ht="19.5" customHeight="1" x14ac:dyDescent="0.25">
      <c r="B23" s="2"/>
      <c r="D23" s="337" t="s">
        <v>11</v>
      </c>
      <c r="E23" s="337"/>
      <c r="F23" s="4" t="s">
        <v>71</v>
      </c>
      <c r="G23" s="337" t="s">
        <v>12</v>
      </c>
      <c r="H23" s="337"/>
      <c r="I23" s="4" t="s">
        <v>497</v>
      </c>
      <c r="K23" s="337" t="s">
        <v>13</v>
      </c>
      <c r="L23" s="337"/>
      <c r="M23" s="9" t="s">
        <v>496</v>
      </c>
      <c r="O23" s="2"/>
    </row>
    <row r="24" spans="2:17" ht="20.100000000000001" customHeight="1" x14ac:dyDescent="0.25">
      <c r="B24" s="2"/>
      <c r="D24" s="337" t="s">
        <v>14</v>
      </c>
      <c r="E24" s="337"/>
      <c r="F24" s="4" t="s">
        <v>81</v>
      </c>
      <c r="G24" s="337" t="s">
        <v>15</v>
      </c>
      <c r="H24" s="337"/>
      <c r="I24" s="4" t="s">
        <v>103</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NA</v>
      </c>
    </row>
    <row r="31" spans="2:17" ht="24" customHeight="1" x14ac:dyDescent="0.25">
      <c r="B31" s="2"/>
      <c r="D31" s="347"/>
      <c r="E31" s="348"/>
      <c r="F31" s="4" t="s">
        <v>391</v>
      </c>
      <c r="G31" s="340" t="s">
        <v>392</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500</v>
      </c>
      <c r="G33" s="340"/>
      <c r="H33" s="341"/>
      <c r="I33" s="341"/>
      <c r="J33" s="341"/>
      <c r="K33" s="341"/>
      <c r="L33" s="341"/>
      <c r="M33" s="342"/>
      <c r="O33" s="2"/>
      <c r="Q33" s="3" t="str">
        <f>+IFERROR(IF(VLOOKUP(G33,base!$A$26:$C$40,3,FALSE)=F31,1,0),"")</f>
        <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1716</v>
      </c>
      <c r="G35" s="340" t="s">
        <v>1592</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2</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500</v>
      </c>
      <c r="G45" s="340" t="s">
        <v>512</v>
      </c>
      <c r="H45" s="341"/>
      <c r="I45" s="341"/>
      <c r="J45" s="341"/>
      <c r="K45" s="341"/>
      <c r="L45" s="341"/>
      <c r="M45" s="342"/>
      <c r="O45" s="2"/>
      <c r="Q45" s="3" t="str">
        <f>+IFERROR(VLOOKUP(G45,base!$A$41:$C$45,3,FALSE),"")</f>
        <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500</v>
      </c>
      <c r="G47" s="340"/>
      <c r="H47" s="341"/>
      <c r="I47" s="341"/>
      <c r="J47" s="341"/>
      <c r="K47" s="341"/>
      <c r="L47" s="341"/>
      <c r="M47" s="342"/>
      <c r="O47" s="2"/>
      <c r="Q47" s="3" t="e">
        <f>+IF(VLOOKUP(G47,base!$A$46:$C$66,3,FALSE)=F45,1,0)</f>
        <v>#N/A</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920</v>
      </c>
      <c r="G49" s="340" t="s">
        <v>899</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17"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37" t="s">
        <v>34</v>
      </c>
      <c r="E59" s="337"/>
      <c r="F59" s="344" t="s">
        <v>1293</v>
      </c>
      <c r="G59" s="344"/>
      <c r="H59" s="344"/>
      <c r="I59" s="344"/>
      <c r="J59" s="344"/>
      <c r="K59" s="344"/>
      <c r="L59" s="344"/>
      <c r="M59" s="344"/>
      <c r="O59" s="2"/>
    </row>
    <row r="60" spans="2:15" ht="66" customHeight="1" x14ac:dyDescent="0.25">
      <c r="B60" s="2"/>
      <c r="D60" s="359" t="s">
        <v>35</v>
      </c>
      <c r="E60" s="359"/>
      <c r="F60" s="344" t="s">
        <v>1294</v>
      </c>
      <c r="G60" s="344"/>
      <c r="H60" s="344"/>
      <c r="I60" s="344"/>
      <c r="J60" s="344"/>
      <c r="K60" s="344"/>
      <c r="L60" s="344"/>
      <c r="M60" s="344"/>
      <c r="O60" s="2"/>
    </row>
    <row r="61" spans="2:15" ht="41.25" customHeight="1" x14ac:dyDescent="0.25">
      <c r="B61" s="2"/>
      <c r="D61" s="359" t="s">
        <v>36</v>
      </c>
      <c r="E61" s="359"/>
      <c r="F61" s="340" t="s">
        <v>1295</v>
      </c>
      <c r="G61" s="341"/>
      <c r="H61" s="341"/>
      <c r="I61" s="341"/>
      <c r="J61" s="341"/>
      <c r="K61" s="341"/>
      <c r="L61" s="341"/>
      <c r="M61" s="342"/>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43" t="s">
        <v>39</v>
      </c>
      <c r="E71" s="343"/>
      <c r="F71" s="4" t="s">
        <v>47</v>
      </c>
      <c r="G71" s="3">
        <v>3</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v>0.749</v>
      </c>
      <c r="H77" s="16">
        <v>0.75</v>
      </c>
      <c r="I77" s="16">
        <v>0.79900000000000004</v>
      </c>
      <c r="J77" s="16">
        <v>0.8</v>
      </c>
      <c r="K77" s="16">
        <v>0.84899999999999998</v>
      </c>
      <c r="L77" s="16">
        <v>0.85</v>
      </c>
      <c r="M77" s="16" t="s">
        <v>500</v>
      </c>
      <c r="O77" s="2"/>
      <c r="AE77" s="3" t="s">
        <v>47</v>
      </c>
      <c r="AF77" s="3">
        <v>3</v>
      </c>
      <c r="AG77" s="3">
        <f t="shared" si="0"/>
        <v>1</v>
      </c>
      <c r="AH77" s="3">
        <f>+IF(AG77=0,0,IF(AG77=1,(SUM($AG$75:AG77)-1),1))</f>
        <v>0</v>
      </c>
      <c r="AI77" s="3">
        <f t="shared" si="1"/>
        <v>0</v>
      </c>
      <c r="AJ77" s="3">
        <f t="shared" si="2"/>
        <v>1</v>
      </c>
      <c r="AK77" s="3">
        <f t="shared" si="3"/>
        <v>1</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2</v>
      </c>
      <c r="AI79" s="3">
        <f t="shared" si="1"/>
        <v>0</v>
      </c>
      <c r="AJ79" s="3">
        <f t="shared" si="2"/>
        <v>0</v>
      </c>
      <c r="AK79" s="3">
        <f t="shared" si="3"/>
        <v>0</v>
      </c>
    </row>
    <row r="80" spans="2:37" x14ac:dyDescent="0.25">
      <c r="B80" s="2"/>
      <c r="D80" s="360" t="s">
        <v>50</v>
      </c>
      <c r="E80" s="360"/>
      <c r="F80" s="16" t="s">
        <v>500</v>
      </c>
      <c r="G80" s="16">
        <v>0.749</v>
      </c>
      <c r="H80" s="16">
        <v>0.75</v>
      </c>
      <c r="I80" s="16">
        <v>0.79900000000000004</v>
      </c>
      <c r="J80" s="16">
        <v>0.8</v>
      </c>
      <c r="K80" s="16">
        <v>0.84899999999999998</v>
      </c>
      <c r="L80" s="16">
        <v>0.85</v>
      </c>
      <c r="M80" s="16" t="s">
        <v>500</v>
      </c>
      <c r="O80" s="2"/>
      <c r="AE80" s="3" t="s">
        <v>50</v>
      </c>
      <c r="AF80" s="3">
        <v>6</v>
      </c>
      <c r="AG80" s="3">
        <f t="shared" si="0"/>
        <v>1</v>
      </c>
      <c r="AH80" s="3">
        <f>+IF(AG80=0,0,IF(AG80=1,(SUM($AG$75:AG80)-1),1))</f>
        <v>3</v>
      </c>
      <c r="AI80" s="3">
        <f t="shared" si="1"/>
        <v>1</v>
      </c>
      <c r="AJ80" s="3">
        <f t="shared" si="2"/>
        <v>0</v>
      </c>
      <c r="AK80" s="3">
        <f t="shared" si="3"/>
        <v>1</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4</v>
      </c>
      <c r="AI81" s="3">
        <f t="shared" si="1"/>
        <v>0</v>
      </c>
      <c r="AJ81" s="3">
        <f t="shared" si="2"/>
        <v>0</v>
      </c>
      <c r="AK81" s="3">
        <f t="shared" si="3"/>
        <v>0</v>
      </c>
    </row>
    <row r="82" spans="2:37" x14ac:dyDescent="0.25">
      <c r="B82" s="2"/>
      <c r="D82" s="360" t="s">
        <v>54</v>
      </c>
      <c r="E82" s="360"/>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60" t="s">
        <v>55</v>
      </c>
      <c r="E83" s="360"/>
      <c r="F83" s="16" t="s">
        <v>500</v>
      </c>
      <c r="G83" s="16">
        <v>0.749</v>
      </c>
      <c r="H83" s="16">
        <v>0.75</v>
      </c>
      <c r="I83" s="16">
        <v>0.79900000000000004</v>
      </c>
      <c r="J83" s="16">
        <v>0.8</v>
      </c>
      <c r="K83" s="16">
        <v>0.84899999999999998</v>
      </c>
      <c r="L83" s="16">
        <v>0.85</v>
      </c>
      <c r="M83" s="16" t="s">
        <v>500</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60" t="s">
        <v>58</v>
      </c>
      <c r="E86" s="360"/>
      <c r="F86" s="16" t="s">
        <v>500</v>
      </c>
      <c r="G86" s="16">
        <v>0.749</v>
      </c>
      <c r="H86" s="16">
        <v>0.75</v>
      </c>
      <c r="I86" s="16">
        <v>0.79900000000000004</v>
      </c>
      <c r="J86" s="16">
        <v>0.8</v>
      </c>
      <c r="K86" s="16">
        <v>0.84899999999999998</v>
      </c>
      <c r="L86" s="16">
        <v>0.85</v>
      </c>
      <c r="M86" s="16" t="s">
        <v>500</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321.75" customHeight="1" x14ac:dyDescent="0.25">
      <c r="B88" s="2"/>
      <c r="D88" s="338" t="s">
        <v>59</v>
      </c>
      <c r="E88" s="339"/>
      <c r="F88" s="340" t="s">
        <v>1282</v>
      </c>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55.5" customHeight="1" x14ac:dyDescent="0.25">
      <c r="B97" s="2"/>
      <c r="D97" s="359" t="s">
        <v>35</v>
      </c>
      <c r="E97" s="359"/>
      <c r="F97" s="344" t="s">
        <v>1296</v>
      </c>
      <c r="G97" s="344"/>
      <c r="H97" s="344"/>
      <c r="I97" s="344"/>
      <c r="J97" s="344"/>
      <c r="K97" s="344"/>
      <c r="L97" s="344"/>
      <c r="M97" s="344"/>
      <c r="O97" s="2"/>
    </row>
    <row r="98" spans="2:15" ht="62.25" customHeight="1" x14ac:dyDescent="0.25">
      <c r="B98" s="2"/>
      <c r="D98" s="359" t="s">
        <v>36</v>
      </c>
      <c r="E98" s="359"/>
      <c r="F98" s="344" t="s">
        <v>1296</v>
      </c>
      <c r="G98" s="344"/>
      <c r="H98" s="344"/>
      <c r="I98" s="344"/>
      <c r="J98" s="344"/>
      <c r="K98" s="344"/>
      <c r="L98" s="344"/>
      <c r="M98" s="344"/>
      <c r="O98" s="2"/>
    </row>
    <row r="99" spans="2:15" ht="3.95" customHeight="1" x14ac:dyDescent="0.25">
      <c r="B99" s="2"/>
      <c r="O99" s="2"/>
    </row>
    <row r="100" spans="2:15" ht="81" customHeight="1" x14ac:dyDescent="0.25">
      <c r="B100" s="2"/>
      <c r="D100" s="338" t="s">
        <v>62</v>
      </c>
      <c r="E100" s="339"/>
      <c r="F100" s="340" t="s">
        <v>1283</v>
      </c>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1</v>
      </c>
      <c r="K102" s="20"/>
      <c r="O102" s="2"/>
    </row>
    <row r="103" spans="2:15" ht="19.5" customHeight="1" x14ac:dyDescent="0.25">
      <c r="B103" s="2"/>
      <c r="D103" s="331"/>
      <c r="E103" s="332"/>
      <c r="F103" s="19" t="s">
        <v>66</v>
      </c>
      <c r="G103" s="4" t="s">
        <v>1284</v>
      </c>
      <c r="K103" s="21"/>
      <c r="O103" s="2"/>
    </row>
    <row r="104" spans="2:15" ht="27.75" customHeight="1" x14ac:dyDescent="0.25">
      <c r="B104" s="2"/>
      <c r="D104" s="331"/>
      <c r="E104" s="332"/>
      <c r="F104" s="19" t="s">
        <v>67</v>
      </c>
      <c r="G104" s="333" t="s">
        <v>404</v>
      </c>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 xml:space="preserve">Director(a) Información y Tecnología </v>
      </c>
      <c r="H108" s="334"/>
      <c r="I108" s="334"/>
      <c r="J108" s="334"/>
      <c r="K108" s="334"/>
      <c r="L108" s="334"/>
      <c r="M108" s="335"/>
      <c r="O108" s="2"/>
    </row>
    <row r="109" spans="2:15" ht="17.25" customHeight="1" x14ac:dyDescent="0.25">
      <c r="B109" s="2"/>
      <c r="D109" s="331"/>
      <c r="E109" s="332"/>
      <c r="F109" s="19" t="s">
        <v>2042</v>
      </c>
      <c r="G109" s="333" t="str">
        <f>+IF(M23="Si","Coordinador(a) Planeación y Sistemas","")</f>
        <v>Coordinador(a) Planeación y Sistemas</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796" priority="31">
      <formula>+IF($F$43="no",1,0)</formula>
    </cfRule>
  </conditionalFormatting>
  <conditionalFormatting sqref="F32:M33">
    <cfRule type="expression" dxfId="795" priority="30">
      <formula>+IF($Q$30="NA",1,0)</formula>
    </cfRule>
  </conditionalFormatting>
  <conditionalFormatting sqref="F33:M33">
    <cfRule type="expression" dxfId="794" priority="29">
      <formula>+IF($Q$33=0,1,0)</formula>
    </cfRule>
  </conditionalFormatting>
  <conditionalFormatting sqref="F47:M47">
    <cfRule type="expression" dxfId="793" priority="28">
      <formula>+IF($Q$47=0,1,0)</formula>
    </cfRule>
  </conditionalFormatting>
  <conditionalFormatting sqref="F73:G73">
    <cfRule type="cellIs" dxfId="792" priority="17" operator="equal">
      <formula>"optimo"</formula>
    </cfRule>
    <cfRule type="cellIs" dxfId="791" priority="18" operator="equal">
      <formula>"critico"</formula>
    </cfRule>
  </conditionalFormatting>
  <conditionalFormatting sqref="H73:I73">
    <cfRule type="cellIs" dxfId="790" priority="15" operator="equal">
      <formula>"Adecuado"</formula>
    </cfRule>
    <cfRule type="cellIs" dxfId="789" priority="16" operator="equal">
      <formula>"en riesgo"</formula>
    </cfRule>
  </conditionalFormatting>
  <conditionalFormatting sqref="J73:K73">
    <cfRule type="cellIs" dxfId="788" priority="13" operator="equal">
      <formula>"Adecuado"</formula>
    </cfRule>
    <cfRule type="cellIs" dxfId="787" priority="14" operator="equal">
      <formula>"en riesgo"</formula>
    </cfRule>
  </conditionalFormatting>
  <conditionalFormatting sqref="L73:M73">
    <cfRule type="cellIs" dxfId="786" priority="11" operator="equal">
      <formula>"optimo"</formula>
    </cfRule>
    <cfRule type="cellIs" dxfId="785" priority="12" operator="equal">
      <formula>"critico"</formula>
    </cfRule>
  </conditionalFormatting>
  <conditionalFormatting sqref="F75:M86">
    <cfRule type="expression" dxfId="784" priority="10">
      <formula>+IF($AK75=0,1)</formula>
    </cfRule>
  </conditionalFormatting>
  <conditionalFormatting sqref="F103:G104">
    <cfRule type="expression" dxfId="783" priority="9">
      <formula>+IF($G$102="No",1,0)</formula>
    </cfRule>
  </conditionalFormatting>
  <conditionalFormatting sqref="F51">
    <cfRule type="expression" dxfId="782" priority="8">
      <formula>+IF($F$43="no",1,0)</formula>
    </cfRule>
  </conditionalFormatting>
  <conditionalFormatting sqref="I51">
    <cfRule type="expression" dxfId="781" priority="7">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1">
    <tabColor rgb="FF0070C0"/>
  </sheetPr>
  <dimension ref="B1:AV113"/>
  <sheetViews>
    <sheetView topLeftCell="A70" zoomScaleNormal="100" workbookViewId="0">
      <selection activeCell="F88" sqref="F88:M88"/>
    </sheetView>
  </sheetViews>
  <sheetFormatPr baseColWidth="10" defaultRowHeight="12.75" x14ac:dyDescent="0.25"/>
  <cols>
    <col min="1" max="1" width="1.140625" style="104" customWidth="1"/>
    <col min="2" max="2" width="0.5703125" style="104" customWidth="1"/>
    <col min="3" max="3" width="1.42578125" style="104" customWidth="1"/>
    <col min="4" max="4" width="11" style="104" customWidth="1"/>
    <col min="5" max="13" width="11.42578125" style="104" customWidth="1"/>
    <col min="14" max="14" width="1.42578125" style="104" customWidth="1"/>
    <col min="15" max="15" width="0.5703125" style="104" customWidth="1"/>
    <col min="16" max="16" width="11.42578125" style="105"/>
    <col min="17" max="18" width="11.42578125" style="105" customWidth="1"/>
    <col min="19" max="19" width="11.42578125" style="105"/>
    <col min="20" max="20" width="2.7109375" style="105" customWidth="1"/>
    <col min="21" max="21" width="11.42578125" style="105"/>
    <col min="22" max="22" width="2.7109375" style="105" customWidth="1"/>
    <col min="23" max="23" width="11.42578125" style="105"/>
    <col min="24" max="24" width="2.7109375" style="105" customWidth="1"/>
    <col min="25" max="25" width="11.42578125" style="105"/>
    <col min="26" max="26" width="2.7109375" style="105" customWidth="1"/>
    <col min="27" max="27" width="11.42578125" style="105"/>
    <col min="28" max="28" width="2.7109375" style="105" customWidth="1"/>
    <col min="29" max="31" width="11.42578125" style="105"/>
    <col min="32" max="37" width="3.140625" style="105" customWidth="1"/>
    <col min="38" max="45" width="7.42578125" style="105" customWidth="1"/>
    <col min="46" max="48" width="11.42578125" style="105"/>
    <col min="49" max="16384" width="11.42578125" style="104"/>
  </cols>
  <sheetData>
    <row r="1" spans="2:19" ht="3.95" customHeight="1" x14ac:dyDescent="0.25"/>
    <row r="2" spans="2:19" ht="3.95" customHeight="1" x14ac:dyDescent="0.25">
      <c r="B2" s="106"/>
      <c r="C2" s="106"/>
      <c r="D2" s="106"/>
      <c r="E2" s="106"/>
      <c r="F2" s="106"/>
      <c r="G2" s="106"/>
      <c r="H2" s="106"/>
      <c r="I2" s="106"/>
      <c r="J2" s="106"/>
      <c r="K2" s="106"/>
      <c r="L2" s="106"/>
      <c r="M2" s="106"/>
      <c r="N2" s="106"/>
      <c r="O2" s="106"/>
    </row>
    <row r="3" spans="2:19" ht="20.25" customHeight="1" x14ac:dyDescent="0.25">
      <c r="B3" s="106"/>
      <c r="C3" s="411" t="s">
        <v>0</v>
      </c>
      <c r="D3" s="411"/>
      <c r="E3" s="411"/>
      <c r="F3" s="411"/>
      <c r="G3" s="411"/>
      <c r="H3" s="411"/>
      <c r="I3" s="411"/>
      <c r="J3" s="411"/>
      <c r="K3" s="411"/>
      <c r="L3" s="411"/>
      <c r="M3" s="411"/>
      <c r="N3" s="411"/>
      <c r="O3" s="106"/>
    </row>
    <row r="4" spans="2:19" ht="20.25" customHeight="1" x14ac:dyDescent="0.25">
      <c r="B4" s="106"/>
      <c r="C4" s="411"/>
      <c r="D4" s="411"/>
      <c r="E4" s="411"/>
      <c r="F4" s="411"/>
      <c r="G4" s="411"/>
      <c r="H4" s="411"/>
      <c r="I4" s="411"/>
      <c r="J4" s="411"/>
      <c r="K4" s="411"/>
      <c r="L4" s="411"/>
      <c r="M4" s="411"/>
      <c r="N4" s="411"/>
      <c r="O4" s="106"/>
      <c r="Q4" s="3"/>
      <c r="R4" s="3"/>
      <c r="S4" s="105" t="s">
        <v>1</v>
      </c>
    </row>
    <row r="5" spans="2:19" ht="20.25" customHeight="1" x14ac:dyDescent="0.25">
      <c r="B5" s="106"/>
      <c r="C5" s="411"/>
      <c r="D5" s="411"/>
      <c r="E5" s="411"/>
      <c r="F5" s="411"/>
      <c r="G5" s="411"/>
      <c r="H5" s="411"/>
      <c r="I5" s="411"/>
      <c r="J5" s="411"/>
      <c r="K5" s="411"/>
      <c r="L5" s="411"/>
      <c r="M5" s="411"/>
      <c r="N5" s="411"/>
      <c r="O5" s="106"/>
      <c r="S5" s="105" t="s">
        <v>2</v>
      </c>
    </row>
    <row r="6" spans="2:19" ht="3" customHeight="1" x14ac:dyDescent="0.25">
      <c r="B6" s="106"/>
      <c r="C6" s="106"/>
      <c r="D6" s="106"/>
      <c r="E6" s="106"/>
      <c r="F6" s="106"/>
      <c r="G6" s="106"/>
      <c r="H6" s="106"/>
      <c r="I6" s="106"/>
      <c r="J6" s="106"/>
      <c r="K6" s="106"/>
      <c r="L6" s="106"/>
      <c r="M6" s="106"/>
      <c r="N6" s="106"/>
      <c r="O6" s="106"/>
    </row>
    <row r="7" spans="2:19" ht="3" customHeight="1" x14ac:dyDescent="0.25"/>
    <row r="8" spans="2:19" ht="3.95" customHeight="1" x14ac:dyDescent="0.25">
      <c r="B8" s="106"/>
      <c r="C8" s="106"/>
      <c r="D8" s="106"/>
      <c r="E8" s="106"/>
      <c r="F8" s="106"/>
      <c r="G8" s="106"/>
      <c r="H8" s="106"/>
      <c r="I8" s="106"/>
      <c r="J8" s="106"/>
      <c r="K8" s="106"/>
      <c r="L8" s="106"/>
      <c r="M8" s="106"/>
      <c r="N8" s="106"/>
      <c r="O8" s="106"/>
    </row>
    <row r="9" spans="2:19" ht="3.95" customHeight="1" x14ac:dyDescent="0.25">
      <c r="B9" s="106"/>
      <c r="O9" s="106"/>
    </row>
    <row r="10" spans="2:19" ht="15.75" customHeight="1" x14ac:dyDescent="0.25">
      <c r="B10" s="106"/>
      <c r="D10" s="387" t="s">
        <v>3</v>
      </c>
      <c r="E10" s="387"/>
      <c r="F10" s="107">
        <v>2015</v>
      </c>
      <c r="G10" s="108" t="s">
        <v>4</v>
      </c>
      <c r="H10" s="107" t="s">
        <v>1364</v>
      </c>
      <c r="O10" s="106"/>
    </row>
    <row r="11" spans="2:19" ht="3.95" customHeight="1" x14ac:dyDescent="0.25">
      <c r="B11" s="106"/>
      <c r="D11" s="109"/>
      <c r="O11" s="106"/>
    </row>
    <row r="12" spans="2:19" ht="36" customHeight="1" x14ac:dyDescent="0.25">
      <c r="B12" s="106"/>
      <c r="D12" s="378" t="s">
        <v>5</v>
      </c>
      <c r="E12" s="379"/>
      <c r="F12" s="389" t="s">
        <v>1355</v>
      </c>
      <c r="G12" s="390"/>
      <c r="H12" s="390"/>
      <c r="I12" s="390"/>
      <c r="J12" s="390"/>
      <c r="K12" s="390"/>
      <c r="L12" s="390"/>
      <c r="M12" s="391"/>
      <c r="O12" s="106"/>
      <c r="Q12" s="110" t="s">
        <v>1977</v>
      </c>
      <c r="S12" s="111">
        <v>154</v>
      </c>
    </row>
    <row r="13" spans="2:19" ht="3.95" customHeight="1" x14ac:dyDescent="0.25">
      <c r="B13" s="106"/>
      <c r="O13" s="106"/>
    </row>
    <row r="14" spans="2:19" ht="38.25" customHeight="1" x14ac:dyDescent="0.25">
      <c r="B14" s="106"/>
      <c r="D14" s="378" t="s">
        <v>6</v>
      </c>
      <c r="E14" s="379"/>
      <c r="F14" s="389" t="s">
        <v>1327</v>
      </c>
      <c r="G14" s="390"/>
      <c r="H14" s="390"/>
      <c r="I14" s="390"/>
      <c r="J14" s="390"/>
      <c r="K14" s="390"/>
      <c r="L14" s="390"/>
      <c r="M14" s="391"/>
      <c r="O14" s="106"/>
    </row>
    <row r="15" spans="2:19" ht="3.95" customHeight="1" x14ac:dyDescent="0.25">
      <c r="B15" s="106"/>
      <c r="O15" s="106"/>
    </row>
    <row r="16" spans="2:19" ht="3" customHeight="1" x14ac:dyDescent="0.25">
      <c r="B16" s="106"/>
      <c r="C16" s="106"/>
      <c r="D16" s="106"/>
      <c r="E16" s="106"/>
      <c r="F16" s="106"/>
      <c r="G16" s="106"/>
      <c r="H16" s="106"/>
      <c r="I16" s="106"/>
      <c r="J16" s="106"/>
      <c r="K16" s="106"/>
      <c r="L16" s="106"/>
      <c r="M16" s="106"/>
      <c r="N16" s="106"/>
      <c r="O16" s="106"/>
    </row>
    <row r="17" spans="2:17" ht="3" customHeight="1" x14ac:dyDescent="0.25"/>
    <row r="18" spans="2:17" ht="3" customHeight="1" x14ac:dyDescent="0.25">
      <c r="B18" s="106"/>
      <c r="C18" s="106"/>
      <c r="D18" s="106"/>
      <c r="E18" s="106"/>
      <c r="F18" s="106"/>
      <c r="G18" s="106"/>
      <c r="H18" s="106"/>
      <c r="I18" s="106"/>
      <c r="J18" s="106"/>
      <c r="K18" s="106"/>
      <c r="L18" s="106"/>
      <c r="M18" s="106"/>
      <c r="N18" s="106"/>
      <c r="O18" s="106"/>
    </row>
    <row r="19" spans="2:17" ht="3.95" customHeight="1" x14ac:dyDescent="0.25">
      <c r="B19" s="106"/>
      <c r="O19" s="106"/>
    </row>
    <row r="20" spans="2:17" x14ac:dyDescent="0.25">
      <c r="B20" s="106"/>
      <c r="D20" s="112" t="s">
        <v>7</v>
      </c>
      <c r="O20" s="106"/>
    </row>
    <row r="21" spans="2:17" ht="3.95" customHeight="1" x14ac:dyDescent="0.25">
      <c r="B21" s="106"/>
      <c r="O21" s="106"/>
    </row>
    <row r="22" spans="2:17" ht="18.75" customHeight="1" x14ac:dyDescent="0.25">
      <c r="B22" s="106"/>
      <c r="D22" s="387" t="s">
        <v>8</v>
      </c>
      <c r="E22" s="387"/>
      <c r="F22" s="113" t="s">
        <v>1978</v>
      </c>
      <c r="G22" s="387" t="s">
        <v>9</v>
      </c>
      <c r="H22" s="387"/>
      <c r="I22" s="114">
        <f>+IFERROR(VLOOKUP($S$12,[1]Hoja1!$B$5:$AT$190,19,FALSE),"")</f>
        <v>1</v>
      </c>
      <c r="K22" s="387" t="s">
        <v>10</v>
      </c>
      <c r="L22" s="387"/>
      <c r="M22" s="115" t="str">
        <f>+IFERROR(VLOOKUP($S$12,[1]Hoja1!$B$5:$AT$190,22,FALSE),"")</f>
        <v>Si</v>
      </c>
      <c r="O22" s="106"/>
    </row>
    <row r="23" spans="2:17" ht="19.5" customHeight="1" x14ac:dyDescent="0.25">
      <c r="B23" s="106"/>
      <c r="D23" s="387" t="s">
        <v>11</v>
      </c>
      <c r="E23" s="387"/>
      <c r="F23" s="107" t="str">
        <f>+IFERROR(VLOOKUP($S$12,[1]Hoja1!$B$5:$AT$190,33,FALSE),"")</f>
        <v>Mensual</v>
      </c>
      <c r="G23" s="387" t="s">
        <v>12</v>
      </c>
      <c r="H23" s="387"/>
      <c r="I23" s="107" t="str">
        <f>+IFERROR(VLOOKUP($S$12,[1]Hoja1!$B$5:$AT$190,21,FALSE),"")</f>
        <v>Porcentaje</v>
      </c>
      <c r="K23" s="387" t="s">
        <v>13</v>
      </c>
      <c r="L23" s="387"/>
      <c r="M23" s="115" t="str">
        <f>+IFERROR(VLOOKUP($S$12,[1]Hoja1!$B$5:$AT$190,23,FALSE),"")</f>
        <v>No</v>
      </c>
      <c r="O23" s="106"/>
    </row>
    <row r="24" spans="2:17" ht="20.100000000000001" customHeight="1" x14ac:dyDescent="0.25">
      <c r="B24" s="106"/>
      <c r="D24" s="387" t="s">
        <v>14</v>
      </c>
      <c r="E24" s="387"/>
      <c r="F24" s="107" t="s">
        <v>498</v>
      </c>
      <c r="G24" s="387" t="s">
        <v>15</v>
      </c>
      <c r="H24" s="387"/>
      <c r="I24" s="107" t="s">
        <v>103</v>
      </c>
      <c r="K24" s="387" t="s">
        <v>16</v>
      </c>
      <c r="L24" s="387"/>
      <c r="M24" s="115" t="str">
        <f>+IFERROR(VLOOKUP($S$12,[1]Hoja1!$B$5:$AT$190,24,FALSE),"")</f>
        <v>No</v>
      </c>
      <c r="O24" s="106"/>
    </row>
    <row r="25" spans="2:17" ht="20.100000000000001" customHeight="1" x14ac:dyDescent="0.25">
      <c r="B25" s="106"/>
      <c r="D25" s="387" t="s">
        <v>17</v>
      </c>
      <c r="E25" s="387"/>
      <c r="F25" s="107" t="str">
        <f>+IFERROR(VLOOKUP($S$12,[1]Hoja1!$B$5:$AT$190,18,FALSE),"")</f>
        <v>Eficiencia</v>
      </c>
      <c r="O25" s="106"/>
    </row>
    <row r="26" spans="2:17" ht="3.95" customHeight="1" x14ac:dyDescent="0.25">
      <c r="B26" s="106"/>
      <c r="O26" s="106"/>
    </row>
    <row r="27" spans="2:17" x14ac:dyDescent="0.25">
      <c r="B27" s="106"/>
      <c r="D27" s="112" t="s">
        <v>18</v>
      </c>
      <c r="O27" s="106"/>
    </row>
    <row r="28" spans="2:17" ht="3.95" customHeight="1" x14ac:dyDescent="0.25">
      <c r="B28" s="106"/>
      <c r="O28" s="106"/>
    </row>
    <row r="29" spans="2:17" ht="36" customHeight="1" x14ac:dyDescent="0.25">
      <c r="B29" s="106"/>
      <c r="D29" s="393" t="s">
        <v>19</v>
      </c>
      <c r="E29" s="393"/>
      <c r="F29" s="344" t="s">
        <v>891</v>
      </c>
      <c r="G29" s="344"/>
      <c r="H29" s="344"/>
      <c r="I29" s="344"/>
      <c r="J29" s="344"/>
      <c r="K29" s="344"/>
      <c r="L29" s="344"/>
      <c r="M29" s="344"/>
      <c r="O29" s="106"/>
      <c r="P29" s="105" t="s">
        <v>1989</v>
      </c>
    </row>
    <row r="30" spans="2:17" ht="18" customHeight="1" x14ac:dyDescent="0.25">
      <c r="B30" s="106"/>
      <c r="D30" s="404" t="s">
        <v>21</v>
      </c>
      <c r="E30" s="405"/>
      <c r="F30" s="10" t="s">
        <v>22</v>
      </c>
      <c r="G30" s="349" t="s">
        <v>5</v>
      </c>
      <c r="H30" s="350"/>
      <c r="I30" s="350"/>
      <c r="J30" s="350"/>
      <c r="K30" s="350"/>
      <c r="L30" s="350"/>
      <c r="M30" s="351"/>
      <c r="O30" s="106"/>
      <c r="Q30" s="105" t="str">
        <f>+IFERROR(VLOOKUP(G31,[1]base!$A$9:$C$25,3,FALSE),"")</f>
        <v>NA</v>
      </c>
    </row>
    <row r="31" spans="2:17" ht="24" customHeight="1" x14ac:dyDescent="0.25">
      <c r="B31" s="106"/>
      <c r="D31" s="406"/>
      <c r="E31" s="407"/>
      <c r="F31" s="4" t="s">
        <v>391</v>
      </c>
      <c r="G31" s="340" t="s">
        <v>392</v>
      </c>
      <c r="H31" s="341"/>
      <c r="I31" s="341"/>
      <c r="J31" s="341"/>
      <c r="K31" s="341"/>
      <c r="L31" s="341"/>
      <c r="M31" s="342"/>
      <c r="O31" s="106"/>
    </row>
    <row r="32" spans="2:17" ht="18" customHeight="1" x14ac:dyDescent="0.25">
      <c r="B32" s="106"/>
      <c r="D32" s="404" t="s">
        <v>23</v>
      </c>
      <c r="E32" s="405"/>
      <c r="F32" s="116" t="s">
        <v>22</v>
      </c>
      <c r="G32" s="408" t="s">
        <v>5</v>
      </c>
      <c r="H32" s="409"/>
      <c r="I32" s="409"/>
      <c r="J32" s="409"/>
      <c r="K32" s="409"/>
      <c r="L32" s="409"/>
      <c r="M32" s="410"/>
      <c r="O32" s="106"/>
    </row>
    <row r="33" spans="2:17" ht="24" customHeight="1" x14ac:dyDescent="0.25">
      <c r="B33" s="106"/>
      <c r="D33" s="406"/>
      <c r="E33" s="407"/>
      <c r="F33" s="117" t="str">
        <f>+IFERROR(VLOOKUP(G33,[1]base!$A$26:$B$40,2,FALSE),"")</f>
        <v/>
      </c>
      <c r="G33" s="389"/>
      <c r="H33" s="390"/>
      <c r="I33" s="390"/>
      <c r="J33" s="390"/>
      <c r="K33" s="390"/>
      <c r="L33" s="390"/>
      <c r="M33" s="391"/>
      <c r="O33" s="106"/>
      <c r="Q33" s="105" t="str">
        <f>+IFERROR(IF(VLOOKUP(G33,[1]base!$A$26:$C$40,3,FALSE)=F31,1,0),"")</f>
        <v/>
      </c>
    </row>
    <row r="34" spans="2:17" ht="18" customHeight="1" x14ac:dyDescent="0.25">
      <c r="B34" s="106"/>
      <c r="D34" s="404" t="s">
        <v>24</v>
      </c>
      <c r="E34" s="405"/>
      <c r="F34" s="116" t="s">
        <v>22</v>
      </c>
      <c r="G34" s="408" t="s">
        <v>5</v>
      </c>
      <c r="H34" s="409"/>
      <c r="I34" s="409"/>
      <c r="J34" s="409"/>
      <c r="K34" s="409"/>
      <c r="L34" s="409"/>
      <c r="M34" s="410"/>
      <c r="O34" s="106"/>
    </row>
    <row r="35" spans="2:17" ht="37.5" customHeight="1" x14ac:dyDescent="0.25">
      <c r="B35" s="106"/>
      <c r="D35" s="406"/>
      <c r="E35" s="407"/>
      <c r="F35" s="4" t="s">
        <v>1716</v>
      </c>
      <c r="G35" s="340" t="s">
        <v>1592</v>
      </c>
      <c r="H35" s="341"/>
      <c r="I35" s="341"/>
      <c r="J35" s="341"/>
      <c r="K35" s="341"/>
      <c r="L35" s="341"/>
      <c r="M35" s="342"/>
      <c r="O35" s="106"/>
    </row>
    <row r="36" spans="2:17" ht="3.95" customHeight="1" x14ac:dyDescent="0.25">
      <c r="B36" s="106"/>
      <c r="O36" s="106"/>
    </row>
    <row r="37" spans="2:17" ht="3" customHeight="1" x14ac:dyDescent="0.25">
      <c r="B37" s="106"/>
      <c r="C37" s="106"/>
      <c r="D37" s="106"/>
      <c r="E37" s="106"/>
      <c r="F37" s="106"/>
      <c r="G37" s="106"/>
      <c r="H37" s="106"/>
      <c r="I37" s="106"/>
      <c r="J37" s="106"/>
      <c r="K37" s="106"/>
      <c r="L37" s="106"/>
      <c r="M37" s="106"/>
      <c r="N37" s="106"/>
      <c r="O37" s="106"/>
    </row>
    <row r="38" spans="2:17" ht="3" customHeight="1" x14ac:dyDescent="0.25"/>
    <row r="39" spans="2:17" ht="3" customHeight="1" x14ac:dyDescent="0.25">
      <c r="B39" s="106"/>
      <c r="C39" s="106"/>
      <c r="D39" s="106"/>
      <c r="E39" s="106"/>
      <c r="F39" s="106"/>
      <c r="G39" s="106"/>
      <c r="H39" s="106"/>
      <c r="I39" s="106"/>
      <c r="J39" s="106"/>
      <c r="K39" s="106"/>
      <c r="L39" s="106"/>
      <c r="M39" s="106"/>
      <c r="N39" s="106"/>
      <c r="O39" s="106"/>
    </row>
    <row r="40" spans="2:17" ht="3.95" customHeight="1" x14ac:dyDescent="0.25">
      <c r="B40" s="106"/>
      <c r="D40" s="112"/>
      <c r="O40" s="106"/>
    </row>
    <row r="41" spans="2:17" x14ac:dyDescent="0.25">
      <c r="B41" s="106"/>
      <c r="D41" s="112" t="s">
        <v>25</v>
      </c>
      <c r="O41" s="106"/>
    </row>
    <row r="42" spans="2:17" ht="3.95" customHeight="1" x14ac:dyDescent="0.25">
      <c r="B42" s="106"/>
      <c r="O42" s="106"/>
    </row>
    <row r="43" spans="2:17" ht="20.100000000000001" customHeight="1" x14ac:dyDescent="0.25">
      <c r="B43" s="106"/>
      <c r="D43" s="387" t="s">
        <v>26</v>
      </c>
      <c r="E43" s="387"/>
      <c r="F43" s="107" t="s">
        <v>2</v>
      </c>
      <c r="O43" s="106"/>
    </row>
    <row r="44" spans="2:17" ht="18" customHeight="1" x14ac:dyDescent="0.25">
      <c r="B44" s="106"/>
      <c r="D44" s="397" t="s">
        <v>27</v>
      </c>
      <c r="E44" s="398"/>
      <c r="F44" s="118" t="s">
        <v>22</v>
      </c>
      <c r="G44" s="401" t="s">
        <v>5</v>
      </c>
      <c r="H44" s="402"/>
      <c r="I44" s="402"/>
      <c r="J44" s="402"/>
      <c r="K44" s="402"/>
      <c r="L44" s="402"/>
      <c r="M44" s="403"/>
      <c r="O44" s="106"/>
    </row>
    <row r="45" spans="2:17" ht="18" customHeight="1" x14ac:dyDescent="0.25">
      <c r="B45" s="106"/>
      <c r="D45" s="399"/>
      <c r="E45" s="400"/>
      <c r="F45" s="107" t="str">
        <f>+IFERROR(VLOOKUP(G45,[1]base!$A$41:$B$45,2,FALSE),"")</f>
        <v>LP5</v>
      </c>
      <c r="G45" s="389" t="str">
        <f>+IFERROR(VLOOKUP($S$12,[1]Hoja1!$B$5:$AT$190,6,FALSE),"")</f>
        <v>Gestión Financiera</v>
      </c>
      <c r="H45" s="390"/>
      <c r="I45" s="390"/>
      <c r="J45" s="390"/>
      <c r="K45" s="390"/>
      <c r="L45" s="390"/>
      <c r="M45" s="391"/>
      <c r="O45" s="106"/>
      <c r="Q45" s="105" t="str">
        <f>+IFERROR(VLOOKUP(G45,[1]base!$A$41:$C$45,3,FALSE),"")</f>
        <v>financiera</v>
      </c>
    </row>
    <row r="46" spans="2:17" ht="18" customHeight="1" x14ac:dyDescent="0.25">
      <c r="B46" s="106"/>
      <c r="D46" s="397" t="s">
        <v>28</v>
      </c>
      <c r="E46" s="398"/>
      <c r="F46" s="118" t="s">
        <v>22</v>
      </c>
      <c r="G46" s="401" t="s">
        <v>5</v>
      </c>
      <c r="H46" s="402"/>
      <c r="I46" s="402"/>
      <c r="J46" s="402"/>
      <c r="K46" s="402"/>
      <c r="L46" s="402"/>
      <c r="M46" s="403"/>
      <c r="O46" s="106"/>
    </row>
    <row r="47" spans="2:17" ht="18" customHeight="1" x14ac:dyDescent="0.25">
      <c r="B47" s="106"/>
      <c r="D47" s="399"/>
      <c r="E47" s="400"/>
      <c r="F47" s="107" t="str">
        <f>+IFERROR(VLOOKUP(G47,[1]base!$A$46:$B$66,2,FALSE),"")</f>
        <v/>
      </c>
      <c r="G47" s="389"/>
      <c r="H47" s="390"/>
      <c r="I47" s="390"/>
      <c r="J47" s="390"/>
      <c r="K47" s="390"/>
      <c r="L47" s="390"/>
      <c r="M47" s="391"/>
      <c r="O47" s="106"/>
      <c r="Q47" s="105" t="e">
        <f>+IF(VLOOKUP(G47,[1]base!$A$46:$C$66,3,FALSE)=F45,1,0)</f>
        <v>#N/A</v>
      </c>
    </row>
    <row r="48" spans="2:17" ht="18" customHeight="1" x14ac:dyDescent="0.25">
      <c r="B48" s="106"/>
      <c r="D48" s="397" t="s">
        <v>29</v>
      </c>
      <c r="E48" s="398"/>
      <c r="F48" s="118" t="s">
        <v>22</v>
      </c>
      <c r="G48" s="401" t="s">
        <v>5</v>
      </c>
      <c r="H48" s="402"/>
      <c r="I48" s="402"/>
      <c r="J48" s="402"/>
      <c r="K48" s="402"/>
      <c r="L48" s="402"/>
      <c r="M48" s="403"/>
      <c r="O48" s="106"/>
    </row>
    <row r="49" spans="2:15" ht="29.25" customHeight="1" x14ac:dyDescent="0.25">
      <c r="B49" s="106"/>
      <c r="D49" s="399"/>
      <c r="E49" s="400"/>
      <c r="F49" s="119" t="str">
        <f>+IFERROR(VLOOKUP(G49,[1]base!$G$37:$H$47,2,FALSE),"")</f>
        <v>C-310-300-2</v>
      </c>
      <c r="G49" s="389" t="s">
        <v>899</v>
      </c>
      <c r="H49" s="390"/>
      <c r="I49" s="390"/>
      <c r="J49" s="390"/>
      <c r="K49" s="390"/>
      <c r="L49" s="390"/>
      <c r="M49" s="391"/>
      <c r="O49" s="106"/>
    </row>
    <row r="50" spans="2:15" ht="3.95" customHeight="1" x14ac:dyDescent="0.25">
      <c r="B50" s="106"/>
      <c r="O50" s="106"/>
    </row>
    <row r="51" spans="2:15" ht="20.100000000000001" customHeight="1" x14ac:dyDescent="0.25">
      <c r="B51" s="106"/>
      <c r="D51" s="387" t="s">
        <v>31</v>
      </c>
      <c r="E51" s="387"/>
      <c r="F51" s="107" t="str">
        <f>+IFERROR(VLOOKUP($S$12,[1]Hoja1!$B$5:$AT$190,26,FALSE),"")</f>
        <v>No</v>
      </c>
      <c r="G51" s="387" t="s">
        <v>32</v>
      </c>
      <c r="H51" s="387"/>
      <c r="I51" s="120" t="str">
        <f>+IFERROR(IF(F51="No","",VLOOKUP($S$12,[1]Hoja1!$B$5:$AT$190,20,FALSE)),"")</f>
        <v/>
      </c>
      <c r="O51" s="106"/>
    </row>
    <row r="52" spans="2:15" ht="3.95" customHeight="1" x14ac:dyDescent="0.25">
      <c r="B52" s="106"/>
      <c r="O52" s="106"/>
    </row>
    <row r="53" spans="2:15" ht="3" customHeight="1" x14ac:dyDescent="0.25">
      <c r="B53" s="106"/>
      <c r="C53" s="106"/>
      <c r="D53" s="106"/>
      <c r="E53" s="106"/>
      <c r="F53" s="106"/>
      <c r="G53" s="106"/>
      <c r="H53" s="106"/>
      <c r="I53" s="106"/>
      <c r="J53" s="106"/>
      <c r="K53" s="106"/>
      <c r="L53" s="106"/>
      <c r="M53" s="106"/>
      <c r="N53" s="106"/>
      <c r="O53" s="106"/>
    </row>
    <row r="54" spans="2:15" ht="3" customHeight="1" x14ac:dyDescent="0.25"/>
    <row r="55" spans="2:15" ht="3.95" customHeight="1" x14ac:dyDescent="0.25">
      <c r="B55" s="106"/>
      <c r="C55" s="106"/>
      <c r="D55" s="106"/>
      <c r="E55" s="106"/>
      <c r="F55" s="106"/>
      <c r="G55" s="106"/>
      <c r="H55" s="106"/>
      <c r="I55" s="106"/>
      <c r="J55" s="106"/>
      <c r="K55" s="106"/>
      <c r="L55" s="106"/>
      <c r="M55" s="106"/>
      <c r="N55" s="106"/>
      <c r="O55" s="106"/>
    </row>
    <row r="56" spans="2:15" ht="3.95" customHeight="1" x14ac:dyDescent="0.25">
      <c r="B56" s="106"/>
      <c r="O56" s="106"/>
    </row>
    <row r="57" spans="2:15" x14ac:dyDescent="0.25">
      <c r="B57" s="106"/>
      <c r="D57" s="112" t="s">
        <v>33</v>
      </c>
      <c r="O57" s="106"/>
    </row>
    <row r="58" spans="2:15" ht="3.95" customHeight="1" x14ac:dyDescent="0.25">
      <c r="B58" s="106"/>
      <c r="O58" s="106"/>
    </row>
    <row r="59" spans="2:15" ht="30" customHeight="1" x14ac:dyDescent="0.25">
      <c r="B59" s="106"/>
      <c r="D59" s="387" t="s">
        <v>34</v>
      </c>
      <c r="E59" s="387"/>
      <c r="F59" s="370" t="str">
        <f>+IF(F60="","",F60&amp;" / "&amp;F61)</f>
        <v>Recursos Comprometidos / Meta Mensual de Compromisos</v>
      </c>
      <c r="G59" s="370"/>
      <c r="H59" s="370"/>
      <c r="I59" s="370"/>
      <c r="J59" s="370"/>
      <c r="K59" s="370"/>
      <c r="L59" s="370"/>
      <c r="M59" s="370"/>
      <c r="O59" s="106"/>
    </row>
    <row r="60" spans="2:15" ht="30" customHeight="1" x14ac:dyDescent="0.25">
      <c r="B60" s="106"/>
      <c r="D60" s="369" t="s">
        <v>35</v>
      </c>
      <c r="E60" s="369"/>
      <c r="F60" s="370" t="str">
        <f>+IFERROR(VLOOKUP($S$12,[1]Hoja1!$B$5:$AT$190,28,FALSE),"")</f>
        <v>Recursos Comprometidos</v>
      </c>
      <c r="G60" s="370"/>
      <c r="H60" s="370"/>
      <c r="I60" s="370"/>
      <c r="J60" s="370"/>
      <c r="K60" s="370"/>
      <c r="L60" s="370"/>
      <c r="M60" s="370"/>
      <c r="O60" s="106"/>
    </row>
    <row r="61" spans="2:15" ht="30" customHeight="1" x14ac:dyDescent="0.25">
      <c r="B61" s="106"/>
      <c r="D61" s="369" t="s">
        <v>36</v>
      </c>
      <c r="E61" s="369"/>
      <c r="F61" s="389" t="str">
        <f>+IFERROR(VLOOKUP($S$12,[1]Hoja1!$B$5:$AT$190,30,FALSE),"")</f>
        <v>Meta Mensual de Compromisos</v>
      </c>
      <c r="G61" s="390"/>
      <c r="H61" s="390"/>
      <c r="I61" s="390"/>
      <c r="J61" s="390"/>
      <c r="K61" s="390"/>
      <c r="L61" s="390"/>
      <c r="M61" s="391"/>
      <c r="O61" s="106"/>
    </row>
    <row r="62" spans="2:15" ht="3.95" customHeight="1" x14ac:dyDescent="0.25">
      <c r="B62" s="106"/>
      <c r="O62" s="106"/>
    </row>
    <row r="63" spans="2:15" ht="3" customHeight="1" x14ac:dyDescent="0.25">
      <c r="B63" s="106"/>
      <c r="C63" s="106"/>
      <c r="D63" s="106"/>
      <c r="E63" s="106"/>
      <c r="F63" s="106"/>
      <c r="G63" s="106"/>
      <c r="H63" s="106"/>
      <c r="I63" s="106"/>
      <c r="J63" s="106"/>
      <c r="K63" s="106"/>
      <c r="L63" s="106"/>
      <c r="M63" s="106"/>
      <c r="N63" s="106"/>
      <c r="O63" s="106"/>
    </row>
    <row r="64" spans="2:15" x14ac:dyDescent="0.25">
      <c r="M64" s="121" t="s">
        <v>37</v>
      </c>
    </row>
    <row r="65" spans="2:45" ht="3" customHeight="1" x14ac:dyDescent="0.25">
      <c r="B65" s="106"/>
      <c r="C65" s="106"/>
      <c r="D65" s="106"/>
      <c r="E65" s="106"/>
      <c r="F65" s="106"/>
      <c r="G65" s="106"/>
      <c r="H65" s="106"/>
      <c r="I65" s="106"/>
      <c r="J65" s="106"/>
      <c r="K65" s="106"/>
      <c r="L65" s="106"/>
      <c r="M65" s="106"/>
      <c r="N65" s="106"/>
      <c r="O65" s="106"/>
    </row>
    <row r="66" spans="2:45" ht="3.95" customHeight="1" x14ac:dyDescent="0.25">
      <c r="B66" s="106"/>
      <c r="O66" s="106"/>
    </row>
    <row r="67" spans="2:45" x14ac:dyDescent="0.25">
      <c r="B67" s="106"/>
      <c r="D67" s="392" t="s">
        <v>38</v>
      </c>
      <c r="E67" s="392"/>
      <c r="O67" s="106"/>
    </row>
    <row r="68" spans="2:45" ht="3.95" customHeight="1" x14ac:dyDescent="0.25">
      <c r="B68" s="106"/>
      <c r="D68" s="112"/>
      <c r="E68" s="112"/>
      <c r="O68" s="106"/>
    </row>
    <row r="69" spans="2:45" ht="18.75" customHeight="1" x14ac:dyDescent="0.25">
      <c r="B69" s="106"/>
      <c r="O69" s="106"/>
      <c r="Q69" s="122" t="s">
        <v>11</v>
      </c>
      <c r="S69" s="105" t="str">
        <f>+IF(F23=0,"",F23)</f>
        <v>Mensual</v>
      </c>
      <c r="U69" s="105">
        <f>+IFERROR(VLOOKUP(S69,[1]base!$H$23:$I$28,2,FALSE),"")</f>
        <v>1</v>
      </c>
    </row>
    <row r="70" spans="2:45" ht="3.95" customHeight="1" x14ac:dyDescent="0.25">
      <c r="B70" s="106"/>
      <c r="D70" s="112"/>
      <c r="E70" s="112"/>
      <c r="O70" s="106"/>
    </row>
    <row r="71" spans="2:45" ht="18.75" customHeight="1" x14ac:dyDescent="0.25">
      <c r="B71" s="106"/>
      <c r="D71" s="393" t="s">
        <v>39</v>
      </c>
      <c r="E71" s="393"/>
      <c r="F71" s="107" t="s">
        <v>47</v>
      </c>
      <c r="G71" s="105">
        <f>+IFERROR(VLOOKUP(F71,$AE$75:$AF$86,2,FALSE),"")</f>
        <v>3</v>
      </c>
      <c r="O71" s="106"/>
      <c r="Q71" s="122" t="s">
        <v>14</v>
      </c>
      <c r="S71" s="105" t="str">
        <f>+IF(F24=0,"",F24)</f>
        <v>Creciente</v>
      </c>
    </row>
    <row r="72" spans="2:45" ht="3.95" customHeight="1" x14ac:dyDescent="0.25">
      <c r="B72" s="106"/>
      <c r="D72" s="112"/>
      <c r="E72" s="112"/>
      <c r="O72" s="106"/>
    </row>
    <row r="73" spans="2:45" x14ac:dyDescent="0.25">
      <c r="B73" s="106"/>
      <c r="D73" s="394" t="s">
        <v>41</v>
      </c>
      <c r="E73" s="394"/>
      <c r="F73" s="395" t="s">
        <v>42</v>
      </c>
      <c r="G73" s="396"/>
      <c r="H73" s="395" t="s">
        <v>43</v>
      </c>
      <c r="I73" s="396"/>
      <c r="J73" s="395" t="s">
        <v>44</v>
      </c>
      <c r="K73" s="396"/>
      <c r="L73" s="395" t="s">
        <v>45</v>
      </c>
      <c r="M73" s="396"/>
      <c r="O73" s="106"/>
      <c r="S73" s="111">
        <f>+IFERROR(VLOOKUP(S74,$AE$75:$AK$86,7,FALSE),"")</f>
        <v>0</v>
      </c>
      <c r="U73" s="111">
        <f>+IFERROR(VLOOKUP(U74,$AE$75:$AK$86,7,FALSE),"")</f>
        <v>0</v>
      </c>
      <c r="W73" s="111">
        <f>+IFERROR(VLOOKUP(W74,$AE$75:$AK$86,7,FALSE),"")</f>
        <v>1</v>
      </c>
      <c r="Y73" s="111">
        <f>+IFERROR(VLOOKUP(Y74,$AE$75:$AK$86,7,FALSE),"")</f>
        <v>1</v>
      </c>
      <c r="AA73" s="111">
        <f>+IFERROR(VLOOKUP(AA74,$AE$75:$AK$86,7,FALSE),"")</f>
        <v>1</v>
      </c>
      <c r="AC73" s="111">
        <f>+IFERROR(VLOOKUP(AC74,$AE$75:$AK$86,7,FALSE),"")</f>
        <v>1</v>
      </c>
      <c r="AL73" s="388" t="s">
        <v>42</v>
      </c>
      <c r="AM73" s="388"/>
      <c r="AN73" s="388" t="s">
        <v>43</v>
      </c>
      <c r="AO73" s="388"/>
      <c r="AP73" s="388" t="s">
        <v>44</v>
      </c>
      <c r="AQ73" s="388"/>
      <c r="AR73" s="388" t="s">
        <v>45</v>
      </c>
      <c r="AS73" s="388"/>
    </row>
    <row r="74" spans="2:45" x14ac:dyDescent="0.25">
      <c r="B74" s="106"/>
      <c r="D74" s="394"/>
      <c r="E74" s="394"/>
      <c r="F74" s="123" t="str">
        <f>+IF($F$24="Decreciente","Max","Min")</f>
        <v>Min</v>
      </c>
      <c r="G74" s="123" t="str">
        <f>+IF($F$24="Decreciente","MIn","Max")</f>
        <v>Max</v>
      </c>
      <c r="H74" s="123" t="str">
        <f>+IF($F$24="Decreciente","Max","Min")</f>
        <v>Min</v>
      </c>
      <c r="I74" s="123" t="str">
        <f>+IF($F$24="Decreciente","MIn","Max")</f>
        <v>Max</v>
      </c>
      <c r="J74" s="123" t="str">
        <f>+IF($F$24="Decreciente","Max","Min")</f>
        <v>Min</v>
      </c>
      <c r="K74" s="123" t="str">
        <f>+IF($F$24="Decreciente","MIn","Max")</f>
        <v>Max</v>
      </c>
      <c r="L74" s="123" t="str">
        <f>+IF($F$24="Decreciente","Max","Min")</f>
        <v>Min</v>
      </c>
      <c r="M74" s="123" t="str">
        <f>+IF($F$24="Decreciente","MIn","Max")</f>
        <v>Max</v>
      </c>
      <c r="O74" s="106"/>
      <c r="S74" s="124" t="s">
        <v>46</v>
      </c>
      <c r="T74" s="124"/>
      <c r="U74" s="124" t="s">
        <v>40</v>
      </c>
      <c r="V74" s="124"/>
      <c r="W74" s="124" t="s">
        <v>47</v>
      </c>
      <c r="X74" s="124"/>
      <c r="Y74" s="124" t="s">
        <v>48</v>
      </c>
      <c r="Z74" s="124"/>
      <c r="AA74" s="124" t="s">
        <v>49</v>
      </c>
      <c r="AB74" s="124"/>
      <c r="AC74" s="124" t="s">
        <v>50</v>
      </c>
      <c r="AL74" s="125" t="s">
        <v>51</v>
      </c>
      <c r="AM74" s="125" t="s">
        <v>52</v>
      </c>
      <c r="AN74" s="125" t="s">
        <v>51</v>
      </c>
      <c r="AO74" s="125" t="s">
        <v>52</v>
      </c>
      <c r="AP74" s="125" t="s">
        <v>51</v>
      </c>
      <c r="AQ74" s="125" t="s">
        <v>52</v>
      </c>
      <c r="AR74" s="125" t="s">
        <v>51</v>
      </c>
      <c r="AS74" s="125" t="s">
        <v>52</v>
      </c>
    </row>
    <row r="75" spans="2:45" x14ac:dyDescent="0.25">
      <c r="B75" s="106"/>
      <c r="D75" s="386" t="s">
        <v>46</v>
      </c>
      <c r="E75" s="386"/>
      <c r="F75" s="126"/>
      <c r="G75" s="126"/>
      <c r="H75" s="126"/>
      <c r="I75" s="126"/>
      <c r="J75" s="126"/>
      <c r="K75" s="126"/>
      <c r="L75" s="126"/>
      <c r="M75" s="126"/>
      <c r="O75" s="106"/>
      <c r="Q75" s="122" t="s">
        <v>1980</v>
      </c>
      <c r="R75" s="111"/>
      <c r="S75" s="127"/>
      <c r="T75" s="111"/>
      <c r="U75" s="127"/>
      <c r="V75" s="111"/>
      <c r="W75" s="127"/>
      <c r="X75" s="111"/>
      <c r="Y75" s="127"/>
      <c r="Z75" s="111"/>
      <c r="AA75" s="127"/>
      <c r="AB75" s="111"/>
      <c r="AC75" s="127"/>
      <c r="AE75" s="105" t="s">
        <v>46</v>
      </c>
      <c r="AF75" s="105">
        <v>1</v>
      </c>
      <c r="AG75" s="105">
        <f>+IF(AF75&gt;=$G$71,1,0)</f>
        <v>0</v>
      </c>
      <c r="AH75" s="105">
        <f>+IF(AG75=0,0,IF(AG75=1,(SUM($AG$75:AG75)-1),1))</f>
        <v>0</v>
      </c>
      <c r="AI75" s="105">
        <f>+IF(AH75=0,0,IF(MOD(AH75,$U$69)=0,1,0))</f>
        <v>0</v>
      </c>
      <c r="AJ75" s="105">
        <f>+IF(AE75=$F$71,1,0)</f>
        <v>0</v>
      </c>
      <c r="AK75" s="105">
        <f>+MAX(AI75:AJ75)</f>
        <v>0</v>
      </c>
      <c r="AL75" s="128" t="str">
        <f>+""</f>
        <v/>
      </c>
      <c r="AM75" s="128" t="str">
        <f>+IF(AK75=0,"",IF(R78="&gt;",S78+0.001,IF(R78="&lt;",S78-0.001,S78)))</f>
        <v/>
      </c>
      <c r="AN75" s="128" t="str">
        <f>+IF(R77="NA","",IF(AK75=0,"",IF(R78="≥",S78-0.001,IF(R78="≤",S78+0.001,S78))))</f>
        <v/>
      </c>
      <c r="AO75" s="128" t="str">
        <f>IF(R77="NA","",IF(AK75=0,"",IF(R77="&gt;",S77+0.001,IF(R77="&lt;",S77-0.001,S77))))</f>
        <v/>
      </c>
      <c r="AP75" s="128" t="str">
        <f>+IF(R76="NA","",IF(AK75=0,"",IF(R77="≥",S77-0.001,IF(R77="≤",S77+0.001,S77))))</f>
        <v/>
      </c>
      <c r="AQ75" s="128" t="str">
        <f>+IF(R76="NA","",IF(AK75=0,"",IF(R76="&gt;",S76+0.001,IF(R76="&lt;",S76-0.001,S76))))</f>
        <v/>
      </c>
      <c r="AR75" s="128" t="str">
        <f>IF(AK75=0,"",IF(R76="≥",S75-0.001,IF(R76="≤",S75+0.001,"")))</f>
        <v/>
      </c>
      <c r="AS75" s="128" t="str">
        <f>+IF(AK75=0,"",IF(R75="=",S75,""))</f>
        <v/>
      </c>
    </row>
    <row r="76" spans="2:45" x14ac:dyDescent="0.25">
      <c r="B76" s="106"/>
      <c r="D76" s="386" t="s">
        <v>40</v>
      </c>
      <c r="E76" s="386"/>
      <c r="F76" s="126"/>
      <c r="G76" s="126"/>
      <c r="H76" s="126"/>
      <c r="I76" s="126"/>
      <c r="J76" s="126"/>
      <c r="K76" s="126"/>
      <c r="L76" s="126"/>
      <c r="M76" s="126"/>
      <c r="O76" s="106"/>
      <c r="Q76" s="122" t="s">
        <v>1981</v>
      </c>
      <c r="R76" s="111"/>
      <c r="S76" s="127"/>
      <c r="T76" s="111"/>
      <c r="U76" s="127"/>
      <c r="V76" s="111"/>
      <c r="W76" s="127"/>
      <c r="X76" s="111"/>
      <c r="Y76" s="127"/>
      <c r="Z76" s="111"/>
      <c r="AA76" s="127"/>
      <c r="AB76" s="111"/>
      <c r="AC76" s="127"/>
      <c r="AE76" s="105" t="s">
        <v>40</v>
      </c>
      <c r="AF76" s="105">
        <v>2</v>
      </c>
      <c r="AG76" s="105">
        <f t="shared" ref="AG76:AG86" si="0">+IF(AF76&gt;=$G$71,1,0)</f>
        <v>0</v>
      </c>
      <c r="AH76" s="105">
        <f>+IF(AG76=0,0,IF(AG76=1,(SUM($AG$75:AG76)-1),1))</f>
        <v>0</v>
      </c>
      <c r="AI76" s="105">
        <f t="shared" ref="AI76:AI86" si="1">+IF(AH76=0,0,IF(MOD(AH76,$U$69)=0,1,0))</f>
        <v>0</v>
      </c>
      <c r="AJ76" s="105">
        <f t="shared" ref="AJ76:AJ86" si="2">+IF(AE76=$F$71,1,0)</f>
        <v>0</v>
      </c>
      <c r="AK76" s="105">
        <f t="shared" ref="AK76:AK86" si="3">+MAX(AI76:AJ76)</f>
        <v>0</v>
      </c>
      <c r="AL76" s="128" t="str">
        <f>+""</f>
        <v/>
      </c>
      <c r="AM76" s="128" t="str">
        <f>+IF(AK76=0,"",IF(T78="&gt;",U78+0.001,IF(T78="&lt;",U78-0.001,U78)))</f>
        <v/>
      </c>
      <c r="AN76" s="128" t="str">
        <f>+IF(T77="NA","",IF(AK76=0,"",IF(T78="≥",U78-0.001,IF(T78="≤",U78+0.001,U78))))</f>
        <v/>
      </c>
      <c r="AO76" s="128" t="str">
        <f>IF(T77="NA","",IF(AK76=0,"",IF(T77="&gt;",U77+0.001,IF(T77="&lt;",U77-0.001,U77))))</f>
        <v/>
      </c>
      <c r="AP76" s="128" t="str">
        <f>+IF(T76="NA","",IF(AK76=0,"",IF(T77="≥",U77-0.001,IF(T77="≤",U77+0.001,U77))))</f>
        <v/>
      </c>
      <c r="AQ76" s="128" t="str">
        <f>+IF(T76="NA","",IF(AK76=0,"",IF(T76="&gt;",U76+0.001,IF(T76="&lt;",U76-0.001,U76))))</f>
        <v/>
      </c>
      <c r="AR76" s="128" t="str">
        <f>IF(AK76=0,"",IF(T76="≥",U75-0.001,IF(T76="≤",U75+0.001,"")))</f>
        <v/>
      </c>
      <c r="AS76" s="128" t="str">
        <f>+IF(AK76=0,"",IF(T75="=",U75,""))</f>
        <v/>
      </c>
    </row>
    <row r="77" spans="2:45" x14ac:dyDescent="0.25">
      <c r="B77" s="106"/>
      <c r="D77" s="386" t="s">
        <v>47</v>
      </c>
      <c r="E77" s="386"/>
      <c r="F77" s="126"/>
      <c r="G77" s="126">
        <v>0.94</v>
      </c>
      <c r="H77" s="126">
        <v>0.94099999999999995</v>
      </c>
      <c r="I77" s="126">
        <v>0.96899999999999997</v>
      </c>
      <c r="J77" s="126">
        <v>0.97</v>
      </c>
      <c r="K77" s="126">
        <v>0.999</v>
      </c>
      <c r="L77" s="126">
        <v>1</v>
      </c>
      <c r="M77" s="126"/>
      <c r="O77" s="106"/>
      <c r="Q77" s="122" t="s">
        <v>1982</v>
      </c>
      <c r="R77" s="111"/>
      <c r="S77" s="127"/>
      <c r="T77" s="111"/>
      <c r="U77" s="127"/>
      <c r="V77" s="111"/>
      <c r="W77" s="127"/>
      <c r="X77" s="111"/>
      <c r="Y77" s="127"/>
      <c r="Z77" s="111"/>
      <c r="AA77" s="127"/>
      <c r="AB77" s="111"/>
      <c r="AC77" s="127"/>
      <c r="AE77" s="105" t="s">
        <v>47</v>
      </c>
      <c r="AF77" s="105">
        <v>3</v>
      </c>
      <c r="AG77" s="105">
        <f t="shared" si="0"/>
        <v>1</v>
      </c>
      <c r="AH77" s="105">
        <f>+IF(AG77=0,0,IF(AG77=1,(SUM($AG$75:AG77)-1),1))</f>
        <v>0</v>
      </c>
      <c r="AI77" s="105">
        <f t="shared" si="1"/>
        <v>0</v>
      </c>
      <c r="AJ77" s="105">
        <f t="shared" si="2"/>
        <v>1</v>
      </c>
      <c r="AK77" s="105">
        <f t="shared" si="3"/>
        <v>1</v>
      </c>
      <c r="AL77" s="128" t="str">
        <f>+""</f>
        <v/>
      </c>
      <c r="AM77" s="128">
        <f>+IF(AK77=0,"",IF(V78="&gt;",W78+0.001,IF(V78="&lt;",W78-0.001,W78)))</f>
        <v>0</v>
      </c>
      <c r="AN77" s="128">
        <f>+IF(V77="NA","",IF(AK77=0,"",IF(V78="≥",W78-0.001,IF(V78="≤",W78+0.001,W78))))</f>
        <v>0</v>
      </c>
      <c r="AO77" s="128">
        <f>IF(V77="NA","",IF(AK77=0,"",IF(V77="&gt;",W77+0.001,IF(V77="&lt;",W77-0.001,W77))))</f>
        <v>0</v>
      </c>
      <c r="AP77" s="128">
        <f>+IF(V76="NA","",IF(AK77=0,"",IF(V77="≥",W77-0.001,IF(V77="≤",W77+0.001,W77))))</f>
        <v>0</v>
      </c>
      <c r="AQ77" s="128">
        <f>+IF(V76="NA","",IF(AK77=0,"",IF(V76="&gt;",W76+0.001,IF(V76="&lt;",W76-0.001,W76))))</f>
        <v>0</v>
      </c>
      <c r="AR77" s="128" t="str">
        <f>IF(AK77=0,"",IF(V76="≥",W75-0.001,IF(V76="≤",W75+0.001,"")))</f>
        <v/>
      </c>
      <c r="AS77" s="128" t="str">
        <f>+IF(AK77=0,"",IF(V75="=",W75,""))</f>
        <v/>
      </c>
    </row>
    <row r="78" spans="2:45" x14ac:dyDescent="0.25">
      <c r="B78" s="106"/>
      <c r="D78" s="386" t="s">
        <v>48</v>
      </c>
      <c r="E78" s="386"/>
      <c r="F78" s="126"/>
      <c r="G78" s="126">
        <v>0.94</v>
      </c>
      <c r="H78" s="126">
        <v>0.94099999999999995</v>
      </c>
      <c r="I78" s="126">
        <v>0.96899999999999997</v>
      </c>
      <c r="J78" s="126">
        <v>0.97</v>
      </c>
      <c r="K78" s="126">
        <v>0.999</v>
      </c>
      <c r="L78" s="126">
        <v>1</v>
      </c>
      <c r="M78" s="126"/>
      <c r="O78" s="106"/>
      <c r="Q78" s="122" t="s">
        <v>1983</v>
      </c>
      <c r="R78" s="111"/>
      <c r="S78" s="127"/>
      <c r="T78" s="111"/>
      <c r="U78" s="127"/>
      <c r="V78" s="111"/>
      <c r="W78" s="127"/>
      <c r="X78" s="111"/>
      <c r="Y78" s="127"/>
      <c r="Z78" s="111"/>
      <c r="AA78" s="127"/>
      <c r="AB78" s="111"/>
      <c r="AC78" s="127"/>
      <c r="AE78" s="105" t="s">
        <v>48</v>
      </c>
      <c r="AF78" s="105">
        <v>4</v>
      </c>
      <c r="AG78" s="105">
        <f t="shared" si="0"/>
        <v>1</v>
      </c>
      <c r="AH78" s="105">
        <f>+IF(AG78=0,0,IF(AG78=1,(SUM($AG$75:AG78)-1),1))</f>
        <v>1</v>
      </c>
      <c r="AI78" s="105">
        <f t="shared" si="1"/>
        <v>1</v>
      </c>
      <c r="AJ78" s="105">
        <f t="shared" si="2"/>
        <v>0</v>
      </c>
      <c r="AK78" s="105">
        <f t="shared" si="3"/>
        <v>1</v>
      </c>
      <c r="AL78" s="128" t="str">
        <f>+""</f>
        <v/>
      </c>
      <c r="AM78" s="128">
        <f>+IF(AK78=0,"",IF(X78="&gt;",Y78+0.001,IF(X78="&lt;",Y78-0.001,Y78)))</f>
        <v>0</v>
      </c>
      <c r="AN78" s="128">
        <f>+IF(X77="NA","",IF(AK78=0,"",IF(X78="≥",Y78-0.001,IF(X78="≤",Y78+0.001,Y78))))</f>
        <v>0</v>
      </c>
      <c r="AO78" s="128">
        <f>IF(X77="NA","",IF(AK78=0,"",IF(X77="&gt;",Y77+0.001,IF(X77="&lt;",Y77-0.001,Y77))))</f>
        <v>0</v>
      </c>
      <c r="AP78" s="128">
        <f>+IF(X76="NA","",IF(AK78=0,"",IF(X77="≥",Y77-0.001,IF(X77="≤",Y77+0.001,Y77))))</f>
        <v>0</v>
      </c>
      <c r="AQ78" s="128">
        <f>+IF(X76="NA","",IF(AK78=0,"",IF(X76="&gt;",Y76+0.001,IF(X76="&lt;",Y76-0.001,Y76))))</f>
        <v>0</v>
      </c>
      <c r="AR78" s="128" t="str">
        <f>IF(AK78=0,"",IF(X76="≥",Y75-0.001,IF(X76="≤",Y75+0.001,"")))</f>
        <v/>
      </c>
      <c r="AS78" s="128" t="str">
        <f>+IF(AK78=0,"",IF(X75="=",Y75,""))</f>
        <v/>
      </c>
    </row>
    <row r="79" spans="2:45" x14ac:dyDescent="0.25">
      <c r="B79" s="106"/>
      <c r="D79" s="386" t="s">
        <v>49</v>
      </c>
      <c r="E79" s="386"/>
      <c r="F79" s="126"/>
      <c r="G79" s="126">
        <v>0.94</v>
      </c>
      <c r="H79" s="126">
        <v>0.94099999999999995</v>
      </c>
      <c r="I79" s="126">
        <v>0.96899999999999997</v>
      </c>
      <c r="J79" s="126">
        <v>0.97</v>
      </c>
      <c r="K79" s="126">
        <v>0.999</v>
      </c>
      <c r="L79" s="126">
        <v>1</v>
      </c>
      <c r="M79" s="126"/>
      <c r="O79" s="106"/>
      <c r="R79" s="111"/>
      <c r="S79" s="111">
        <f>+IFERROR(VLOOKUP(S80,$AE$75:$AK$86,7,FALSE),"")</f>
        <v>1</v>
      </c>
      <c r="U79" s="111">
        <f>+IFERROR(VLOOKUP(U80,$AE$75:$AK$86,7,FALSE),"")</f>
        <v>1</v>
      </c>
      <c r="W79" s="111">
        <f>+IFERROR(VLOOKUP(W80,$AE$75:$AK$86,7,FALSE),"")</f>
        <v>1</v>
      </c>
      <c r="Y79" s="111">
        <f>+IFERROR(VLOOKUP(Y80,$AE$75:$AK$86,7,FALSE),"")</f>
        <v>1</v>
      </c>
      <c r="AA79" s="111">
        <f>+IFERROR(VLOOKUP(AA80,$AE$75:$AK$86,7,FALSE),"")</f>
        <v>1</v>
      </c>
      <c r="AC79" s="111">
        <f>+IFERROR(VLOOKUP(AC80,$AE$75:$AK$86,7,FALSE),"")</f>
        <v>1</v>
      </c>
      <c r="AE79" s="105" t="s">
        <v>49</v>
      </c>
      <c r="AF79" s="105">
        <v>5</v>
      </c>
      <c r="AG79" s="105">
        <f t="shared" si="0"/>
        <v>1</v>
      </c>
      <c r="AH79" s="105">
        <f>+IF(AG79=0,0,IF(AG79=1,(SUM($AG$75:AG79)-1),1))</f>
        <v>2</v>
      </c>
      <c r="AI79" s="105">
        <f t="shared" si="1"/>
        <v>1</v>
      </c>
      <c r="AJ79" s="105">
        <f t="shared" si="2"/>
        <v>0</v>
      </c>
      <c r="AK79" s="105">
        <f t="shared" si="3"/>
        <v>1</v>
      </c>
      <c r="AL79" s="128" t="str">
        <f>+""</f>
        <v/>
      </c>
      <c r="AM79" s="128">
        <f>+IF(AK79=0,"",IF(Z78="&gt;",AA78+0.001,IF(Z78="&lt;",AA78-0.001,AA78)))</f>
        <v>0</v>
      </c>
      <c r="AN79" s="128">
        <f>+IF(Z77="NA","",IF(AK79=0,"",IF(Z78="≥",AA78-0.001,IF(Z78="≤",AA78+0.001,AA78))))</f>
        <v>0</v>
      </c>
      <c r="AO79" s="128">
        <f>IF(Z77="NA","",IF(AK79=0,"",IF(Z77="&gt;",AA77+0.001,IF(Z77="&lt;",AA77-0.001,AA77))))</f>
        <v>0</v>
      </c>
      <c r="AP79" s="128">
        <f>+IF(Z76="NA","",IF(AK79=0,"",IF(Z77="≥",AA77-0.001,IF(Z77="≤",AA77+0.001,AA77))))</f>
        <v>0</v>
      </c>
      <c r="AQ79" s="128">
        <f>+IF(Z76="NA","",IF(AK79=0,"",IF(Z76="&gt;",AA76+0.001,IF(Z76="&lt;",AA76-0.001,AA76))))</f>
        <v>0</v>
      </c>
      <c r="AR79" s="128" t="str">
        <f>IF(AK79=0,"",IF(Z76="≥",AA75-0.001,IF(Z76="≤",AA75+0.001,"")))</f>
        <v/>
      </c>
      <c r="AS79" s="128" t="str">
        <f>+IF(AK79=0,"",IF(Z75="=",AA75,""))</f>
        <v/>
      </c>
    </row>
    <row r="80" spans="2:45" x14ac:dyDescent="0.25">
      <c r="B80" s="106"/>
      <c r="D80" s="386" t="s">
        <v>50</v>
      </c>
      <c r="E80" s="386"/>
      <c r="F80" s="126"/>
      <c r="G80" s="126">
        <v>0.94</v>
      </c>
      <c r="H80" s="126">
        <v>0.94099999999999995</v>
      </c>
      <c r="I80" s="126">
        <v>0.96899999999999997</v>
      </c>
      <c r="J80" s="126">
        <v>0.97</v>
      </c>
      <c r="K80" s="126">
        <v>0.999</v>
      </c>
      <c r="L80" s="126">
        <v>1</v>
      </c>
      <c r="M80" s="126"/>
      <c r="O80" s="106"/>
      <c r="R80" s="111"/>
      <c r="S80" s="124" t="s">
        <v>53</v>
      </c>
      <c r="T80" s="124"/>
      <c r="U80" s="124" t="s">
        <v>54</v>
      </c>
      <c r="V80" s="124"/>
      <c r="W80" s="124" t="s">
        <v>55</v>
      </c>
      <c r="X80" s="124"/>
      <c r="Y80" s="124" t="s">
        <v>56</v>
      </c>
      <c r="Z80" s="124"/>
      <c r="AA80" s="124" t="s">
        <v>57</v>
      </c>
      <c r="AB80" s="124"/>
      <c r="AC80" s="124" t="s">
        <v>58</v>
      </c>
      <c r="AE80" s="105" t="s">
        <v>50</v>
      </c>
      <c r="AF80" s="105">
        <v>6</v>
      </c>
      <c r="AG80" s="105">
        <f t="shared" si="0"/>
        <v>1</v>
      </c>
      <c r="AH80" s="105">
        <f>+IF(AG80=0,0,IF(AG80=1,(SUM($AG$75:AG80)-1),1))</f>
        <v>3</v>
      </c>
      <c r="AI80" s="105">
        <f t="shared" si="1"/>
        <v>1</v>
      </c>
      <c r="AJ80" s="105">
        <f t="shared" si="2"/>
        <v>0</v>
      </c>
      <c r="AK80" s="105">
        <f t="shared" si="3"/>
        <v>1</v>
      </c>
      <c r="AL80" s="128" t="str">
        <f>+""</f>
        <v/>
      </c>
      <c r="AM80" s="128">
        <f>+IF(AK80=0,"",IF(AB78="&gt;",AC78+0.001,IF(AB78="&lt;",AC78-0.001,AC78)))</f>
        <v>0</v>
      </c>
      <c r="AN80" s="128">
        <f>+IF(AB77="NA","",IF(AK80=0,"",IF(AB78="≥",AC78-0.001,IF(AB78="≤",AC78+0.001,AC78))))</f>
        <v>0</v>
      </c>
      <c r="AO80" s="128">
        <f>IF(AB77="NA","",IF(AK80=0,"",IF(AB77="&gt;",AC77+0.001,IF(AB77="&lt;",AC77-0.001,AC77))))</f>
        <v>0</v>
      </c>
      <c r="AP80" s="128">
        <f>+IF(AB76="NA","",IF(AK80=0,"",IF(AB77="≥",AC77-0.001,IF(AB77="≤",AC77+0.001,AC77))))</f>
        <v>0</v>
      </c>
      <c r="AQ80" s="128">
        <f>+IF(AB76="NA","",IF(AK80=0,"",IF(AB76="&gt;",AC76+0.001,IF(AB76="&lt;",AC76-0.001,AC76))))</f>
        <v>0</v>
      </c>
      <c r="AR80" s="128" t="str">
        <f>IF(AK80=0,"",IF(AB76="≥",AC75-0.001,IF(AB76="≤",AC75+0.001,"")))</f>
        <v/>
      </c>
      <c r="AS80" s="128" t="str">
        <f>+IF(AK80=0,"",IF(AB75="=",AC75,""))</f>
        <v/>
      </c>
    </row>
    <row r="81" spans="2:45" x14ac:dyDescent="0.25">
      <c r="B81" s="106"/>
      <c r="D81" s="386" t="s">
        <v>53</v>
      </c>
      <c r="E81" s="386"/>
      <c r="F81" s="126"/>
      <c r="G81" s="126">
        <v>0.94</v>
      </c>
      <c r="H81" s="126">
        <v>0.94099999999999995</v>
      </c>
      <c r="I81" s="126">
        <v>0.96899999999999997</v>
      </c>
      <c r="J81" s="126">
        <v>0.97</v>
      </c>
      <c r="K81" s="126">
        <v>0.999</v>
      </c>
      <c r="L81" s="126">
        <v>1</v>
      </c>
      <c r="M81" s="126"/>
      <c r="O81" s="106"/>
      <c r="Q81" s="122" t="s">
        <v>1980</v>
      </c>
      <c r="R81" s="111"/>
      <c r="S81" s="127"/>
      <c r="T81" s="111"/>
      <c r="U81" s="127"/>
      <c r="V81" s="111"/>
      <c r="W81" s="127"/>
      <c r="X81" s="111"/>
      <c r="Y81" s="127"/>
      <c r="Z81" s="111"/>
      <c r="AA81" s="127"/>
      <c r="AB81" s="111"/>
      <c r="AC81" s="127"/>
      <c r="AE81" s="105" t="s">
        <v>53</v>
      </c>
      <c r="AF81" s="105">
        <v>7</v>
      </c>
      <c r="AG81" s="105">
        <f t="shared" si="0"/>
        <v>1</v>
      </c>
      <c r="AH81" s="105">
        <f>+IF(AG81=0,0,IF(AG81=1,(SUM($AG$75:AG81)-1),1))</f>
        <v>4</v>
      </c>
      <c r="AI81" s="105">
        <f t="shared" si="1"/>
        <v>1</v>
      </c>
      <c r="AJ81" s="105">
        <f t="shared" si="2"/>
        <v>0</v>
      </c>
      <c r="AK81" s="105">
        <f t="shared" si="3"/>
        <v>1</v>
      </c>
      <c r="AL81" s="128" t="str">
        <f>+""</f>
        <v/>
      </c>
      <c r="AM81" s="128">
        <f>+IF(AK81=0,"",IF(R84="&gt;",S84+0.001,IF(R84="&lt;",S84-0.001,S84)))</f>
        <v>0</v>
      </c>
      <c r="AN81" s="128">
        <f>+IF(R83="NA","",IF(AK81=0,"",IF(R84="≥",S84-0.001,IF(R84="≤",S84+0.001,S84))))</f>
        <v>0</v>
      </c>
      <c r="AO81" s="128">
        <f>IF(R83="NA","",IF(AK81=0,"",IF(R83="&gt;",S83+0.001,IF(R83="&lt;",S83-0.001,S83))))</f>
        <v>0</v>
      </c>
      <c r="AP81" s="128">
        <f>+IF(R82="NA","",IF(AK81=0,"",IF(R83="≥",S83-0.001,IF(R83="≤",S83+0.001,S83))))</f>
        <v>0</v>
      </c>
      <c r="AQ81" s="128">
        <f>+IF(R82="NA","",IF(AK81=0,"",IF(R82="&gt;",S82+0.001,IF(R82="&lt;",S82-0.001,S82))))</f>
        <v>0</v>
      </c>
      <c r="AR81" s="128" t="str">
        <f>IF(AK81=0,"",IF(R82="≥",S81-0.001,IF(R82="≤",S81+0.001,"")))</f>
        <v/>
      </c>
      <c r="AS81" s="128" t="str">
        <f>+IF(AK81=0,"",IF(R81="=",S81,""))</f>
        <v/>
      </c>
    </row>
    <row r="82" spans="2:45" x14ac:dyDescent="0.25">
      <c r="B82" s="106"/>
      <c r="D82" s="386" t="s">
        <v>54</v>
      </c>
      <c r="E82" s="386"/>
      <c r="F82" s="126"/>
      <c r="G82" s="126">
        <v>0.94</v>
      </c>
      <c r="H82" s="126">
        <v>0.94099999999999995</v>
      </c>
      <c r="I82" s="126">
        <v>0.96899999999999997</v>
      </c>
      <c r="J82" s="126">
        <v>0.97</v>
      </c>
      <c r="K82" s="126">
        <v>0.999</v>
      </c>
      <c r="L82" s="126">
        <v>1</v>
      </c>
      <c r="M82" s="126"/>
      <c r="O82" s="106"/>
      <c r="Q82" s="122" t="s">
        <v>1981</v>
      </c>
      <c r="R82" s="111"/>
      <c r="S82" s="127"/>
      <c r="T82" s="111"/>
      <c r="U82" s="127"/>
      <c r="V82" s="111"/>
      <c r="W82" s="127"/>
      <c r="X82" s="111"/>
      <c r="Y82" s="127"/>
      <c r="Z82" s="111"/>
      <c r="AA82" s="127"/>
      <c r="AB82" s="111"/>
      <c r="AC82" s="127"/>
      <c r="AE82" s="105" t="s">
        <v>54</v>
      </c>
      <c r="AF82" s="105">
        <v>8</v>
      </c>
      <c r="AG82" s="105">
        <f t="shared" si="0"/>
        <v>1</v>
      </c>
      <c r="AH82" s="105">
        <f>+IF(AG82=0,0,IF(AG82=1,(SUM($AG$75:AG82)-1),1))</f>
        <v>5</v>
      </c>
      <c r="AI82" s="105">
        <f t="shared" si="1"/>
        <v>1</v>
      </c>
      <c r="AJ82" s="105">
        <f t="shared" si="2"/>
        <v>0</v>
      </c>
      <c r="AK82" s="105">
        <f t="shared" si="3"/>
        <v>1</v>
      </c>
      <c r="AL82" s="128" t="str">
        <f>+""</f>
        <v/>
      </c>
      <c r="AM82" s="128">
        <f>+IF(AK82=0,"",IF(T84="&gt;",U84+0.001,IF(T84="&lt;",U84-0.001,U84)))</f>
        <v>0</v>
      </c>
      <c r="AN82" s="128">
        <f>+IF(T83="NA","",IF(AK82=0,"",IF(T84="≥",U84-0.001,IF(T84="≤",U84+0.001,U84))))</f>
        <v>0</v>
      </c>
      <c r="AO82" s="128">
        <f>IF(T83="NA","",IF(AK82=0,"",IF(T83="&gt;",U83+0.001,IF(T83="&lt;",U83-0.001,U83))))</f>
        <v>0</v>
      </c>
      <c r="AP82" s="128">
        <f>+IF(T82="NA","",IF(AK82=0,"",IF(T83="≥",U83-0.001,IF(T83="≤",U83+0.001,U83))))</f>
        <v>0</v>
      </c>
      <c r="AQ82" s="128">
        <f>+IF(T82="NA","",IF(AK82=0,"",IF(T82="&gt;",U82+0.001,IF(T82="&lt;",U82-0.001,U82))))</f>
        <v>0</v>
      </c>
      <c r="AR82" s="128" t="str">
        <f>IF(AK82=0,"",IF(T82="≥",U81-0.001,IF(T82="≤",U81+0.001,"")))</f>
        <v/>
      </c>
      <c r="AS82" s="128" t="str">
        <f>+IF(AK82=0,"",IF(T81="=",U81,""))</f>
        <v/>
      </c>
    </row>
    <row r="83" spans="2:45" x14ac:dyDescent="0.25">
      <c r="B83" s="106"/>
      <c r="D83" s="386" t="s">
        <v>55</v>
      </c>
      <c r="E83" s="386"/>
      <c r="F83" s="126"/>
      <c r="G83" s="126">
        <v>0.94</v>
      </c>
      <c r="H83" s="126">
        <v>0.94099999999999995</v>
      </c>
      <c r="I83" s="126">
        <v>0.96899999999999997</v>
      </c>
      <c r="J83" s="126">
        <v>0.97</v>
      </c>
      <c r="K83" s="126">
        <v>0.999</v>
      </c>
      <c r="L83" s="126">
        <v>1</v>
      </c>
      <c r="M83" s="126"/>
      <c r="O83" s="106"/>
      <c r="Q83" s="122" t="s">
        <v>1982</v>
      </c>
      <c r="R83" s="111"/>
      <c r="S83" s="127"/>
      <c r="T83" s="111"/>
      <c r="U83" s="127"/>
      <c r="V83" s="111"/>
      <c r="W83" s="127"/>
      <c r="X83" s="111"/>
      <c r="Y83" s="127"/>
      <c r="Z83" s="111"/>
      <c r="AA83" s="127"/>
      <c r="AB83" s="111"/>
      <c r="AC83" s="127"/>
      <c r="AE83" s="105" t="s">
        <v>55</v>
      </c>
      <c r="AF83" s="105">
        <v>9</v>
      </c>
      <c r="AG83" s="105">
        <f t="shared" si="0"/>
        <v>1</v>
      </c>
      <c r="AH83" s="105">
        <f>+IF(AG83=0,0,IF(AG83=1,(SUM($AG$75:AG83)-1),1))</f>
        <v>6</v>
      </c>
      <c r="AI83" s="105">
        <f t="shared" si="1"/>
        <v>1</v>
      </c>
      <c r="AJ83" s="105">
        <f t="shared" si="2"/>
        <v>0</v>
      </c>
      <c r="AK83" s="105">
        <f t="shared" si="3"/>
        <v>1</v>
      </c>
      <c r="AL83" s="128" t="str">
        <f>+""</f>
        <v/>
      </c>
      <c r="AM83" s="128">
        <f>+IF(AK83=0,"",IF(V84="&gt;",W84+0.001,IF(V84="&lt;",W84-0.001,W84)))</f>
        <v>0</v>
      </c>
      <c r="AN83" s="128">
        <f>+IF(V83="NA","",IF(AK83=0,"",IF(V84="≥",W84-0.001,IF(V84="≤",W84+0.001,W84))))</f>
        <v>0</v>
      </c>
      <c r="AO83" s="128">
        <f>IF(V83="NA","",IF(AK83=0,"",IF(V83="&gt;",W83+0.001,IF(V83="&lt;",W83-0.001,W83))))</f>
        <v>0</v>
      </c>
      <c r="AP83" s="128">
        <f>+IF(V82="NA","",IF(AK83=0,"",IF(V83="≥",W83-0.001,IF(V83="≤",W83+0.001,W83))))</f>
        <v>0</v>
      </c>
      <c r="AQ83" s="128">
        <f>+IF(V82="NA","",IF(AK83=0,"",IF(V82="&gt;",W82+0.001,IF(V82="&lt;",W82-0.001,W82))))</f>
        <v>0</v>
      </c>
      <c r="AR83" s="128" t="str">
        <f>IF(AK83=0,"",IF(V82="≥",W81-0.001,IF(V82="≤",W81+0.001,"")))</f>
        <v/>
      </c>
      <c r="AS83" s="128" t="str">
        <f>+IF(AK83=0,"",IF(V81="=",W81,""))</f>
        <v/>
      </c>
    </row>
    <row r="84" spans="2:45" x14ac:dyDescent="0.25">
      <c r="B84" s="106"/>
      <c r="D84" s="386" t="s">
        <v>56</v>
      </c>
      <c r="E84" s="386"/>
      <c r="F84" s="126"/>
      <c r="G84" s="126">
        <v>0.94</v>
      </c>
      <c r="H84" s="126">
        <v>0.94099999999999995</v>
      </c>
      <c r="I84" s="126">
        <v>0.96899999999999997</v>
      </c>
      <c r="J84" s="126">
        <v>0.97</v>
      </c>
      <c r="K84" s="126">
        <v>0.999</v>
      </c>
      <c r="L84" s="126">
        <v>1</v>
      </c>
      <c r="M84" s="126"/>
      <c r="O84" s="106"/>
      <c r="Q84" s="122" t="s">
        <v>1983</v>
      </c>
      <c r="R84" s="111"/>
      <c r="S84" s="127"/>
      <c r="T84" s="111"/>
      <c r="U84" s="127"/>
      <c r="V84" s="111"/>
      <c r="W84" s="127"/>
      <c r="X84" s="111"/>
      <c r="Y84" s="127"/>
      <c r="Z84" s="111"/>
      <c r="AA84" s="127"/>
      <c r="AB84" s="111"/>
      <c r="AC84" s="127"/>
      <c r="AE84" s="105" t="s">
        <v>56</v>
      </c>
      <c r="AF84" s="105">
        <v>10</v>
      </c>
      <c r="AG84" s="105">
        <f t="shared" si="0"/>
        <v>1</v>
      </c>
      <c r="AH84" s="105">
        <f>+IF(AG84=0,0,IF(AG84=1,(SUM($AG$75:AG84)-1),1))</f>
        <v>7</v>
      </c>
      <c r="AI84" s="105">
        <f t="shared" si="1"/>
        <v>1</v>
      </c>
      <c r="AJ84" s="105">
        <f t="shared" si="2"/>
        <v>0</v>
      </c>
      <c r="AK84" s="105">
        <f t="shared" si="3"/>
        <v>1</v>
      </c>
      <c r="AL84" s="128" t="str">
        <f>+""</f>
        <v/>
      </c>
      <c r="AM84" s="128">
        <f>+IF(AK84=0,"",IF(X84="&gt;",Y84+0.001,IF(X84="&lt;",Y84-0.001,Y84)))</f>
        <v>0</v>
      </c>
      <c r="AN84" s="128">
        <f>+IF(X83="NA","",IF(AK84=0,"",IF(X84="≥",Y84-0.001,IF(X84="≤",Y84+0.001,Y84))))</f>
        <v>0</v>
      </c>
      <c r="AO84" s="128">
        <f>IF(X83="NA","",IF(AK84=0,"",IF(X83="&gt;",Y83+0.001,IF(X83="&lt;",Y83-0.001,Y83))))</f>
        <v>0</v>
      </c>
      <c r="AP84" s="128">
        <f>+IF(X82="NA","",IF(AK84=0,"",IF(X83="≥",Y83-0.001,IF(X83="≤",Y83+0.001,Y83))))</f>
        <v>0</v>
      </c>
      <c r="AQ84" s="128">
        <f>+IF(X82="NA","",IF(AK84=0,"",IF(X82="&gt;",Y82+0.001,IF(X82="&lt;",Y82-0.001,Y82))))</f>
        <v>0</v>
      </c>
      <c r="AR84" s="128" t="str">
        <f>IF(AK84=0,"",IF(X82="≥",Y81-0.001,IF(X82="≤",Y81+0.001,"")))</f>
        <v/>
      </c>
      <c r="AS84" s="128" t="str">
        <f>+IF(AK84=0,"",IF(X81="=",Y81,""))</f>
        <v/>
      </c>
    </row>
    <row r="85" spans="2:45" x14ac:dyDescent="0.25">
      <c r="B85" s="106"/>
      <c r="D85" s="386" t="s">
        <v>57</v>
      </c>
      <c r="E85" s="386"/>
      <c r="F85" s="126"/>
      <c r="G85" s="126">
        <v>0.94</v>
      </c>
      <c r="H85" s="126">
        <v>0.94099999999999995</v>
      </c>
      <c r="I85" s="126">
        <v>0.96899999999999997</v>
      </c>
      <c r="J85" s="126">
        <v>0.97</v>
      </c>
      <c r="K85" s="126">
        <v>0.999</v>
      </c>
      <c r="L85" s="126">
        <v>1</v>
      </c>
      <c r="M85" s="126"/>
      <c r="O85" s="106"/>
      <c r="AE85" s="105" t="s">
        <v>57</v>
      </c>
      <c r="AF85" s="105">
        <v>11</v>
      </c>
      <c r="AG85" s="105">
        <f t="shared" si="0"/>
        <v>1</v>
      </c>
      <c r="AH85" s="105">
        <f>+IF(AG85=0,0,IF(AG85=1,(SUM($AG$75:AG85)-1),1))</f>
        <v>8</v>
      </c>
      <c r="AI85" s="105">
        <f t="shared" si="1"/>
        <v>1</v>
      </c>
      <c r="AJ85" s="105">
        <f t="shared" si="2"/>
        <v>0</v>
      </c>
      <c r="AK85" s="105">
        <f t="shared" si="3"/>
        <v>1</v>
      </c>
      <c r="AL85" s="128" t="str">
        <f>+""</f>
        <v/>
      </c>
      <c r="AM85" s="128">
        <f>+IF(AK85=0,"",IF(Z84="&gt;",AA84+0.001,IF(Z84="&lt;",AA84-0.001,AA84)))</f>
        <v>0</v>
      </c>
      <c r="AN85" s="128">
        <f>+IF(Z83="NA","",IF(AK85=0,"",IF(Z84="≥",AA84-0.001,IF(Z84="≤",AA84+0.001,AA84))))</f>
        <v>0</v>
      </c>
      <c r="AO85" s="128">
        <f>IF(Z83="NA","",IF(AK85=0,"",IF(Z83="&gt;",AA83+0.001,IF(Z83="&lt;",AA83-0.001,AA83))))</f>
        <v>0</v>
      </c>
      <c r="AP85" s="128">
        <f>+IF(Z82="NA","",IF(AK85=0,"",IF(Z83="≥",AA83-0.001,IF(Z83="≤",AA83+0.001,AA83))))</f>
        <v>0</v>
      </c>
      <c r="AQ85" s="128">
        <f>+IF(Z82="NA","",IF(AK85=0,"",IF(Z82="&gt;",AA82+0.001,IF(Z82="&lt;",AA82-0.001,AA82))))</f>
        <v>0</v>
      </c>
      <c r="AR85" s="128" t="str">
        <f>IF(AK85=0,"",IF(Z82="≥",AA81-0.001,IF(Z82="≤",AA81+0.001,"")))</f>
        <v/>
      </c>
      <c r="AS85" s="128" t="str">
        <f>+IF(AK85=0,"",IF(Z81="=",AA81,""))</f>
        <v/>
      </c>
    </row>
    <row r="86" spans="2:45" x14ac:dyDescent="0.25">
      <c r="B86" s="106"/>
      <c r="D86" s="386" t="s">
        <v>58</v>
      </c>
      <c r="E86" s="386"/>
      <c r="F86" s="126"/>
      <c r="G86" s="126">
        <v>0.94</v>
      </c>
      <c r="H86" s="126">
        <v>0.94099999999999995</v>
      </c>
      <c r="I86" s="126">
        <v>0.96899999999999997</v>
      </c>
      <c r="J86" s="126">
        <v>0.97</v>
      </c>
      <c r="K86" s="126">
        <v>0.999</v>
      </c>
      <c r="L86" s="126">
        <v>1</v>
      </c>
      <c r="M86" s="126"/>
      <c r="O86" s="106"/>
      <c r="AE86" s="105" t="s">
        <v>58</v>
      </c>
      <c r="AF86" s="129">
        <v>12</v>
      </c>
      <c r="AG86" s="105">
        <f t="shared" si="0"/>
        <v>1</v>
      </c>
      <c r="AH86" s="105">
        <f>+IF(AG86=0,0,IF(AG86=1,(SUM($AG$75:AG86)-1),1))</f>
        <v>9</v>
      </c>
      <c r="AI86" s="105">
        <f t="shared" si="1"/>
        <v>1</v>
      </c>
      <c r="AJ86" s="105">
        <f t="shared" si="2"/>
        <v>0</v>
      </c>
      <c r="AK86" s="105">
        <f t="shared" si="3"/>
        <v>1</v>
      </c>
      <c r="AL86" s="128" t="str">
        <f>+""</f>
        <v/>
      </c>
      <c r="AM86" s="128">
        <f>+IF(AK86=0,"",IF(AB84="&gt;",AC84+0.001,IF(AB84="&lt;",AC84-0.001,AC84)))</f>
        <v>0</v>
      </c>
      <c r="AN86" s="128">
        <f>+IF(AB83="NA","",IF(AK86=0,"",IF(AB84="≥",AC84-0.001,IF(AB84="≤",AC84+0.001,AC84))))</f>
        <v>0</v>
      </c>
      <c r="AO86" s="128">
        <f>IF(AB83="NA","",IF(AK86=0,"",IF(AB83="&gt;",AC83+0.001,IF(AB83="&lt;",AC83-0.001,AC83))))</f>
        <v>0</v>
      </c>
      <c r="AP86" s="128">
        <f>+IF(AB82="NA","",IF(AK86=0,"",IF(AB83="≥",AC83-0.001,IF(AB83="≤",AC83+0.001,AC83))))</f>
        <v>0</v>
      </c>
      <c r="AQ86" s="128">
        <f>+IF(AB82="NA","",IF(AK86=0,"",IF(AB82="&gt;",AC82+0.001,IF(AB82="&lt;",AC82-0.001,AC82))))</f>
        <v>0</v>
      </c>
      <c r="AR86" s="128" t="str">
        <f>IF(AK86=0,"",IF(AB82="≥",AC81-0.001,IF(AB82="≤",AC81+0.001,"")))</f>
        <v/>
      </c>
      <c r="AS86" s="128" t="str">
        <f>+IF(AK86=0,"",IF(AB81="=",AC81,""))</f>
        <v/>
      </c>
    </row>
    <row r="87" spans="2:45" ht="3.75" customHeight="1" x14ac:dyDescent="0.25">
      <c r="B87" s="106"/>
      <c r="O87" s="106"/>
      <c r="AR87" s="128" t="str">
        <f>IF(AK87=0,"",IF(S83="Creciente",IF(R88="≥",S88-0.001,""),IF(R88="≤",S88+0.001,"")))</f>
        <v/>
      </c>
    </row>
    <row r="88" spans="2:45" ht="66" customHeight="1" x14ac:dyDescent="0.25">
      <c r="B88" s="106"/>
      <c r="D88" s="378" t="s">
        <v>59</v>
      </c>
      <c r="E88" s="379"/>
      <c r="F88" s="380" t="s">
        <v>2079</v>
      </c>
      <c r="G88" s="381"/>
      <c r="H88" s="381"/>
      <c r="I88" s="381"/>
      <c r="J88" s="381"/>
      <c r="K88" s="381"/>
      <c r="L88" s="381"/>
      <c r="M88" s="382"/>
      <c r="O88" s="106"/>
    </row>
    <row r="89" spans="2:45" ht="3.95" customHeight="1" x14ac:dyDescent="0.25">
      <c r="B89" s="106"/>
      <c r="O89" s="106"/>
    </row>
    <row r="90" spans="2:45" ht="3" customHeight="1" x14ac:dyDescent="0.25">
      <c r="B90" s="106"/>
      <c r="C90" s="106"/>
      <c r="D90" s="106"/>
      <c r="E90" s="106"/>
      <c r="F90" s="106"/>
      <c r="G90" s="106"/>
      <c r="H90" s="106"/>
      <c r="I90" s="106"/>
      <c r="J90" s="106"/>
      <c r="K90" s="106"/>
      <c r="L90" s="106"/>
      <c r="M90" s="106"/>
      <c r="N90" s="106"/>
      <c r="O90" s="106"/>
    </row>
    <row r="91" spans="2:45" ht="3" customHeight="1" x14ac:dyDescent="0.25"/>
    <row r="92" spans="2:45" ht="3" customHeight="1" x14ac:dyDescent="0.25">
      <c r="B92" s="106"/>
      <c r="C92" s="106"/>
      <c r="D92" s="106"/>
      <c r="E92" s="106"/>
      <c r="F92" s="106"/>
      <c r="G92" s="106"/>
      <c r="H92" s="106"/>
      <c r="I92" s="106"/>
      <c r="J92" s="106"/>
      <c r="K92" s="106"/>
      <c r="L92" s="106"/>
      <c r="M92" s="106"/>
      <c r="N92" s="106"/>
      <c r="O92" s="106"/>
    </row>
    <row r="93" spans="2:45" ht="3.95" customHeight="1" x14ac:dyDescent="0.25">
      <c r="B93" s="106"/>
      <c r="O93" s="106"/>
    </row>
    <row r="94" spans="2:45" x14ac:dyDescent="0.25">
      <c r="B94" s="106"/>
      <c r="D94" s="112" t="s">
        <v>60</v>
      </c>
      <c r="O94" s="106"/>
    </row>
    <row r="95" spans="2:45" ht="3.95" customHeight="1" x14ac:dyDescent="0.25">
      <c r="B95" s="106"/>
      <c r="O95" s="106"/>
    </row>
    <row r="96" spans="2:45" ht="20.100000000000001" customHeight="1" x14ac:dyDescent="0.25">
      <c r="B96" s="106"/>
      <c r="D96" s="387" t="s">
        <v>61</v>
      </c>
      <c r="E96" s="387"/>
      <c r="O96" s="106"/>
    </row>
    <row r="97" spans="2:15" ht="30" customHeight="1" x14ac:dyDescent="0.25">
      <c r="B97" s="106"/>
      <c r="D97" s="369" t="s">
        <v>35</v>
      </c>
      <c r="E97" s="369"/>
      <c r="F97" s="370" t="str">
        <f>+IFERROR(VLOOKUP($S$12,[1]Hoja1!$B$5:$AT$190,29,FALSE),"")</f>
        <v>Reportes de Ejecucion Presupuestal SIIF</v>
      </c>
      <c r="G97" s="370"/>
      <c r="H97" s="370"/>
      <c r="I97" s="370"/>
      <c r="J97" s="370"/>
      <c r="K97" s="370"/>
      <c r="L97" s="370"/>
      <c r="M97" s="370"/>
      <c r="O97" s="106"/>
    </row>
    <row r="98" spans="2:15" ht="30" customHeight="1" x14ac:dyDescent="0.25">
      <c r="B98" s="106"/>
      <c r="D98" s="369" t="s">
        <v>36</v>
      </c>
      <c r="E98" s="369"/>
      <c r="F98" s="370" t="s">
        <v>1984</v>
      </c>
      <c r="G98" s="370"/>
      <c r="H98" s="370"/>
      <c r="I98" s="370"/>
      <c r="J98" s="370"/>
      <c r="K98" s="370"/>
      <c r="L98" s="370"/>
      <c r="M98" s="370"/>
      <c r="O98" s="106"/>
    </row>
    <row r="99" spans="2:15" ht="3.95" customHeight="1" x14ac:dyDescent="0.25">
      <c r="B99" s="106"/>
      <c r="O99" s="106"/>
    </row>
    <row r="100" spans="2:15" ht="58.5" customHeight="1" x14ac:dyDescent="0.25">
      <c r="B100" s="106"/>
      <c r="D100" s="378" t="s">
        <v>62</v>
      </c>
      <c r="E100" s="379"/>
      <c r="F100" s="383"/>
      <c r="G100" s="384"/>
      <c r="H100" s="384"/>
      <c r="I100" s="384"/>
      <c r="J100" s="384"/>
      <c r="K100" s="384"/>
      <c r="L100" s="384"/>
      <c r="M100" s="385"/>
      <c r="O100" s="106"/>
    </row>
    <row r="101" spans="2:15" ht="3.95" customHeight="1" x14ac:dyDescent="0.25">
      <c r="B101" s="106"/>
      <c r="O101" s="106"/>
    </row>
    <row r="102" spans="2:15" ht="19.5" customHeight="1" x14ac:dyDescent="0.25">
      <c r="B102" s="106"/>
      <c r="D102" s="371" t="s">
        <v>64</v>
      </c>
      <c r="E102" s="372"/>
      <c r="F102" s="130" t="s">
        <v>65</v>
      </c>
      <c r="G102" s="107" t="s">
        <v>2</v>
      </c>
      <c r="K102" s="131"/>
      <c r="O102" s="106"/>
    </row>
    <row r="103" spans="2:15" ht="19.5" customHeight="1" x14ac:dyDescent="0.25">
      <c r="B103" s="106"/>
      <c r="D103" s="373"/>
      <c r="E103" s="374"/>
      <c r="F103" s="130" t="s">
        <v>66</v>
      </c>
      <c r="G103" s="132"/>
      <c r="K103" s="133"/>
      <c r="O103" s="106"/>
    </row>
    <row r="104" spans="2:15" ht="27.75" customHeight="1" x14ac:dyDescent="0.25">
      <c r="B104" s="106"/>
      <c r="D104" s="373"/>
      <c r="E104" s="374"/>
      <c r="F104" s="130" t="s">
        <v>67</v>
      </c>
      <c r="G104" s="375"/>
      <c r="H104" s="376"/>
      <c r="I104" s="376"/>
      <c r="J104" s="376"/>
      <c r="K104" s="376"/>
      <c r="L104" s="376"/>
      <c r="M104" s="377"/>
      <c r="O104" s="106"/>
    </row>
    <row r="105" spans="2:15" ht="3.95" customHeight="1" x14ac:dyDescent="0.25">
      <c r="B105" s="106"/>
      <c r="O105" s="106"/>
    </row>
    <row r="106" spans="2:15" ht="229.5" customHeight="1" x14ac:dyDescent="0.25">
      <c r="B106" s="106"/>
      <c r="D106" s="378" t="s">
        <v>68</v>
      </c>
      <c r="E106" s="379"/>
      <c r="F106" s="380" t="s">
        <v>102</v>
      </c>
      <c r="G106" s="381"/>
      <c r="H106" s="381"/>
      <c r="I106" s="381"/>
      <c r="J106" s="381"/>
      <c r="K106" s="381"/>
      <c r="L106" s="381"/>
      <c r="M106" s="382"/>
      <c r="O106" s="106"/>
    </row>
    <row r="107" spans="2:15" ht="3.95" customHeight="1" x14ac:dyDescent="0.25">
      <c r="B107" s="106"/>
      <c r="O107" s="106"/>
    </row>
    <row r="108" spans="2:15" ht="17.25" customHeight="1" x14ac:dyDescent="0.25">
      <c r="B108" s="106"/>
      <c r="D108" s="371" t="s">
        <v>2040</v>
      </c>
      <c r="E108" s="372"/>
      <c r="F108" s="130" t="s">
        <v>2041</v>
      </c>
      <c r="G108" s="375" t="str">
        <f>+VLOOKUP(H10,tablero!$P$5:$R$201,3,FALSE)</f>
        <v xml:space="preserve">Director(a) Información y Tecnología </v>
      </c>
      <c r="H108" s="376"/>
      <c r="I108" s="376"/>
      <c r="J108" s="376"/>
      <c r="K108" s="376"/>
      <c r="L108" s="376"/>
      <c r="M108" s="377"/>
      <c r="O108" s="106"/>
    </row>
    <row r="109" spans="2:15" ht="17.25" customHeight="1" x14ac:dyDescent="0.25">
      <c r="B109" s="106"/>
      <c r="D109" s="373"/>
      <c r="E109" s="374"/>
      <c r="F109" s="130" t="s">
        <v>2042</v>
      </c>
      <c r="G109" s="375" t="str">
        <f>+IF(M23="Si","Coordinador(a) Planeación y Sistemas","")</f>
        <v/>
      </c>
      <c r="H109" s="376"/>
      <c r="I109" s="376"/>
      <c r="J109" s="376"/>
      <c r="K109" s="376"/>
      <c r="L109" s="376"/>
      <c r="M109" s="377"/>
      <c r="O109" s="106"/>
    </row>
    <row r="110" spans="2:15" ht="17.25" customHeight="1" x14ac:dyDescent="0.25">
      <c r="B110" s="106"/>
      <c r="D110" s="373"/>
      <c r="E110" s="374"/>
      <c r="F110" s="130" t="s">
        <v>2043</v>
      </c>
      <c r="G110" s="375" t="str">
        <f>+IF(M24="Si","Coordinador(a) Centro Zonal","")</f>
        <v/>
      </c>
      <c r="H110" s="376"/>
      <c r="I110" s="376"/>
      <c r="J110" s="376"/>
      <c r="K110" s="376"/>
      <c r="L110" s="376"/>
      <c r="M110" s="377"/>
      <c r="O110" s="106"/>
    </row>
    <row r="111" spans="2:15" ht="3.95" customHeight="1" x14ac:dyDescent="0.25">
      <c r="B111" s="106"/>
      <c r="O111" s="106"/>
    </row>
    <row r="112" spans="2:15" ht="3" customHeight="1" x14ac:dyDescent="0.25">
      <c r="B112" s="106"/>
      <c r="C112" s="106"/>
      <c r="D112" s="106"/>
      <c r="E112" s="106"/>
      <c r="F112" s="106"/>
      <c r="G112" s="106"/>
      <c r="H112" s="106"/>
      <c r="I112" s="106"/>
      <c r="J112" s="106"/>
      <c r="K112" s="106"/>
      <c r="L112" s="106"/>
      <c r="M112" s="106"/>
      <c r="N112" s="106"/>
      <c r="O112" s="106"/>
    </row>
    <row r="113" spans="13:13" x14ac:dyDescent="0.25">
      <c r="M113" s="121" t="s">
        <v>70</v>
      </c>
    </row>
  </sheetData>
  <mergeCells count="85">
    <mergeCell ref="C3:N5"/>
    <mergeCell ref="D10:E10"/>
    <mergeCell ref="D12:E12"/>
    <mergeCell ref="F12:M12"/>
    <mergeCell ref="D14:E14"/>
    <mergeCell ref="F14:M14"/>
    <mergeCell ref="D22:E22"/>
    <mergeCell ref="G22:H22"/>
    <mergeCell ref="K22:L22"/>
    <mergeCell ref="D23:E23"/>
    <mergeCell ref="G23:H23"/>
    <mergeCell ref="K23:L23"/>
    <mergeCell ref="D24:E24"/>
    <mergeCell ref="G24:H24"/>
    <mergeCell ref="K24:L24"/>
    <mergeCell ref="D25:E25"/>
    <mergeCell ref="D29:E29"/>
    <mergeCell ref="F29:M29"/>
    <mergeCell ref="D30:E31"/>
    <mergeCell ref="G30:M30"/>
    <mergeCell ref="G31:M31"/>
    <mergeCell ref="D32:E33"/>
    <mergeCell ref="G32:M32"/>
    <mergeCell ref="G33:M33"/>
    <mergeCell ref="D34:E35"/>
    <mergeCell ref="G34:M34"/>
    <mergeCell ref="G35:M35"/>
    <mergeCell ref="D43:E43"/>
    <mergeCell ref="D44:E45"/>
    <mergeCell ref="G44:M44"/>
    <mergeCell ref="G45:M45"/>
    <mergeCell ref="D46:E47"/>
    <mergeCell ref="G46:M46"/>
    <mergeCell ref="G47:M47"/>
    <mergeCell ref="D48:E49"/>
    <mergeCell ref="G48:M48"/>
    <mergeCell ref="G49:M49"/>
    <mergeCell ref="D51:E51"/>
    <mergeCell ref="G51:H51"/>
    <mergeCell ref="D59:E59"/>
    <mergeCell ref="F59:M59"/>
    <mergeCell ref="D60:E60"/>
    <mergeCell ref="F60:M60"/>
    <mergeCell ref="D82:E82"/>
    <mergeCell ref="D83:E83"/>
    <mergeCell ref="D61:E61"/>
    <mergeCell ref="F61:M61"/>
    <mergeCell ref="D67:E67"/>
    <mergeCell ref="D71:E71"/>
    <mergeCell ref="D73:E74"/>
    <mergeCell ref="F73:G73"/>
    <mergeCell ref="H73:I73"/>
    <mergeCell ref="J73:K73"/>
    <mergeCell ref="L73:M73"/>
    <mergeCell ref="D77:E77"/>
    <mergeCell ref="D78:E78"/>
    <mergeCell ref="D79:E79"/>
    <mergeCell ref="D80:E80"/>
    <mergeCell ref="D81:E81"/>
    <mergeCell ref="AR73:AS73"/>
    <mergeCell ref="D75:E75"/>
    <mergeCell ref="D76:E76"/>
    <mergeCell ref="AL73:AM73"/>
    <mergeCell ref="AN73:AO73"/>
    <mergeCell ref="AP73:AQ73"/>
    <mergeCell ref="D84:E84"/>
    <mergeCell ref="D85:E85"/>
    <mergeCell ref="D86:E86"/>
    <mergeCell ref="D88:E88"/>
    <mergeCell ref="F97:M97"/>
    <mergeCell ref="D96:E96"/>
    <mergeCell ref="D97:E97"/>
    <mergeCell ref="F88:M88"/>
    <mergeCell ref="D98:E98"/>
    <mergeCell ref="F98:M98"/>
    <mergeCell ref="D108:E110"/>
    <mergeCell ref="G108:M108"/>
    <mergeCell ref="G109:M109"/>
    <mergeCell ref="G110:M110"/>
    <mergeCell ref="D102:E104"/>
    <mergeCell ref="G104:M104"/>
    <mergeCell ref="D106:E106"/>
    <mergeCell ref="F106:M106"/>
    <mergeCell ref="D100:E100"/>
    <mergeCell ref="F100:M100"/>
  </mergeCells>
  <conditionalFormatting sqref="F44:M49">
    <cfRule type="expression" dxfId="780" priority="34">
      <formula>+IF($F$43="no",1,0)</formula>
    </cfRule>
  </conditionalFormatting>
  <conditionalFormatting sqref="F32:M33">
    <cfRule type="expression" dxfId="779" priority="33">
      <formula>+IF($Q$30="NA",1,0)</formula>
    </cfRule>
  </conditionalFormatting>
  <conditionalFormatting sqref="F33:M33">
    <cfRule type="expression" dxfId="778" priority="32">
      <formula>+IF($Q$33=0,1,0)</formula>
    </cfRule>
  </conditionalFormatting>
  <conditionalFormatting sqref="F47:M47">
    <cfRule type="expression" dxfId="777" priority="31">
      <formula>+IF($Q$47=0,1,0)</formula>
    </cfRule>
  </conditionalFormatting>
  <conditionalFormatting sqref="AA75:AA78">
    <cfRule type="expression" dxfId="776" priority="26">
      <formula>+IF(AA$73=0,1,0)</formula>
    </cfRule>
  </conditionalFormatting>
  <conditionalFormatting sqref="AC75:AC78">
    <cfRule type="expression" dxfId="775" priority="25">
      <formula>+IF(AC$73=0,1,0)</formula>
    </cfRule>
  </conditionalFormatting>
  <conditionalFormatting sqref="S81:S84">
    <cfRule type="expression" dxfId="774" priority="24">
      <formula>+IF(S$79=0,1,0)</formula>
    </cfRule>
  </conditionalFormatting>
  <conditionalFormatting sqref="U81:U84">
    <cfRule type="expression" dxfId="773" priority="23">
      <formula>+IF(U$79=0,1,0)</formula>
    </cfRule>
  </conditionalFormatting>
  <conditionalFormatting sqref="W81:W84">
    <cfRule type="expression" dxfId="772" priority="22">
      <formula>+IF(W$79=0,1,0)</formula>
    </cfRule>
  </conditionalFormatting>
  <conditionalFormatting sqref="Y81:Y84">
    <cfRule type="expression" dxfId="771" priority="21">
      <formula>+IF(Y$79=0,1,0)</formula>
    </cfRule>
  </conditionalFormatting>
  <conditionalFormatting sqref="AA81:AA84">
    <cfRule type="expression" dxfId="770" priority="20">
      <formula>+IF(AA$79=0,1,0)</formula>
    </cfRule>
  </conditionalFormatting>
  <conditionalFormatting sqref="AC81:AC84">
    <cfRule type="expression" dxfId="769" priority="19">
      <formula>+IF(AC$79=0,1,0)</formula>
    </cfRule>
  </conditionalFormatting>
  <conditionalFormatting sqref="F73:G73">
    <cfRule type="cellIs" dxfId="768" priority="17" operator="equal">
      <formula>"optimo"</formula>
    </cfRule>
    <cfRule type="cellIs" dxfId="767" priority="18" operator="equal">
      <formula>"critico"</formula>
    </cfRule>
  </conditionalFormatting>
  <conditionalFormatting sqref="H73:I73">
    <cfRule type="cellIs" dxfId="766" priority="15" operator="equal">
      <formula>"Adecuado"</formula>
    </cfRule>
    <cfRule type="cellIs" dxfId="765" priority="16" operator="equal">
      <formula>"en riesgo"</formula>
    </cfRule>
  </conditionalFormatting>
  <conditionalFormatting sqref="J73:K73">
    <cfRule type="cellIs" dxfId="764" priority="13" operator="equal">
      <formula>"Adecuado"</formula>
    </cfRule>
    <cfRule type="cellIs" dxfId="763" priority="14" operator="equal">
      <formula>"en riesgo"</formula>
    </cfRule>
  </conditionalFormatting>
  <conditionalFormatting sqref="L73:M73">
    <cfRule type="cellIs" dxfId="762" priority="11" operator="equal">
      <formula>"optimo"</formula>
    </cfRule>
    <cfRule type="cellIs" dxfId="761" priority="12" operator="equal">
      <formula>"critico"</formula>
    </cfRule>
  </conditionalFormatting>
  <conditionalFormatting sqref="F75:M76">
    <cfRule type="expression" dxfId="760" priority="10">
      <formula>+IF($AK75=0,1)</formula>
    </cfRule>
  </conditionalFormatting>
  <conditionalFormatting sqref="F103:G104">
    <cfRule type="expression" dxfId="759" priority="9">
      <formula>+IF($G$102="No",1,0)</formula>
    </cfRule>
  </conditionalFormatting>
  <conditionalFormatting sqref="F51">
    <cfRule type="expression" dxfId="758" priority="8">
      <formula>+IF($F$43="no",1,0)</formula>
    </cfRule>
  </conditionalFormatting>
  <conditionalFormatting sqref="I51">
    <cfRule type="expression" dxfId="757" priority="7">
      <formula>+IF($F$51="no",1,0)</formula>
    </cfRule>
  </conditionalFormatting>
  <conditionalFormatting sqref="F77:F86 M77:M86">
    <cfRule type="expression" dxfId="756" priority="2">
      <formula>+IF($AK77=0,1)</formula>
    </cfRule>
  </conditionalFormatting>
  <conditionalFormatting sqref="G77:L86">
    <cfRule type="expression" dxfId="755" priority="1">
      <formula>+IF($AK77=0,1)</formula>
    </cfRule>
  </conditionalFormatting>
  <dataValidations count="13">
    <dataValidation type="list" allowBlank="1" showInputMessage="1" showErrorMessage="1" sqref="F25">
      <formula1>dimen</formula1>
    </dataValidation>
    <dataValidation type="list" allowBlank="1" showInputMessage="1" showErrorMessage="1" sqref="G49:M49">
      <formula1>proyectos</formula1>
    </dataValidation>
    <dataValidation type="list" allowBlank="1" showInputMessage="1" showErrorMessage="1" sqref="F71">
      <formula1>$D$75:$D$86</formula1>
    </dataValidation>
    <dataValidation type="list" allowBlank="1" showInputMessage="1" showErrorMessage="1" sqref="I24">
      <formula1>ambito</formula1>
    </dataValidation>
    <dataValidation type="list" allowBlank="1" showInputMessage="1" showErrorMessage="1" sqref="I23">
      <formula1>medidas</formula1>
    </dataValidation>
    <dataValidation type="list" allowBlank="1" showInputMessage="1" showErrorMessage="1" sqref="F24">
      <formula1>tendencia</formula1>
    </dataValidation>
    <dataValidation type="list" allowBlank="1" showInputMessage="1" showErrorMessage="1" sqref="G47:M47">
      <formula1>INDIRECT($Q$45)</formula1>
    </dataValidation>
    <dataValidation type="list" allowBlank="1" showInputMessage="1" showErrorMessage="1" sqref="G45:M45">
      <formula1>lineas</formula1>
    </dataValidation>
    <dataValidation type="list" allowBlank="1" showInputMessage="1" showErrorMessage="1" sqref="G31:M31">
      <formula1>macroproceso</formula1>
    </dataValidation>
    <dataValidation type="list" allowBlank="1" showInputMessage="1" showErrorMessage="1" sqref="G33:M33">
      <formula1>INDIRECT($Q$30)</formula1>
    </dataValidation>
    <dataValidation type="list" allowBlank="1" showInputMessage="1" showErrorMessage="1" sqref="F35:G35">
      <formula1>macroprocesos</formula1>
    </dataValidation>
    <dataValidation type="list" allowBlank="1" showInputMessage="1" showErrorMessage="1" sqref="F29:M29">
      <formula1>objetivos</formula1>
    </dataValidation>
    <dataValidation type="list" allowBlank="1" showInputMessage="1" showErrorMessage="1" sqref="G102 F43 F51">
      <formula1>$S$4:$S$5</formula1>
    </dataValidation>
  </dataValidations>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[1]Hoja1!#REF!</xm:f>
          </x14:formula1>
          <xm:sqref>S12</xm:sqref>
        </x14:dataValidation>
        <x14:dataValidation type="list" allowBlank="1" showInputMessage="1" showErrorMessage="1">
          <x14:formula1>
            <xm:f>[1]base!#REF!</xm:f>
          </x14:formula1>
          <xm:sqref>R75:R78 T75:T78 V75:V78 X75:X78 Z75:Z78 AB75:AB78 T81:T84 Z81:Z84 R81:R84 V81:V84 X81:X84 AB81:AB84 F23</xm:sqref>
        </x14:dataValidation>
      </x14:dataValidations>
    </ext>
  </extLst>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1">
    <tabColor rgb="FF0070C0"/>
  </sheetPr>
  <dimension ref="B1:AV113"/>
  <sheetViews>
    <sheetView topLeftCell="A46" zoomScale="90" zoomScaleNormal="90" workbookViewId="0">
      <selection activeCell="F108" sqref="F108:M11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408</v>
      </c>
      <c r="O10" s="2"/>
    </row>
    <row r="11" spans="2:24" ht="3.95" customHeight="1" x14ac:dyDescent="0.25">
      <c r="B11" s="2"/>
      <c r="D11" s="6"/>
      <c r="O11" s="2"/>
    </row>
    <row r="12" spans="2:24" ht="36" customHeight="1" x14ac:dyDescent="0.25">
      <c r="B12" s="2"/>
      <c r="D12" s="338" t="s">
        <v>5</v>
      </c>
      <c r="E12" s="339"/>
      <c r="F12" s="340" t="s">
        <v>1307</v>
      </c>
      <c r="G12" s="341"/>
      <c r="H12" s="341"/>
      <c r="I12" s="341"/>
      <c r="J12" s="341"/>
      <c r="K12" s="341"/>
      <c r="L12" s="341"/>
      <c r="M12" s="342"/>
      <c r="O12" s="2"/>
      <c r="W12" s="3" t="str">
        <f>+F23</f>
        <v>Trimestral</v>
      </c>
      <c r="X12" s="3" t="str">
        <f>+F71</f>
        <v>Marzo</v>
      </c>
    </row>
    <row r="13" spans="2:24" ht="3.95" customHeight="1" x14ac:dyDescent="0.25">
      <c r="B13" s="2"/>
      <c r="O13" s="2"/>
    </row>
    <row r="14" spans="2:24" ht="38.25" customHeight="1" x14ac:dyDescent="0.25">
      <c r="B14" s="2"/>
      <c r="D14" s="338" t="s">
        <v>6</v>
      </c>
      <c r="E14" s="339"/>
      <c r="F14" s="340" t="s">
        <v>1308</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29" t="s">
        <v>512</v>
      </c>
      <c r="G22" s="337" t="s">
        <v>9</v>
      </c>
      <c r="H22" s="337"/>
      <c r="I22" s="29">
        <v>4</v>
      </c>
      <c r="K22" s="337" t="s">
        <v>10</v>
      </c>
      <c r="L22" s="337"/>
      <c r="M22" s="9" t="s">
        <v>496</v>
      </c>
      <c r="O22" s="2"/>
    </row>
    <row r="23" spans="2:17" ht="19.5" customHeight="1" x14ac:dyDescent="0.25">
      <c r="B23" s="2"/>
      <c r="D23" s="337" t="s">
        <v>11</v>
      </c>
      <c r="E23" s="337"/>
      <c r="F23" s="4" t="s">
        <v>71</v>
      </c>
      <c r="G23" s="337" t="s">
        <v>12</v>
      </c>
      <c r="H23" s="337"/>
      <c r="I23" s="4" t="s">
        <v>514</v>
      </c>
      <c r="K23" s="337" t="s">
        <v>13</v>
      </c>
      <c r="L23" s="337"/>
      <c r="M23" s="9" t="s">
        <v>2</v>
      </c>
      <c r="O23" s="2"/>
    </row>
    <row r="24" spans="2:17" ht="20.100000000000001" customHeight="1" x14ac:dyDescent="0.25">
      <c r="B24" s="2"/>
      <c r="D24" s="337" t="s">
        <v>14</v>
      </c>
      <c r="E24" s="337"/>
      <c r="F24" s="4" t="s">
        <v>1287</v>
      </c>
      <c r="G24" s="337" t="s">
        <v>15</v>
      </c>
      <c r="H24" s="337"/>
      <c r="I24" s="4" t="s">
        <v>103</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NA</v>
      </c>
    </row>
    <row r="31" spans="2:17" ht="24" customHeight="1" x14ac:dyDescent="0.25">
      <c r="B31" s="2"/>
      <c r="D31" s="347"/>
      <c r="E31" s="348"/>
      <c r="F31" s="4" t="s">
        <v>405</v>
      </c>
      <c r="G31" s="340" t="s">
        <v>406</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1025</v>
      </c>
      <c r="G33" s="340" t="s">
        <v>1015</v>
      </c>
      <c r="H33" s="341"/>
      <c r="I33" s="341"/>
      <c r="J33" s="341"/>
      <c r="K33" s="341"/>
      <c r="L33" s="341"/>
      <c r="M33" s="342"/>
      <c r="O33" s="2"/>
      <c r="Q33" s="3">
        <f>+IFERROR(IF(VLOOKUP(G33,base!$A$26:$C$40,3,FALSE)=F31,1,0),"")</f>
        <v>0</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1716</v>
      </c>
      <c r="G35" s="340" t="s">
        <v>1592</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501</v>
      </c>
      <c r="G45" s="340" t="s">
        <v>515</v>
      </c>
      <c r="H45" s="341"/>
      <c r="I45" s="341"/>
      <c r="J45" s="341"/>
      <c r="K45" s="341"/>
      <c r="L45" s="341"/>
      <c r="M45" s="342"/>
      <c r="O45" s="2"/>
      <c r="Q45" s="3" t="str">
        <f>+IFERROR(VLOOKUP(G45,base!$A$41:$C$45,3,FALSE),"")</f>
        <v>misional</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503</v>
      </c>
      <c r="G47" s="340" t="s">
        <v>995</v>
      </c>
      <c r="H47" s="341"/>
      <c r="I47" s="341"/>
      <c r="J47" s="341"/>
      <c r="K47" s="341"/>
      <c r="L47" s="341"/>
      <c r="M47" s="342"/>
      <c r="O47" s="2"/>
      <c r="Q47" s="3">
        <f>+IF(VLOOKUP(G47,base!$A$46:$C$66,3,FALSE)=F45,1,0)</f>
        <v>1</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1847</v>
      </c>
      <c r="G49" s="340" t="s">
        <v>1848</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496</v>
      </c>
      <c r="G51" s="337" t="s">
        <v>32</v>
      </c>
      <c r="H51" s="337"/>
      <c r="I51" s="29">
        <v>16</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37" t="s">
        <v>34</v>
      </c>
      <c r="E59" s="337"/>
      <c r="F59" s="344" t="s">
        <v>1309</v>
      </c>
      <c r="G59" s="344"/>
      <c r="H59" s="344"/>
      <c r="I59" s="344"/>
      <c r="J59" s="344"/>
      <c r="K59" s="344"/>
      <c r="L59" s="344"/>
      <c r="M59" s="344"/>
      <c r="O59" s="2"/>
    </row>
    <row r="60" spans="2:15" ht="66" customHeight="1" x14ac:dyDescent="0.25">
      <c r="B60" s="2"/>
      <c r="D60" s="359" t="s">
        <v>35</v>
      </c>
      <c r="E60" s="359"/>
      <c r="F60" s="344" t="s">
        <v>1310</v>
      </c>
      <c r="G60" s="344"/>
      <c r="H60" s="344"/>
      <c r="I60" s="344"/>
      <c r="J60" s="344"/>
      <c r="K60" s="344"/>
      <c r="L60" s="344"/>
      <c r="M60" s="344"/>
      <c r="O60" s="2"/>
    </row>
    <row r="61" spans="2:15" ht="41.25" customHeight="1" x14ac:dyDescent="0.25">
      <c r="B61" s="2"/>
      <c r="D61" s="359" t="s">
        <v>36</v>
      </c>
      <c r="E61" s="359"/>
      <c r="F61" s="340" t="s">
        <v>1311</v>
      </c>
      <c r="G61" s="341"/>
      <c r="H61" s="341"/>
      <c r="I61" s="341"/>
      <c r="J61" s="341"/>
      <c r="K61" s="341"/>
      <c r="L61" s="341"/>
      <c r="M61" s="342"/>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43" t="s">
        <v>39</v>
      </c>
      <c r="E71" s="343"/>
      <c r="F71" s="4" t="s">
        <v>47</v>
      </c>
      <c r="G71" s="3">
        <v>3</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v>9.9000000000000005E-2</v>
      </c>
      <c r="H77" s="16">
        <v>0.1</v>
      </c>
      <c r="I77" s="16">
        <v>0.14899999999999999</v>
      </c>
      <c r="J77" s="16">
        <v>0.15</v>
      </c>
      <c r="K77" s="16">
        <v>0.249</v>
      </c>
      <c r="L77" s="16">
        <v>0.25</v>
      </c>
      <c r="M77" s="16" t="s">
        <v>500</v>
      </c>
      <c r="O77" s="2"/>
      <c r="AE77" s="3" t="s">
        <v>47</v>
      </c>
      <c r="AF77" s="3">
        <v>3</v>
      </c>
      <c r="AG77" s="3">
        <f t="shared" si="0"/>
        <v>1</v>
      </c>
      <c r="AH77" s="3">
        <f>+IF(AG77=0,0,IF(AG77=1,(SUM($AG$75:AG77)-1),1))</f>
        <v>0</v>
      </c>
      <c r="AI77" s="3">
        <f t="shared" si="1"/>
        <v>0</v>
      </c>
      <c r="AJ77" s="3">
        <f t="shared" si="2"/>
        <v>1</v>
      </c>
      <c r="AK77" s="3">
        <f t="shared" si="3"/>
        <v>1</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2</v>
      </c>
      <c r="AI79" s="3">
        <f t="shared" si="1"/>
        <v>0</v>
      </c>
      <c r="AJ79" s="3">
        <f t="shared" si="2"/>
        <v>0</v>
      </c>
      <c r="AK79" s="3">
        <f t="shared" si="3"/>
        <v>0</v>
      </c>
    </row>
    <row r="80" spans="2:37" x14ac:dyDescent="0.25">
      <c r="B80" s="2"/>
      <c r="D80" s="360" t="s">
        <v>50</v>
      </c>
      <c r="E80" s="360"/>
      <c r="F80" s="16" t="s">
        <v>500</v>
      </c>
      <c r="G80" s="16">
        <v>0.34899999999999998</v>
      </c>
      <c r="H80" s="16">
        <v>0.35</v>
      </c>
      <c r="I80" s="16">
        <v>0.39900000000000002</v>
      </c>
      <c r="J80" s="16">
        <v>0.4</v>
      </c>
      <c r="K80" s="16">
        <v>0.499</v>
      </c>
      <c r="L80" s="16">
        <v>0.5</v>
      </c>
      <c r="M80" s="16" t="s">
        <v>500</v>
      </c>
      <c r="O80" s="2"/>
      <c r="AE80" s="3" t="s">
        <v>50</v>
      </c>
      <c r="AF80" s="3">
        <v>6</v>
      </c>
      <c r="AG80" s="3">
        <f t="shared" si="0"/>
        <v>1</v>
      </c>
      <c r="AH80" s="3">
        <f>+IF(AG80=0,0,IF(AG80=1,(SUM($AG$75:AG80)-1),1))</f>
        <v>3</v>
      </c>
      <c r="AI80" s="3">
        <f t="shared" si="1"/>
        <v>1</v>
      </c>
      <c r="AJ80" s="3">
        <f t="shared" si="2"/>
        <v>0</v>
      </c>
      <c r="AK80" s="3">
        <f t="shared" si="3"/>
        <v>1</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4</v>
      </c>
      <c r="AI81" s="3">
        <f t="shared" si="1"/>
        <v>0</v>
      </c>
      <c r="AJ81" s="3">
        <f t="shared" si="2"/>
        <v>0</v>
      </c>
      <c r="AK81" s="3">
        <f t="shared" si="3"/>
        <v>0</v>
      </c>
    </row>
    <row r="82" spans="2:37" x14ac:dyDescent="0.25">
      <c r="B82" s="2"/>
      <c r="D82" s="360" t="s">
        <v>54</v>
      </c>
      <c r="E82" s="360"/>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60" t="s">
        <v>55</v>
      </c>
      <c r="E83" s="360"/>
      <c r="F83" s="16" t="s">
        <v>500</v>
      </c>
      <c r="G83" s="16">
        <v>0.59899999999999998</v>
      </c>
      <c r="H83" s="16">
        <v>0.6</v>
      </c>
      <c r="I83" s="16">
        <v>0.64900000000000002</v>
      </c>
      <c r="J83" s="16">
        <v>0.65</v>
      </c>
      <c r="K83" s="16">
        <v>0.749</v>
      </c>
      <c r="L83" s="16">
        <v>0.75</v>
      </c>
      <c r="M83" s="16" t="s">
        <v>500</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60" t="s">
        <v>58</v>
      </c>
      <c r="E86" s="360"/>
      <c r="F86" s="16" t="s">
        <v>500</v>
      </c>
      <c r="G86" s="16">
        <v>0.84899999999999998</v>
      </c>
      <c r="H86" s="16">
        <v>0.85</v>
      </c>
      <c r="I86" s="16">
        <v>0.89900000000000002</v>
      </c>
      <c r="J86" s="16">
        <v>0.9</v>
      </c>
      <c r="K86" s="16">
        <v>0.999</v>
      </c>
      <c r="L86" s="16"/>
      <c r="M86" s="16">
        <v>1</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66" customHeight="1" x14ac:dyDescent="0.25">
      <c r="B88" s="2"/>
      <c r="D88" s="338" t="s">
        <v>59</v>
      </c>
      <c r="E88" s="339"/>
      <c r="F88" s="340"/>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1.25" customHeight="1" x14ac:dyDescent="0.25">
      <c r="B97" s="2"/>
      <c r="D97" s="359" t="s">
        <v>35</v>
      </c>
      <c r="E97" s="359"/>
      <c r="F97" s="344" t="s">
        <v>1312</v>
      </c>
      <c r="G97" s="344"/>
      <c r="H97" s="344"/>
      <c r="I97" s="344"/>
      <c r="J97" s="344"/>
      <c r="K97" s="344"/>
      <c r="L97" s="344"/>
      <c r="M97" s="344"/>
      <c r="O97" s="2"/>
    </row>
    <row r="98" spans="2:15" ht="42" customHeight="1" x14ac:dyDescent="0.25">
      <c r="B98" s="2"/>
      <c r="D98" s="359" t="s">
        <v>36</v>
      </c>
      <c r="E98" s="359"/>
      <c r="F98" s="344" t="s">
        <v>1313</v>
      </c>
      <c r="G98" s="344"/>
      <c r="H98" s="344"/>
      <c r="I98" s="344"/>
      <c r="J98" s="344"/>
      <c r="K98" s="344"/>
      <c r="L98" s="344"/>
      <c r="M98" s="344"/>
      <c r="O98" s="2"/>
    </row>
    <row r="99" spans="2:15" ht="3.95" customHeight="1" x14ac:dyDescent="0.25">
      <c r="B99" s="2"/>
      <c r="O99" s="2"/>
    </row>
    <row r="100" spans="2:15" ht="58.5" customHeight="1" x14ac:dyDescent="0.25">
      <c r="B100" s="2"/>
      <c r="D100" s="338" t="s">
        <v>62</v>
      </c>
      <c r="E100" s="339"/>
      <c r="F100" s="333"/>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2</v>
      </c>
      <c r="K102" s="20"/>
      <c r="O102" s="2"/>
    </row>
    <row r="103" spans="2:15" ht="19.5" customHeight="1" x14ac:dyDescent="0.25">
      <c r="B103" s="2"/>
      <c r="D103" s="331"/>
      <c r="E103" s="332"/>
      <c r="F103" s="19" t="s">
        <v>66</v>
      </c>
      <c r="G103" s="4"/>
      <c r="K103" s="21"/>
      <c r="O103" s="2"/>
    </row>
    <row r="104" spans="2:15" ht="27.75" customHeight="1" x14ac:dyDescent="0.25">
      <c r="B104" s="2"/>
      <c r="D104" s="331"/>
      <c r="E104" s="332"/>
      <c r="F104" s="19" t="s">
        <v>67</v>
      </c>
      <c r="G104" s="333"/>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Jefe Oficina Asesora de Comunicaciones</v>
      </c>
      <c r="H108" s="334"/>
      <c r="I108" s="334"/>
      <c r="J108" s="334"/>
      <c r="K108" s="334"/>
      <c r="L108" s="334"/>
      <c r="M108" s="335"/>
      <c r="O108" s="2"/>
    </row>
    <row r="109" spans="2:15" ht="17.25" customHeight="1" x14ac:dyDescent="0.25">
      <c r="B109" s="2"/>
      <c r="D109" s="331"/>
      <c r="E109" s="332"/>
      <c r="F109" s="19" t="s">
        <v>2042</v>
      </c>
      <c r="G109" s="333" t="str">
        <f>+IF(M23="Si","Coordinador(a) Planeación y Sistemas","")</f>
        <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754" priority="31">
      <formula>+IF($F$43="no",1,0)</formula>
    </cfRule>
  </conditionalFormatting>
  <conditionalFormatting sqref="F32:M33">
    <cfRule type="expression" dxfId="753" priority="30">
      <formula>+IF($Q$30="NA",1,0)</formula>
    </cfRule>
  </conditionalFormatting>
  <conditionalFormatting sqref="F33:M33">
    <cfRule type="expression" dxfId="752" priority="29">
      <formula>+IF($Q$33=0,1,0)</formula>
    </cfRule>
  </conditionalFormatting>
  <conditionalFormatting sqref="F47:M47">
    <cfRule type="expression" dxfId="751" priority="28">
      <formula>+IF($Q$47=0,1,0)</formula>
    </cfRule>
  </conditionalFormatting>
  <conditionalFormatting sqref="F73:G73">
    <cfRule type="cellIs" dxfId="750" priority="14" operator="equal">
      <formula>"optimo"</formula>
    </cfRule>
    <cfRule type="cellIs" dxfId="749" priority="15" operator="equal">
      <formula>"critico"</formula>
    </cfRule>
  </conditionalFormatting>
  <conditionalFormatting sqref="H73:I73">
    <cfRule type="cellIs" dxfId="748" priority="12" operator="equal">
      <formula>"Adecuado"</formula>
    </cfRule>
    <cfRule type="cellIs" dxfId="747" priority="13" operator="equal">
      <formula>"en riesgo"</formula>
    </cfRule>
  </conditionalFormatting>
  <conditionalFormatting sqref="J73:K73">
    <cfRule type="cellIs" dxfId="746" priority="10" operator="equal">
      <formula>"Adecuado"</formula>
    </cfRule>
    <cfRule type="cellIs" dxfId="745" priority="11" operator="equal">
      <formula>"en riesgo"</formula>
    </cfRule>
  </conditionalFormatting>
  <conditionalFormatting sqref="L73:M73">
    <cfRule type="cellIs" dxfId="744" priority="8" operator="equal">
      <formula>"optimo"</formula>
    </cfRule>
    <cfRule type="cellIs" dxfId="743" priority="9" operator="equal">
      <formula>"critico"</formula>
    </cfRule>
  </conditionalFormatting>
  <conditionalFormatting sqref="F75:M86">
    <cfRule type="expression" dxfId="742" priority="7">
      <formula>+IF($AK75=0,1)</formula>
    </cfRule>
  </conditionalFormatting>
  <conditionalFormatting sqref="F103:G104">
    <cfRule type="expression" dxfId="741" priority="6">
      <formula>+IF($G$102="No",1,0)</formula>
    </cfRule>
  </conditionalFormatting>
  <conditionalFormatting sqref="F51">
    <cfRule type="expression" dxfId="740" priority="5">
      <formula>+IF($F$43="no",1,0)</formula>
    </cfRule>
  </conditionalFormatting>
  <conditionalFormatting sqref="I51">
    <cfRule type="expression" dxfId="739"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2">
    <tabColor rgb="FF0070C0"/>
  </sheetPr>
  <dimension ref="B1:AV136"/>
  <sheetViews>
    <sheetView topLeftCell="A40" zoomScale="90" zoomScaleNormal="90" workbookViewId="0">
      <selection activeCell="H10" sqref="H1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7" width="11.42578125" style="1" customWidth="1"/>
    <col min="8" max="8" width="11.7109375" style="1" customWidth="1"/>
    <col min="9"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409</v>
      </c>
      <c r="O10" s="2"/>
    </row>
    <row r="11" spans="2:24" ht="3.95" customHeight="1" x14ac:dyDescent="0.25">
      <c r="B11" s="2"/>
      <c r="D11" s="6"/>
      <c r="O11" s="2"/>
    </row>
    <row r="12" spans="2:24" ht="36" customHeight="1" x14ac:dyDescent="0.25">
      <c r="B12" s="2"/>
      <c r="D12" s="338" t="s">
        <v>5</v>
      </c>
      <c r="E12" s="339"/>
      <c r="F12" s="340" t="s">
        <v>1319</v>
      </c>
      <c r="G12" s="341"/>
      <c r="H12" s="341"/>
      <c r="I12" s="341"/>
      <c r="J12" s="341"/>
      <c r="K12" s="341"/>
      <c r="L12" s="341"/>
      <c r="M12" s="342"/>
      <c r="O12" s="2"/>
      <c r="W12" s="3" t="str">
        <f>+F23</f>
        <v>Trimestral</v>
      </c>
      <c r="X12" s="3" t="str">
        <f>+F71</f>
        <v>Marzo</v>
      </c>
    </row>
    <row r="13" spans="2:24" ht="3.95" customHeight="1" x14ac:dyDescent="0.25">
      <c r="B13" s="2"/>
      <c r="O13" s="2"/>
    </row>
    <row r="14" spans="2:24" ht="38.25" customHeight="1" x14ac:dyDescent="0.25">
      <c r="B14" s="2"/>
      <c r="D14" s="338" t="s">
        <v>6</v>
      </c>
      <c r="E14" s="339"/>
      <c r="F14" s="340" t="s">
        <v>1320</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9">
        <v>3590432</v>
      </c>
      <c r="G22" s="337" t="s">
        <v>9</v>
      </c>
      <c r="H22" s="337"/>
      <c r="I22" s="9">
        <v>3698145</v>
      </c>
      <c r="K22" s="337" t="s">
        <v>10</v>
      </c>
      <c r="L22" s="337"/>
      <c r="M22" s="9" t="s">
        <v>496</v>
      </c>
      <c r="O22" s="2"/>
    </row>
    <row r="23" spans="2:17" ht="19.5" customHeight="1" x14ac:dyDescent="0.25">
      <c r="B23" s="2"/>
      <c r="D23" s="337" t="s">
        <v>11</v>
      </c>
      <c r="E23" s="337"/>
      <c r="F23" s="4" t="s">
        <v>71</v>
      </c>
      <c r="G23" s="337" t="s">
        <v>12</v>
      </c>
      <c r="H23" s="337"/>
      <c r="I23" s="4" t="s">
        <v>514</v>
      </c>
      <c r="K23" s="337" t="s">
        <v>13</v>
      </c>
      <c r="L23" s="337"/>
      <c r="M23" s="9" t="s">
        <v>2</v>
      </c>
      <c r="O23" s="2"/>
    </row>
    <row r="24" spans="2:17" ht="20.100000000000001" customHeight="1" x14ac:dyDescent="0.25">
      <c r="B24" s="2"/>
      <c r="D24" s="337" t="s">
        <v>14</v>
      </c>
      <c r="E24" s="337"/>
      <c r="F24" s="4" t="s">
        <v>498</v>
      </c>
      <c r="G24" s="337" t="s">
        <v>15</v>
      </c>
      <c r="H24" s="337"/>
      <c r="I24" s="4" t="s">
        <v>103</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NA</v>
      </c>
    </row>
    <row r="31" spans="2:17" ht="24" customHeight="1" x14ac:dyDescent="0.25">
      <c r="B31" s="2"/>
      <c r="D31" s="347"/>
      <c r="E31" s="348"/>
      <c r="F31" s="4" t="s">
        <v>405</v>
      </c>
      <c r="G31" s="340" t="s">
        <v>406</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1025</v>
      </c>
      <c r="G33" s="340"/>
      <c r="H33" s="341"/>
      <c r="I33" s="341"/>
      <c r="J33" s="341"/>
      <c r="K33" s="341"/>
      <c r="L33" s="341"/>
      <c r="M33" s="342"/>
      <c r="O33" s="2"/>
      <c r="Q33" s="3" t="str">
        <f>+IFERROR(IF(VLOOKUP(G33,base!$A$26:$C$40,3,FALSE)=F31,1,0),"")</f>
        <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1716</v>
      </c>
      <c r="G35" s="340" t="s">
        <v>1592</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1250</v>
      </c>
      <c r="G45" s="340" t="s">
        <v>1251</v>
      </c>
      <c r="H45" s="341"/>
      <c r="I45" s="341"/>
      <c r="J45" s="341"/>
      <c r="K45" s="341"/>
      <c r="L45" s="341"/>
      <c r="M45" s="342"/>
      <c r="O45" s="2"/>
      <c r="Q45" s="3" t="str">
        <f>+IFERROR(VLOOKUP(G45,base!$A$41:$C$45,3,FALSE),"")</f>
        <v>transparencia</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1627</v>
      </c>
      <c r="G47" s="340" t="s">
        <v>1695</v>
      </c>
      <c r="H47" s="341"/>
      <c r="I47" s="341"/>
      <c r="J47" s="341"/>
      <c r="K47" s="341"/>
      <c r="L47" s="341"/>
      <c r="M47" s="342"/>
      <c r="O47" s="2"/>
      <c r="Q47" s="3">
        <f>+IF(VLOOKUP(G47,base!$A$46:$C$66,3,FALSE)=F45,1,0)</f>
        <v>1</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1847</v>
      </c>
      <c r="G49" s="340" t="s">
        <v>1848</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496</v>
      </c>
      <c r="G51" s="337" t="s">
        <v>32</v>
      </c>
      <c r="H51" s="337"/>
      <c r="I51" s="9">
        <v>4021284</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37" t="s">
        <v>34</v>
      </c>
      <c r="E59" s="337"/>
      <c r="F59" s="344" t="s">
        <v>1321</v>
      </c>
      <c r="G59" s="344"/>
      <c r="H59" s="344"/>
      <c r="I59" s="344"/>
      <c r="J59" s="344"/>
      <c r="K59" s="344"/>
      <c r="L59" s="344"/>
      <c r="M59" s="344"/>
      <c r="O59" s="2"/>
    </row>
    <row r="60" spans="2:15" ht="48" customHeight="1" x14ac:dyDescent="0.25">
      <c r="B60" s="2"/>
      <c r="D60" s="359" t="s">
        <v>35</v>
      </c>
      <c r="E60" s="359"/>
      <c r="F60" s="344" t="s">
        <v>1322</v>
      </c>
      <c r="G60" s="344"/>
      <c r="H60" s="344"/>
      <c r="I60" s="344"/>
      <c r="J60" s="344"/>
      <c r="K60" s="344"/>
      <c r="L60" s="344"/>
      <c r="M60" s="344"/>
      <c r="O60" s="2"/>
    </row>
    <row r="61" spans="2:15" ht="48" customHeight="1" x14ac:dyDescent="0.25">
      <c r="B61" s="2"/>
      <c r="D61" s="359" t="s">
        <v>36</v>
      </c>
      <c r="E61" s="359"/>
      <c r="F61" s="340" t="s">
        <v>1324</v>
      </c>
      <c r="G61" s="341"/>
      <c r="H61" s="341"/>
      <c r="I61" s="341"/>
      <c r="J61" s="341"/>
      <c r="K61" s="341"/>
      <c r="L61" s="341"/>
      <c r="M61" s="342"/>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43" t="s">
        <v>39</v>
      </c>
      <c r="E71" s="343"/>
      <c r="F71" s="4" t="s">
        <v>47</v>
      </c>
      <c r="G71" s="3">
        <v>3</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v>9.9000000000000005E-2</v>
      </c>
      <c r="H77" s="16">
        <v>0.1</v>
      </c>
      <c r="I77" s="16">
        <v>0.14899999999999999</v>
      </c>
      <c r="J77" s="16">
        <v>0.15</v>
      </c>
      <c r="K77" s="16">
        <v>0.249</v>
      </c>
      <c r="L77" s="16">
        <v>0.25</v>
      </c>
      <c r="M77" s="16" t="s">
        <v>500</v>
      </c>
      <c r="O77" s="2"/>
      <c r="AE77" s="3" t="s">
        <v>47</v>
      </c>
      <c r="AF77" s="3">
        <v>3</v>
      </c>
      <c r="AG77" s="3">
        <f t="shared" si="0"/>
        <v>1</v>
      </c>
      <c r="AH77" s="3">
        <f>+IF(AG77=0,0,IF(AG77=1,(SUM($AG$75:AG77)-1),1))</f>
        <v>0</v>
      </c>
      <c r="AI77" s="3">
        <f t="shared" si="1"/>
        <v>0</v>
      </c>
      <c r="AJ77" s="3">
        <f t="shared" si="2"/>
        <v>1</v>
      </c>
      <c r="AK77" s="3">
        <f t="shared" si="3"/>
        <v>1</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2</v>
      </c>
      <c r="AI79" s="3">
        <f t="shared" si="1"/>
        <v>0</v>
      </c>
      <c r="AJ79" s="3">
        <f t="shared" si="2"/>
        <v>0</v>
      </c>
      <c r="AK79" s="3">
        <f t="shared" si="3"/>
        <v>0</v>
      </c>
    </row>
    <row r="80" spans="2:37" x14ac:dyDescent="0.25">
      <c r="B80" s="2"/>
      <c r="D80" s="360" t="s">
        <v>50</v>
      </c>
      <c r="E80" s="360"/>
      <c r="F80" s="16" t="s">
        <v>500</v>
      </c>
      <c r="G80" s="16">
        <v>0.34899999999999998</v>
      </c>
      <c r="H80" s="16">
        <v>0.35</v>
      </c>
      <c r="I80" s="16">
        <v>0.39900000000000002</v>
      </c>
      <c r="J80" s="16">
        <v>0.4</v>
      </c>
      <c r="K80" s="16">
        <v>0.499</v>
      </c>
      <c r="L80" s="16">
        <v>0.5</v>
      </c>
      <c r="M80" s="16" t="s">
        <v>500</v>
      </c>
      <c r="O80" s="2"/>
      <c r="AE80" s="3" t="s">
        <v>50</v>
      </c>
      <c r="AF80" s="3">
        <v>6</v>
      </c>
      <c r="AG80" s="3">
        <f t="shared" si="0"/>
        <v>1</v>
      </c>
      <c r="AH80" s="3">
        <f>+IF(AG80=0,0,IF(AG80=1,(SUM($AG$75:AG80)-1),1))</f>
        <v>3</v>
      </c>
      <c r="AI80" s="3">
        <f t="shared" si="1"/>
        <v>1</v>
      </c>
      <c r="AJ80" s="3">
        <f t="shared" si="2"/>
        <v>0</v>
      </c>
      <c r="AK80" s="3">
        <f t="shared" si="3"/>
        <v>1</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4</v>
      </c>
      <c r="AI81" s="3">
        <f t="shared" si="1"/>
        <v>0</v>
      </c>
      <c r="AJ81" s="3">
        <f t="shared" si="2"/>
        <v>0</v>
      </c>
      <c r="AK81" s="3">
        <f t="shared" si="3"/>
        <v>0</v>
      </c>
    </row>
    <row r="82" spans="2:37" x14ac:dyDescent="0.25">
      <c r="B82" s="2"/>
      <c r="D82" s="360" t="s">
        <v>54</v>
      </c>
      <c r="E82" s="360"/>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60" t="s">
        <v>55</v>
      </c>
      <c r="E83" s="360"/>
      <c r="F83" s="16" t="s">
        <v>500</v>
      </c>
      <c r="G83" s="16">
        <v>0.59899999999999998</v>
      </c>
      <c r="H83" s="16">
        <v>0.6</v>
      </c>
      <c r="I83" s="16">
        <v>0.64900000000000002</v>
      </c>
      <c r="J83" s="16">
        <v>0.65</v>
      </c>
      <c r="K83" s="16">
        <v>0.749</v>
      </c>
      <c r="L83" s="16">
        <v>0.75</v>
      </c>
      <c r="M83" s="16" t="s">
        <v>500</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60" t="s">
        <v>58</v>
      </c>
      <c r="E86" s="360"/>
      <c r="F86" s="16" t="s">
        <v>500</v>
      </c>
      <c r="G86" s="16">
        <v>0.84899999999999998</v>
      </c>
      <c r="H86" s="16">
        <v>0.85</v>
      </c>
      <c r="I86" s="16">
        <v>0.89900000000000002</v>
      </c>
      <c r="J86" s="16">
        <v>0.9</v>
      </c>
      <c r="K86" s="16">
        <v>0.999</v>
      </c>
      <c r="L86" s="16"/>
      <c r="M86" s="16">
        <v>1</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66" customHeight="1" x14ac:dyDescent="0.25">
      <c r="B88" s="2"/>
      <c r="D88" s="338" t="s">
        <v>59</v>
      </c>
      <c r="E88" s="339"/>
      <c r="F88" s="340"/>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1.25" customHeight="1" x14ac:dyDescent="0.25">
      <c r="B97" s="2"/>
      <c r="D97" s="359" t="s">
        <v>35</v>
      </c>
      <c r="E97" s="359"/>
      <c r="F97" s="344" t="s">
        <v>1323</v>
      </c>
      <c r="G97" s="344"/>
      <c r="H97" s="344"/>
      <c r="I97" s="344"/>
      <c r="J97" s="344"/>
      <c r="K97" s="344"/>
      <c r="L97" s="344"/>
      <c r="M97" s="344"/>
      <c r="O97" s="2"/>
    </row>
    <row r="98" spans="2:15" ht="42" customHeight="1" x14ac:dyDescent="0.25">
      <c r="B98" s="2"/>
      <c r="D98" s="359" t="s">
        <v>36</v>
      </c>
      <c r="E98" s="359"/>
      <c r="F98" s="344" t="s">
        <v>1323</v>
      </c>
      <c r="G98" s="344"/>
      <c r="H98" s="344"/>
      <c r="I98" s="344"/>
      <c r="J98" s="344"/>
      <c r="K98" s="344"/>
      <c r="L98" s="344"/>
      <c r="M98" s="344"/>
      <c r="O98" s="2"/>
    </row>
    <row r="99" spans="2:15" ht="3.95" customHeight="1" x14ac:dyDescent="0.25">
      <c r="B99" s="2"/>
      <c r="O99" s="2"/>
    </row>
    <row r="100" spans="2:15" ht="58.5" customHeight="1" x14ac:dyDescent="0.25">
      <c r="B100" s="2"/>
      <c r="D100" s="338" t="s">
        <v>62</v>
      </c>
      <c r="E100" s="339"/>
      <c r="F100" s="333"/>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2</v>
      </c>
      <c r="K102" s="20"/>
      <c r="O102" s="2"/>
    </row>
    <row r="103" spans="2:15" ht="19.5" customHeight="1" x14ac:dyDescent="0.25">
      <c r="B103" s="2"/>
      <c r="D103" s="331"/>
      <c r="E103" s="332"/>
      <c r="F103" s="19" t="s">
        <v>66</v>
      </c>
      <c r="G103" s="4"/>
      <c r="K103" s="21"/>
      <c r="O103" s="2"/>
    </row>
    <row r="104" spans="2:15" ht="27.75" customHeight="1" x14ac:dyDescent="0.25">
      <c r="B104" s="2"/>
      <c r="D104" s="331"/>
      <c r="E104" s="332"/>
      <c r="F104" s="19" t="s">
        <v>67</v>
      </c>
      <c r="G104" s="333"/>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Jefe Oficina Asesora de Comunicaciones</v>
      </c>
      <c r="H108" s="334"/>
      <c r="I108" s="334"/>
      <c r="J108" s="334"/>
      <c r="K108" s="334"/>
      <c r="L108" s="334"/>
      <c r="M108" s="335"/>
      <c r="O108" s="2"/>
    </row>
    <row r="109" spans="2:15" ht="17.25" customHeight="1" x14ac:dyDescent="0.25">
      <c r="B109" s="2"/>
      <c r="D109" s="331"/>
      <c r="E109" s="332"/>
      <c r="F109" s="19" t="s">
        <v>2042</v>
      </c>
      <c r="G109" s="333" t="str">
        <f>+IF(M23="Si","Coordinador(a) Planeación y Sistemas","")</f>
        <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row r="131" spans="8:9" x14ac:dyDescent="0.25">
      <c r="I131" s="1">
        <v>3698145</v>
      </c>
    </row>
    <row r="133" spans="8:9" x14ac:dyDescent="0.25">
      <c r="H133" s="33">
        <v>924536.25</v>
      </c>
    </row>
    <row r="136" spans="8:9" x14ac:dyDescent="0.25">
      <c r="H136" s="1">
        <v>0.25</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6 F48:M48">
    <cfRule type="expression" dxfId="738" priority="34">
      <formula>+IF($F$43="no",1,0)</formula>
    </cfRule>
  </conditionalFormatting>
  <conditionalFormatting sqref="F32:M33">
    <cfRule type="expression" dxfId="737" priority="33">
      <formula>+IF($Q$30="NA",1,0)</formula>
    </cfRule>
  </conditionalFormatting>
  <conditionalFormatting sqref="F33:M33">
    <cfRule type="expression" dxfId="736" priority="32">
      <formula>+IF($Q$33=0,1,0)</formula>
    </cfRule>
  </conditionalFormatting>
  <conditionalFormatting sqref="F73:G73">
    <cfRule type="cellIs" dxfId="735" priority="17" operator="equal">
      <formula>"optimo"</formula>
    </cfRule>
    <cfRule type="cellIs" dxfId="734" priority="18" operator="equal">
      <formula>"critico"</formula>
    </cfRule>
  </conditionalFormatting>
  <conditionalFormatting sqref="H73:I73">
    <cfRule type="cellIs" dxfId="733" priority="15" operator="equal">
      <formula>"Adecuado"</formula>
    </cfRule>
    <cfRule type="cellIs" dxfId="732" priority="16" operator="equal">
      <formula>"en riesgo"</formula>
    </cfRule>
  </conditionalFormatting>
  <conditionalFormatting sqref="J73:K73">
    <cfRule type="cellIs" dxfId="731" priority="13" operator="equal">
      <formula>"Adecuado"</formula>
    </cfRule>
    <cfRule type="cellIs" dxfId="730" priority="14" operator="equal">
      <formula>"en riesgo"</formula>
    </cfRule>
  </conditionalFormatting>
  <conditionalFormatting sqref="L73:M73">
    <cfRule type="cellIs" dxfId="729" priority="11" operator="equal">
      <formula>"optimo"</formula>
    </cfRule>
    <cfRule type="cellIs" dxfId="728" priority="12" operator="equal">
      <formula>"critico"</formula>
    </cfRule>
  </conditionalFormatting>
  <conditionalFormatting sqref="F75:M86">
    <cfRule type="expression" dxfId="727" priority="10">
      <formula>+IF($AK75=0,1)</formula>
    </cfRule>
  </conditionalFormatting>
  <conditionalFormatting sqref="F103:G104">
    <cfRule type="expression" dxfId="726" priority="9">
      <formula>+IF($G$102="No",1,0)</formula>
    </cfRule>
  </conditionalFormatting>
  <conditionalFormatting sqref="F51">
    <cfRule type="expression" dxfId="725" priority="8">
      <formula>+IF($F$43="no",1,0)</formula>
    </cfRule>
  </conditionalFormatting>
  <conditionalFormatting sqref="I51">
    <cfRule type="expression" dxfId="724" priority="7">
      <formula>+IF($F$51="no",1,0)</formula>
    </cfRule>
  </conditionalFormatting>
  <conditionalFormatting sqref="F49:M49">
    <cfRule type="expression" dxfId="723" priority="6">
      <formula>+IF($F$43="no",1,0)</formula>
    </cfRule>
  </conditionalFormatting>
  <conditionalFormatting sqref="F47:M47">
    <cfRule type="expression" dxfId="722" priority="5">
      <formula>+IF($F$43="no",1,0)</formula>
    </cfRule>
  </conditionalFormatting>
  <conditionalFormatting sqref="F47:M47">
    <cfRule type="expression" dxfId="721" priority="4">
      <formula>+IF($Q$47=0,1,0)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3">
    <tabColor rgb="FF0070C0"/>
  </sheetPr>
  <dimension ref="B1:AV113"/>
  <sheetViews>
    <sheetView zoomScale="90" zoomScaleNormal="90" workbookViewId="0">
      <selection activeCell="F108" sqref="F108:M11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410</v>
      </c>
      <c r="O10" s="2"/>
    </row>
    <row r="11" spans="2:24" ht="3.95" customHeight="1" x14ac:dyDescent="0.25">
      <c r="B11" s="2"/>
      <c r="D11" s="6"/>
      <c r="O11" s="2"/>
    </row>
    <row r="12" spans="2:24" ht="36" customHeight="1" x14ac:dyDescent="0.25">
      <c r="B12" s="2"/>
      <c r="D12" s="338" t="s">
        <v>5</v>
      </c>
      <c r="E12" s="339"/>
      <c r="F12" s="340" t="s">
        <v>1314</v>
      </c>
      <c r="G12" s="341"/>
      <c r="H12" s="341"/>
      <c r="I12" s="341"/>
      <c r="J12" s="341"/>
      <c r="K12" s="341"/>
      <c r="L12" s="341"/>
      <c r="M12" s="342"/>
      <c r="O12" s="2"/>
      <c r="W12" s="3" t="str">
        <f>+F23</f>
        <v>Trimestral</v>
      </c>
      <c r="X12" s="3" t="str">
        <f>+F71</f>
        <v>Marzo</v>
      </c>
    </row>
    <row r="13" spans="2:24" ht="3.95" customHeight="1" x14ac:dyDescent="0.25">
      <c r="B13" s="2"/>
      <c r="O13" s="2"/>
    </row>
    <row r="14" spans="2:24" ht="38.25" customHeight="1" x14ac:dyDescent="0.25">
      <c r="B14" s="2"/>
      <c r="D14" s="338" t="s">
        <v>6</v>
      </c>
      <c r="E14" s="339"/>
      <c r="F14" s="340" t="s">
        <v>1315</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9">
        <v>737</v>
      </c>
      <c r="G22" s="337" t="s">
        <v>9</v>
      </c>
      <c r="H22" s="337"/>
      <c r="I22" s="9">
        <v>620</v>
      </c>
      <c r="K22" s="337" t="s">
        <v>10</v>
      </c>
      <c r="L22" s="337"/>
      <c r="M22" s="9" t="s">
        <v>496</v>
      </c>
      <c r="O22" s="2"/>
    </row>
    <row r="23" spans="2:17" ht="19.5" customHeight="1" x14ac:dyDescent="0.25">
      <c r="B23" s="2"/>
      <c r="D23" s="337" t="s">
        <v>11</v>
      </c>
      <c r="E23" s="337"/>
      <c r="F23" s="4" t="s">
        <v>71</v>
      </c>
      <c r="G23" s="337" t="s">
        <v>12</v>
      </c>
      <c r="H23" s="337"/>
      <c r="I23" s="4" t="s">
        <v>514</v>
      </c>
      <c r="K23" s="337" t="s">
        <v>13</v>
      </c>
      <c r="L23" s="337"/>
      <c r="M23" s="9" t="s">
        <v>2</v>
      </c>
      <c r="O23" s="2"/>
    </row>
    <row r="24" spans="2:17" ht="20.100000000000001" customHeight="1" x14ac:dyDescent="0.25">
      <c r="B24" s="2"/>
      <c r="D24" s="337" t="s">
        <v>14</v>
      </c>
      <c r="E24" s="337"/>
      <c r="F24" s="4" t="s">
        <v>498</v>
      </c>
      <c r="G24" s="337" t="s">
        <v>15</v>
      </c>
      <c r="H24" s="337"/>
      <c r="I24" s="4" t="s">
        <v>519</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NA</v>
      </c>
    </row>
    <row r="31" spans="2:17" ht="24" customHeight="1" x14ac:dyDescent="0.25">
      <c r="B31" s="2"/>
      <c r="D31" s="347"/>
      <c r="E31" s="348"/>
      <c r="F31" s="4" t="s">
        <v>405</v>
      </c>
      <c r="G31" s="340" t="s">
        <v>406</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1025</v>
      </c>
      <c r="G33" s="340"/>
      <c r="H33" s="341"/>
      <c r="I33" s="341"/>
      <c r="J33" s="341"/>
      <c r="K33" s="341"/>
      <c r="L33" s="341"/>
      <c r="M33" s="342"/>
      <c r="O33" s="2"/>
      <c r="Q33" s="3" t="str">
        <f>+IFERROR(IF(VLOOKUP(G33,base!$A$26:$C$40,3,FALSE)=F31,1,0),"")</f>
        <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1716</v>
      </c>
      <c r="G35" s="340" t="s">
        <v>1592</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501</v>
      </c>
      <c r="G45" s="340" t="s">
        <v>515</v>
      </c>
      <c r="H45" s="341"/>
      <c r="I45" s="341"/>
      <c r="J45" s="341"/>
      <c r="K45" s="341"/>
      <c r="L45" s="341"/>
      <c r="M45" s="342"/>
      <c r="O45" s="2"/>
      <c r="Q45" s="3" t="str">
        <f>+IFERROR(VLOOKUP(G45,base!$A$41:$C$45,3,FALSE),"")</f>
        <v>misional</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503</v>
      </c>
      <c r="G47" s="340" t="s">
        <v>995</v>
      </c>
      <c r="H47" s="341"/>
      <c r="I47" s="341"/>
      <c r="J47" s="341"/>
      <c r="K47" s="341"/>
      <c r="L47" s="341"/>
      <c r="M47" s="342"/>
      <c r="O47" s="2"/>
      <c r="Q47" s="3">
        <f>+IF(VLOOKUP(G47,base!$A$46:$C$66,3,FALSE)=F45,1,0)</f>
        <v>1</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1847</v>
      </c>
      <c r="G49" s="340" t="s">
        <v>1848</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31"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37" t="s">
        <v>34</v>
      </c>
      <c r="E59" s="337"/>
      <c r="F59" s="344" t="s">
        <v>1316</v>
      </c>
      <c r="G59" s="344"/>
      <c r="H59" s="344"/>
      <c r="I59" s="344"/>
      <c r="J59" s="344"/>
      <c r="K59" s="344"/>
      <c r="L59" s="344"/>
      <c r="M59" s="344"/>
      <c r="O59" s="2"/>
    </row>
    <row r="60" spans="2:15" ht="46.5" customHeight="1" x14ac:dyDescent="0.25">
      <c r="B60" s="2"/>
      <c r="D60" s="359" t="s">
        <v>35</v>
      </c>
      <c r="E60" s="359"/>
      <c r="F60" s="344" t="s">
        <v>1317</v>
      </c>
      <c r="G60" s="344"/>
      <c r="H60" s="344"/>
      <c r="I60" s="344"/>
      <c r="J60" s="344"/>
      <c r="K60" s="344"/>
      <c r="L60" s="344"/>
      <c r="M60" s="344"/>
      <c r="O60" s="2"/>
    </row>
    <row r="61" spans="2:15" ht="46.5" customHeight="1" x14ac:dyDescent="0.25">
      <c r="B61" s="2"/>
      <c r="D61" s="359" t="s">
        <v>36</v>
      </c>
      <c r="E61" s="359"/>
      <c r="F61" s="340" t="s">
        <v>1318</v>
      </c>
      <c r="G61" s="341"/>
      <c r="H61" s="341"/>
      <c r="I61" s="341"/>
      <c r="J61" s="341"/>
      <c r="K61" s="341"/>
      <c r="L61" s="341"/>
      <c r="M61" s="342"/>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43" t="s">
        <v>39</v>
      </c>
      <c r="E71" s="343"/>
      <c r="F71" s="4" t="s">
        <v>47</v>
      </c>
      <c r="G71" s="3">
        <v>3</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v>9.9000000000000005E-2</v>
      </c>
      <c r="H77" s="16">
        <v>0.1</v>
      </c>
      <c r="I77" s="16">
        <v>0.14899999999999999</v>
      </c>
      <c r="J77" s="16">
        <v>0.15</v>
      </c>
      <c r="K77" s="16">
        <v>0.249</v>
      </c>
      <c r="L77" s="16">
        <v>0.25</v>
      </c>
      <c r="M77" s="16" t="s">
        <v>500</v>
      </c>
      <c r="O77" s="2"/>
      <c r="AE77" s="3" t="s">
        <v>47</v>
      </c>
      <c r="AF77" s="3">
        <v>3</v>
      </c>
      <c r="AG77" s="3">
        <f t="shared" si="0"/>
        <v>1</v>
      </c>
      <c r="AH77" s="3">
        <f>+IF(AG77=0,0,IF(AG77=1,(SUM($AG$75:AG77)-1),1))</f>
        <v>0</v>
      </c>
      <c r="AI77" s="3">
        <f t="shared" si="1"/>
        <v>0</v>
      </c>
      <c r="AJ77" s="3">
        <f t="shared" si="2"/>
        <v>1</v>
      </c>
      <c r="AK77" s="3">
        <f t="shared" si="3"/>
        <v>1</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2</v>
      </c>
      <c r="AI79" s="3">
        <f t="shared" si="1"/>
        <v>0</v>
      </c>
      <c r="AJ79" s="3">
        <f t="shared" si="2"/>
        <v>0</v>
      </c>
      <c r="AK79" s="3">
        <f t="shared" si="3"/>
        <v>0</v>
      </c>
    </row>
    <row r="80" spans="2:37" x14ac:dyDescent="0.25">
      <c r="B80" s="2"/>
      <c r="D80" s="360" t="s">
        <v>50</v>
      </c>
      <c r="E80" s="360"/>
      <c r="F80" s="16" t="s">
        <v>500</v>
      </c>
      <c r="G80" s="16">
        <v>0.34899999999999998</v>
      </c>
      <c r="H80" s="16">
        <v>0.35</v>
      </c>
      <c r="I80" s="16">
        <v>0.39900000000000002</v>
      </c>
      <c r="J80" s="16">
        <v>0.4</v>
      </c>
      <c r="K80" s="16">
        <v>0.499</v>
      </c>
      <c r="L80" s="16">
        <v>0.5</v>
      </c>
      <c r="M80" s="16" t="s">
        <v>500</v>
      </c>
      <c r="O80" s="2"/>
      <c r="AE80" s="3" t="s">
        <v>50</v>
      </c>
      <c r="AF80" s="3">
        <v>6</v>
      </c>
      <c r="AG80" s="3">
        <f t="shared" si="0"/>
        <v>1</v>
      </c>
      <c r="AH80" s="3">
        <f>+IF(AG80=0,0,IF(AG80=1,(SUM($AG$75:AG80)-1),1))</f>
        <v>3</v>
      </c>
      <c r="AI80" s="3">
        <f t="shared" si="1"/>
        <v>1</v>
      </c>
      <c r="AJ80" s="3">
        <f t="shared" si="2"/>
        <v>0</v>
      </c>
      <c r="AK80" s="3">
        <f t="shared" si="3"/>
        <v>1</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4</v>
      </c>
      <c r="AI81" s="3">
        <f t="shared" si="1"/>
        <v>0</v>
      </c>
      <c r="AJ81" s="3">
        <f t="shared" si="2"/>
        <v>0</v>
      </c>
      <c r="AK81" s="3">
        <f t="shared" si="3"/>
        <v>0</v>
      </c>
    </row>
    <row r="82" spans="2:37" x14ac:dyDescent="0.25">
      <c r="B82" s="2"/>
      <c r="D82" s="360" t="s">
        <v>54</v>
      </c>
      <c r="E82" s="360"/>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60" t="s">
        <v>55</v>
      </c>
      <c r="E83" s="360"/>
      <c r="F83" s="16" t="s">
        <v>500</v>
      </c>
      <c r="G83" s="16">
        <v>0.59899999999999998</v>
      </c>
      <c r="H83" s="16">
        <v>0.6</v>
      </c>
      <c r="I83" s="16">
        <v>0.64900000000000002</v>
      </c>
      <c r="J83" s="16">
        <v>0.65</v>
      </c>
      <c r="K83" s="16">
        <v>0.749</v>
      </c>
      <c r="L83" s="16">
        <v>0.75</v>
      </c>
      <c r="M83" s="16" t="s">
        <v>500</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60" t="s">
        <v>58</v>
      </c>
      <c r="E86" s="360"/>
      <c r="F86" s="16" t="s">
        <v>500</v>
      </c>
      <c r="G86" s="16">
        <v>0.84899999999999998</v>
      </c>
      <c r="H86" s="16">
        <v>0.85</v>
      </c>
      <c r="I86" s="16">
        <v>0.89900000000000002</v>
      </c>
      <c r="J86" s="16">
        <v>0.9</v>
      </c>
      <c r="K86" s="16">
        <v>0.999</v>
      </c>
      <c r="L86" s="16"/>
      <c r="M86" s="16">
        <v>1</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66" customHeight="1" x14ac:dyDescent="0.25">
      <c r="B88" s="2"/>
      <c r="D88" s="338" t="s">
        <v>59</v>
      </c>
      <c r="E88" s="339"/>
      <c r="F88" s="340"/>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1.25" customHeight="1" x14ac:dyDescent="0.25">
      <c r="B97" s="2"/>
      <c r="D97" s="359" t="s">
        <v>35</v>
      </c>
      <c r="E97" s="359"/>
      <c r="F97" s="344" t="s">
        <v>1325</v>
      </c>
      <c r="G97" s="344"/>
      <c r="H97" s="344"/>
      <c r="I97" s="344"/>
      <c r="J97" s="344"/>
      <c r="K97" s="344"/>
      <c r="L97" s="344"/>
      <c r="M97" s="344"/>
      <c r="O97" s="2"/>
    </row>
    <row r="98" spans="2:15" ht="42" customHeight="1" x14ac:dyDescent="0.25">
      <c r="B98" s="2"/>
      <c r="D98" s="359" t="s">
        <v>36</v>
      </c>
      <c r="E98" s="359"/>
      <c r="F98" s="344" t="s">
        <v>1325</v>
      </c>
      <c r="G98" s="344"/>
      <c r="H98" s="344"/>
      <c r="I98" s="344"/>
      <c r="J98" s="344"/>
      <c r="K98" s="344"/>
      <c r="L98" s="344"/>
      <c r="M98" s="344"/>
      <c r="O98" s="2"/>
    </row>
    <row r="99" spans="2:15" ht="3.95" customHeight="1" x14ac:dyDescent="0.25">
      <c r="B99" s="2"/>
      <c r="O99" s="2"/>
    </row>
    <row r="100" spans="2:15" ht="58.5" customHeight="1" x14ac:dyDescent="0.25">
      <c r="B100" s="2"/>
      <c r="D100" s="338" t="s">
        <v>62</v>
      </c>
      <c r="E100" s="339"/>
      <c r="F100" s="333"/>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1</v>
      </c>
      <c r="K102" s="20"/>
      <c r="O102" s="2"/>
    </row>
    <row r="103" spans="2:15" ht="19.5" customHeight="1" x14ac:dyDescent="0.25">
      <c r="B103" s="2"/>
      <c r="D103" s="331"/>
      <c r="E103" s="332"/>
      <c r="F103" s="19" t="s">
        <v>66</v>
      </c>
      <c r="G103" s="4" t="s">
        <v>1849</v>
      </c>
      <c r="K103" s="21"/>
      <c r="O103" s="2"/>
    </row>
    <row r="104" spans="2:15" ht="27.75" customHeight="1" x14ac:dyDescent="0.25">
      <c r="B104" s="2"/>
      <c r="D104" s="331"/>
      <c r="E104" s="332"/>
      <c r="F104" s="19" t="s">
        <v>67</v>
      </c>
      <c r="G104" s="340" t="s">
        <v>1850</v>
      </c>
      <c r="H104" s="341"/>
      <c r="I104" s="341"/>
      <c r="J104" s="341"/>
      <c r="K104" s="341"/>
      <c r="L104" s="341"/>
      <c r="M104" s="342"/>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40" t="str">
        <f>+VLOOKUP(H10,tablero!$P$5:$R$201,3,FALSE)</f>
        <v>Jefe Oficina Asesora de Comunicaciones</v>
      </c>
      <c r="H108" s="341"/>
      <c r="I108" s="341"/>
      <c r="J108" s="341"/>
      <c r="K108" s="341"/>
      <c r="L108" s="341"/>
      <c r="M108" s="342"/>
      <c r="O108" s="2"/>
    </row>
    <row r="109" spans="2:15" ht="17.25" customHeight="1" x14ac:dyDescent="0.25">
      <c r="B109" s="2"/>
      <c r="D109" s="331"/>
      <c r="E109" s="332"/>
      <c r="F109" s="19" t="s">
        <v>2042</v>
      </c>
      <c r="G109" s="340" t="str">
        <f>+IF(M23="Si","Coordinador(a) Planeación y Sistemas","")</f>
        <v/>
      </c>
      <c r="H109" s="341"/>
      <c r="I109" s="341"/>
      <c r="J109" s="341"/>
      <c r="K109" s="341"/>
      <c r="L109" s="341"/>
      <c r="M109" s="342"/>
      <c r="O109" s="2"/>
    </row>
    <row r="110" spans="2:15" ht="17.25" customHeight="1" x14ac:dyDescent="0.25">
      <c r="B110" s="2"/>
      <c r="D110" s="331"/>
      <c r="E110" s="332"/>
      <c r="F110" s="19" t="s">
        <v>2043</v>
      </c>
      <c r="G110" s="340" t="str">
        <f>+IF(M24="Si","Coordinador(a) Centro Zonal","")</f>
        <v/>
      </c>
      <c r="H110" s="341"/>
      <c r="I110" s="341"/>
      <c r="J110" s="341"/>
      <c r="K110" s="341"/>
      <c r="L110" s="341"/>
      <c r="M110" s="342"/>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8">
    <cfRule type="expression" dxfId="720" priority="32">
      <formula>+IF($F$43="no",1,0)</formula>
    </cfRule>
  </conditionalFormatting>
  <conditionalFormatting sqref="F32:M33">
    <cfRule type="expression" dxfId="719" priority="31">
      <formula>+IF($Q$30="NA",1,0)</formula>
    </cfRule>
  </conditionalFormatting>
  <conditionalFormatting sqref="F33:M33">
    <cfRule type="expression" dxfId="718" priority="30">
      <formula>+IF($Q$33=0,1,0)</formula>
    </cfRule>
  </conditionalFormatting>
  <conditionalFormatting sqref="F47:M47">
    <cfRule type="expression" dxfId="717" priority="29">
      <formula>+IF($Q$47=0,1,0)</formula>
    </cfRule>
  </conditionalFormatting>
  <conditionalFormatting sqref="F73:G73">
    <cfRule type="cellIs" dxfId="716" priority="15" operator="equal">
      <formula>"optimo"</formula>
    </cfRule>
    <cfRule type="cellIs" dxfId="715" priority="16" operator="equal">
      <formula>"critico"</formula>
    </cfRule>
  </conditionalFormatting>
  <conditionalFormatting sqref="H73:I73">
    <cfRule type="cellIs" dxfId="714" priority="13" operator="equal">
      <formula>"Adecuado"</formula>
    </cfRule>
    <cfRule type="cellIs" dxfId="713" priority="14" operator="equal">
      <formula>"en riesgo"</formula>
    </cfRule>
  </conditionalFormatting>
  <conditionalFormatting sqref="J73:K73">
    <cfRule type="cellIs" dxfId="712" priority="11" operator="equal">
      <formula>"Adecuado"</formula>
    </cfRule>
    <cfRule type="cellIs" dxfId="711" priority="12" operator="equal">
      <formula>"en riesgo"</formula>
    </cfRule>
  </conditionalFormatting>
  <conditionalFormatting sqref="L73:M73">
    <cfRule type="cellIs" dxfId="710" priority="9" operator="equal">
      <formula>"optimo"</formula>
    </cfRule>
    <cfRule type="cellIs" dxfId="709" priority="10" operator="equal">
      <formula>"critico"</formula>
    </cfRule>
  </conditionalFormatting>
  <conditionalFormatting sqref="F75:M86">
    <cfRule type="expression" dxfId="708" priority="8">
      <formula>+IF($AK75=0,1)</formula>
    </cfRule>
  </conditionalFormatting>
  <conditionalFormatting sqref="F103:G104">
    <cfRule type="expression" dxfId="707" priority="7">
      <formula>+IF($G$102="No",1,0)</formula>
    </cfRule>
  </conditionalFormatting>
  <conditionalFormatting sqref="F51">
    <cfRule type="expression" dxfId="706" priority="6">
      <formula>+IF($F$43="no",1,0)</formula>
    </cfRule>
  </conditionalFormatting>
  <conditionalFormatting sqref="I51">
    <cfRule type="expression" dxfId="705" priority="5">
      <formula>+IF($F$51="no",1,0)</formula>
    </cfRule>
  </conditionalFormatting>
  <conditionalFormatting sqref="F49:M49">
    <cfRule type="expression" dxfId="704" priority="4">
      <formula>+IF($F$43="no",1,0)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2">
    <tabColor rgb="FF0070C0"/>
  </sheetPr>
  <dimension ref="B1:AV113"/>
  <sheetViews>
    <sheetView topLeftCell="A67" zoomScaleNormal="100" workbookViewId="0">
      <selection activeCell="F88" sqref="F88:M88"/>
    </sheetView>
  </sheetViews>
  <sheetFormatPr baseColWidth="10" defaultRowHeight="12.75" x14ac:dyDescent="0.25"/>
  <cols>
    <col min="1" max="1" width="1.140625" style="104" customWidth="1"/>
    <col min="2" max="2" width="0.5703125" style="104" customWidth="1"/>
    <col min="3" max="3" width="1.42578125" style="104" customWidth="1"/>
    <col min="4" max="4" width="11" style="104" customWidth="1"/>
    <col min="5" max="13" width="11.42578125" style="104" customWidth="1"/>
    <col min="14" max="14" width="1.42578125" style="104" customWidth="1"/>
    <col min="15" max="15" width="0.5703125" style="104" customWidth="1"/>
    <col min="16" max="16" width="11.42578125" style="105"/>
    <col min="17" max="18" width="11.42578125" style="105" customWidth="1"/>
    <col min="19" max="19" width="11.42578125" style="105"/>
    <col min="20" max="20" width="2.7109375" style="105" customWidth="1"/>
    <col min="21" max="21" width="11.42578125" style="105"/>
    <col min="22" max="22" width="2.7109375" style="105" customWidth="1"/>
    <col min="23" max="23" width="11.42578125" style="105"/>
    <col min="24" max="24" width="2.7109375" style="105" customWidth="1"/>
    <col min="25" max="25" width="11.42578125" style="105"/>
    <col min="26" max="26" width="2.7109375" style="105" customWidth="1"/>
    <col min="27" max="27" width="11.42578125" style="105"/>
    <col min="28" max="28" width="2.7109375" style="105" customWidth="1"/>
    <col min="29" max="31" width="11.42578125" style="105"/>
    <col min="32" max="37" width="3.140625" style="105" customWidth="1"/>
    <col min="38" max="45" width="7.42578125" style="105" customWidth="1"/>
    <col min="46" max="48" width="11.42578125" style="105"/>
    <col min="49" max="16384" width="11.42578125" style="104"/>
  </cols>
  <sheetData>
    <row r="1" spans="2:19" ht="3.95" customHeight="1" x14ac:dyDescent="0.25"/>
    <row r="2" spans="2:19" ht="3.95" customHeight="1" x14ac:dyDescent="0.25">
      <c r="B2" s="106"/>
      <c r="C2" s="106"/>
      <c r="D2" s="106"/>
      <c r="E2" s="106"/>
      <c r="F2" s="106"/>
      <c r="G2" s="106"/>
      <c r="H2" s="106"/>
      <c r="I2" s="106"/>
      <c r="J2" s="106"/>
      <c r="K2" s="106"/>
      <c r="L2" s="106"/>
      <c r="M2" s="106"/>
      <c r="N2" s="106"/>
      <c r="O2" s="106"/>
    </row>
    <row r="3" spans="2:19" ht="20.25" customHeight="1" x14ac:dyDescent="0.25">
      <c r="B3" s="106"/>
      <c r="C3" s="411" t="s">
        <v>0</v>
      </c>
      <c r="D3" s="411"/>
      <c r="E3" s="411"/>
      <c r="F3" s="411"/>
      <c r="G3" s="411"/>
      <c r="H3" s="411"/>
      <c r="I3" s="411"/>
      <c r="J3" s="411"/>
      <c r="K3" s="411"/>
      <c r="L3" s="411"/>
      <c r="M3" s="411"/>
      <c r="N3" s="411"/>
      <c r="O3" s="106"/>
    </row>
    <row r="4" spans="2:19" ht="20.25" customHeight="1" x14ac:dyDescent="0.25">
      <c r="B4" s="106"/>
      <c r="C4" s="411"/>
      <c r="D4" s="411"/>
      <c r="E4" s="411"/>
      <c r="F4" s="411"/>
      <c r="G4" s="411"/>
      <c r="H4" s="411"/>
      <c r="I4" s="411"/>
      <c r="J4" s="411"/>
      <c r="K4" s="411"/>
      <c r="L4" s="411"/>
      <c r="M4" s="411"/>
      <c r="N4" s="411"/>
      <c r="O4" s="106"/>
      <c r="Q4" s="3"/>
      <c r="R4" s="3"/>
      <c r="S4" s="105" t="s">
        <v>1</v>
      </c>
    </row>
    <row r="5" spans="2:19" ht="20.25" customHeight="1" x14ac:dyDescent="0.25">
      <c r="B5" s="106"/>
      <c r="C5" s="411"/>
      <c r="D5" s="411"/>
      <c r="E5" s="411"/>
      <c r="F5" s="411"/>
      <c r="G5" s="411"/>
      <c r="H5" s="411"/>
      <c r="I5" s="411"/>
      <c r="J5" s="411"/>
      <c r="K5" s="411"/>
      <c r="L5" s="411"/>
      <c r="M5" s="411"/>
      <c r="N5" s="411"/>
      <c r="O5" s="106"/>
      <c r="S5" s="105" t="s">
        <v>2</v>
      </c>
    </row>
    <row r="6" spans="2:19" ht="3" customHeight="1" x14ac:dyDescent="0.25">
      <c r="B6" s="106"/>
      <c r="C6" s="106"/>
      <c r="D6" s="106"/>
      <c r="E6" s="106"/>
      <c r="F6" s="106"/>
      <c r="G6" s="106"/>
      <c r="H6" s="106"/>
      <c r="I6" s="106"/>
      <c r="J6" s="106"/>
      <c r="K6" s="106"/>
      <c r="L6" s="106"/>
      <c r="M6" s="106"/>
      <c r="N6" s="106"/>
      <c r="O6" s="106"/>
    </row>
    <row r="7" spans="2:19" ht="3" customHeight="1" x14ac:dyDescent="0.25"/>
    <row r="8" spans="2:19" ht="3.95" customHeight="1" x14ac:dyDescent="0.25">
      <c r="B8" s="106"/>
      <c r="C8" s="106"/>
      <c r="D8" s="106"/>
      <c r="E8" s="106"/>
      <c r="F8" s="106"/>
      <c r="G8" s="106"/>
      <c r="H8" s="106"/>
      <c r="I8" s="106"/>
      <c r="J8" s="106"/>
      <c r="K8" s="106"/>
      <c r="L8" s="106"/>
      <c r="M8" s="106"/>
      <c r="N8" s="106"/>
      <c r="O8" s="106"/>
    </row>
    <row r="9" spans="2:19" ht="3.95" customHeight="1" x14ac:dyDescent="0.25">
      <c r="B9" s="106"/>
      <c r="O9" s="106"/>
    </row>
    <row r="10" spans="2:19" ht="15.75" customHeight="1" x14ac:dyDescent="0.25">
      <c r="B10" s="106"/>
      <c r="D10" s="387" t="s">
        <v>3</v>
      </c>
      <c r="E10" s="387"/>
      <c r="F10" s="107">
        <v>2015</v>
      </c>
      <c r="G10" s="108" t="s">
        <v>4</v>
      </c>
      <c r="H10" s="107" t="s">
        <v>1366</v>
      </c>
      <c r="O10" s="106"/>
    </row>
    <row r="11" spans="2:19" ht="3.95" customHeight="1" x14ac:dyDescent="0.25">
      <c r="B11" s="106"/>
      <c r="D11" s="109"/>
      <c r="O11" s="106"/>
    </row>
    <row r="12" spans="2:19" ht="36" customHeight="1" x14ac:dyDescent="0.25">
      <c r="B12" s="106"/>
      <c r="D12" s="378" t="s">
        <v>5</v>
      </c>
      <c r="E12" s="379"/>
      <c r="F12" s="389" t="s">
        <v>1355</v>
      </c>
      <c r="G12" s="390"/>
      <c r="H12" s="390"/>
      <c r="I12" s="390"/>
      <c r="J12" s="390"/>
      <c r="K12" s="390"/>
      <c r="L12" s="390"/>
      <c r="M12" s="391"/>
      <c r="O12" s="106"/>
      <c r="Q12" s="110" t="s">
        <v>1977</v>
      </c>
      <c r="S12" s="111">
        <v>154</v>
      </c>
    </row>
    <row r="13" spans="2:19" ht="3.95" customHeight="1" x14ac:dyDescent="0.25">
      <c r="B13" s="106"/>
      <c r="O13" s="106"/>
    </row>
    <row r="14" spans="2:19" ht="38.25" customHeight="1" x14ac:dyDescent="0.25">
      <c r="B14" s="106"/>
      <c r="D14" s="378" t="s">
        <v>6</v>
      </c>
      <c r="E14" s="379"/>
      <c r="F14" s="389" t="s">
        <v>1327</v>
      </c>
      <c r="G14" s="390"/>
      <c r="H14" s="390"/>
      <c r="I14" s="390"/>
      <c r="J14" s="390"/>
      <c r="K14" s="390"/>
      <c r="L14" s="390"/>
      <c r="M14" s="391"/>
      <c r="O14" s="106"/>
    </row>
    <row r="15" spans="2:19" ht="3.95" customHeight="1" x14ac:dyDescent="0.25">
      <c r="B15" s="106"/>
      <c r="O15" s="106"/>
    </row>
    <row r="16" spans="2:19" ht="3" customHeight="1" x14ac:dyDescent="0.25">
      <c r="B16" s="106"/>
      <c r="C16" s="106"/>
      <c r="D16" s="106"/>
      <c r="E16" s="106"/>
      <c r="F16" s="106"/>
      <c r="G16" s="106"/>
      <c r="H16" s="106"/>
      <c r="I16" s="106"/>
      <c r="J16" s="106"/>
      <c r="K16" s="106"/>
      <c r="L16" s="106"/>
      <c r="M16" s="106"/>
      <c r="N16" s="106"/>
      <c r="O16" s="106"/>
    </row>
    <row r="17" spans="2:17" ht="3" customHeight="1" x14ac:dyDescent="0.25"/>
    <row r="18" spans="2:17" ht="3" customHeight="1" x14ac:dyDescent="0.25">
      <c r="B18" s="106"/>
      <c r="C18" s="106"/>
      <c r="D18" s="106"/>
      <c r="E18" s="106"/>
      <c r="F18" s="106"/>
      <c r="G18" s="106"/>
      <c r="H18" s="106"/>
      <c r="I18" s="106"/>
      <c r="J18" s="106"/>
      <c r="K18" s="106"/>
      <c r="L18" s="106"/>
      <c r="M18" s="106"/>
      <c r="N18" s="106"/>
      <c r="O18" s="106"/>
    </row>
    <row r="19" spans="2:17" ht="3.95" customHeight="1" x14ac:dyDescent="0.25">
      <c r="B19" s="106"/>
      <c r="O19" s="106"/>
    </row>
    <row r="20" spans="2:17" x14ac:dyDescent="0.25">
      <c r="B20" s="106"/>
      <c r="D20" s="112" t="s">
        <v>7</v>
      </c>
      <c r="O20" s="106"/>
    </row>
    <row r="21" spans="2:17" ht="3.95" customHeight="1" x14ac:dyDescent="0.25">
      <c r="B21" s="106"/>
      <c r="O21" s="106"/>
    </row>
    <row r="22" spans="2:17" ht="18.75" customHeight="1" x14ac:dyDescent="0.25">
      <c r="B22" s="106"/>
      <c r="D22" s="387" t="s">
        <v>8</v>
      </c>
      <c r="E22" s="387"/>
      <c r="F22" s="113" t="s">
        <v>1978</v>
      </c>
      <c r="G22" s="387" t="s">
        <v>9</v>
      </c>
      <c r="H22" s="387"/>
      <c r="I22" s="114">
        <f>+IFERROR(VLOOKUP($S$12,[1]Hoja1!$B$5:$AT$190,19,FALSE),"")</f>
        <v>1</v>
      </c>
      <c r="K22" s="387" t="s">
        <v>10</v>
      </c>
      <c r="L22" s="387"/>
      <c r="M22" s="115" t="str">
        <f>+IFERROR(VLOOKUP($S$12,[1]Hoja1!$B$5:$AT$190,22,FALSE),"")</f>
        <v>Si</v>
      </c>
      <c r="O22" s="106"/>
    </row>
    <row r="23" spans="2:17" ht="19.5" customHeight="1" x14ac:dyDescent="0.25">
      <c r="B23" s="106"/>
      <c r="D23" s="387" t="s">
        <v>11</v>
      </c>
      <c r="E23" s="387"/>
      <c r="F23" s="107" t="str">
        <f>+IFERROR(VLOOKUP($S$12,[1]Hoja1!$B$5:$AT$190,33,FALSE),"")</f>
        <v>Mensual</v>
      </c>
      <c r="G23" s="387" t="s">
        <v>12</v>
      </c>
      <c r="H23" s="387"/>
      <c r="I23" s="107" t="str">
        <f>+IFERROR(VLOOKUP($S$12,[1]Hoja1!$B$5:$AT$190,21,FALSE),"")</f>
        <v>Porcentaje</v>
      </c>
      <c r="K23" s="387" t="s">
        <v>13</v>
      </c>
      <c r="L23" s="387"/>
      <c r="M23" s="115" t="str">
        <f>+IFERROR(VLOOKUP($S$12,[1]Hoja1!$B$5:$AT$190,23,FALSE),"")</f>
        <v>No</v>
      </c>
      <c r="O23" s="106"/>
    </row>
    <row r="24" spans="2:17" ht="20.100000000000001" customHeight="1" x14ac:dyDescent="0.25">
      <c r="B24" s="106"/>
      <c r="D24" s="387" t="s">
        <v>14</v>
      </c>
      <c r="E24" s="387"/>
      <c r="F24" s="107" t="s">
        <v>498</v>
      </c>
      <c r="G24" s="387" t="s">
        <v>15</v>
      </c>
      <c r="H24" s="387"/>
      <c r="I24" s="107" t="s">
        <v>103</v>
      </c>
      <c r="K24" s="387" t="s">
        <v>16</v>
      </c>
      <c r="L24" s="387"/>
      <c r="M24" s="115" t="str">
        <f>+IFERROR(VLOOKUP($S$12,[1]Hoja1!$B$5:$AT$190,24,FALSE),"")</f>
        <v>No</v>
      </c>
      <c r="O24" s="106"/>
    </row>
    <row r="25" spans="2:17" ht="20.100000000000001" customHeight="1" x14ac:dyDescent="0.25">
      <c r="B25" s="106"/>
      <c r="D25" s="387" t="s">
        <v>17</v>
      </c>
      <c r="E25" s="387"/>
      <c r="F25" s="107" t="str">
        <f>+IFERROR(VLOOKUP($S$12,[1]Hoja1!$B$5:$AT$190,18,FALSE),"")</f>
        <v>Eficiencia</v>
      </c>
      <c r="O25" s="106"/>
    </row>
    <row r="26" spans="2:17" ht="3.95" customHeight="1" x14ac:dyDescent="0.25">
      <c r="B26" s="106"/>
      <c r="O26" s="106"/>
    </row>
    <row r="27" spans="2:17" x14ac:dyDescent="0.25">
      <c r="B27" s="106"/>
      <c r="D27" s="112" t="s">
        <v>18</v>
      </c>
      <c r="O27" s="106"/>
    </row>
    <row r="28" spans="2:17" ht="3.95" customHeight="1" x14ac:dyDescent="0.25">
      <c r="B28" s="106"/>
      <c r="O28" s="106"/>
    </row>
    <row r="29" spans="2:17" ht="36" customHeight="1" x14ac:dyDescent="0.25">
      <c r="B29" s="106"/>
      <c r="D29" s="393" t="s">
        <v>19</v>
      </c>
      <c r="E29" s="393"/>
      <c r="F29" s="344" t="s">
        <v>891</v>
      </c>
      <c r="G29" s="344"/>
      <c r="H29" s="344"/>
      <c r="I29" s="344"/>
      <c r="J29" s="344"/>
      <c r="K29" s="344"/>
      <c r="L29" s="344"/>
      <c r="M29" s="344"/>
      <c r="O29" s="106"/>
      <c r="P29" s="105" t="s">
        <v>1987</v>
      </c>
    </row>
    <row r="30" spans="2:17" ht="18" customHeight="1" x14ac:dyDescent="0.25">
      <c r="B30" s="106"/>
      <c r="D30" s="404" t="s">
        <v>21</v>
      </c>
      <c r="E30" s="405"/>
      <c r="F30" s="10" t="s">
        <v>22</v>
      </c>
      <c r="G30" s="349" t="s">
        <v>5</v>
      </c>
      <c r="H30" s="350"/>
      <c r="I30" s="350"/>
      <c r="J30" s="350"/>
      <c r="K30" s="350"/>
      <c r="L30" s="350"/>
      <c r="M30" s="351"/>
      <c r="O30" s="106"/>
      <c r="Q30" s="105" t="str">
        <f>+IFERROR(VLOOKUP(G31,[1]base!$A$9:$C$25,3,FALSE),"")</f>
        <v>NA</v>
      </c>
    </row>
    <row r="31" spans="2:17" ht="24" customHeight="1" x14ac:dyDescent="0.25">
      <c r="B31" s="106"/>
      <c r="D31" s="406"/>
      <c r="E31" s="407"/>
      <c r="F31" s="4" t="s">
        <v>405</v>
      </c>
      <c r="G31" s="340" t="s">
        <v>406</v>
      </c>
      <c r="H31" s="341"/>
      <c r="I31" s="341"/>
      <c r="J31" s="341"/>
      <c r="K31" s="341"/>
      <c r="L31" s="341"/>
      <c r="M31" s="342"/>
      <c r="O31" s="106"/>
    </row>
    <row r="32" spans="2:17" ht="18" customHeight="1" x14ac:dyDescent="0.25">
      <c r="B32" s="106"/>
      <c r="D32" s="404" t="s">
        <v>23</v>
      </c>
      <c r="E32" s="405"/>
      <c r="F32" s="116" t="s">
        <v>22</v>
      </c>
      <c r="G32" s="408" t="s">
        <v>5</v>
      </c>
      <c r="H32" s="409"/>
      <c r="I32" s="409"/>
      <c r="J32" s="409"/>
      <c r="K32" s="409"/>
      <c r="L32" s="409"/>
      <c r="M32" s="410"/>
      <c r="O32" s="106"/>
    </row>
    <row r="33" spans="2:17" ht="24" customHeight="1" x14ac:dyDescent="0.25">
      <c r="B33" s="106"/>
      <c r="D33" s="406"/>
      <c r="E33" s="407"/>
      <c r="F33" s="117" t="str">
        <f>+IFERROR(VLOOKUP(G33,[1]base!$A$26:$B$40,2,FALSE),"")</f>
        <v/>
      </c>
      <c r="G33" s="389"/>
      <c r="H33" s="390"/>
      <c r="I33" s="390"/>
      <c r="J33" s="390"/>
      <c r="K33" s="390"/>
      <c r="L33" s="390"/>
      <c r="M33" s="391"/>
      <c r="O33" s="106"/>
      <c r="Q33" s="105" t="str">
        <f>+IFERROR(IF(VLOOKUP(G33,[1]base!$A$26:$C$40,3,FALSE)=F31,1,0),"")</f>
        <v/>
      </c>
    </row>
    <row r="34" spans="2:17" ht="18" customHeight="1" x14ac:dyDescent="0.25">
      <c r="B34" s="106"/>
      <c r="D34" s="404" t="s">
        <v>24</v>
      </c>
      <c r="E34" s="405"/>
      <c r="F34" s="116" t="s">
        <v>22</v>
      </c>
      <c r="G34" s="408" t="s">
        <v>5</v>
      </c>
      <c r="H34" s="409"/>
      <c r="I34" s="409"/>
      <c r="J34" s="409"/>
      <c r="K34" s="409"/>
      <c r="L34" s="409"/>
      <c r="M34" s="410"/>
      <c r="O34" s="106"/>
    </row>
    <row r="35" spans="2:17" ht="38.25" customHeight="1" x14ac:dyDescent="0.25">
      <c r="B35" s="106"/>
      <c r="D35" s="406"/>
      <c r="E35" s="407"/>
      <c r="F35" s="4" t="s">
        <v>1716</v>
      </c>
      <c r="G35" s="340" t="s">
        <v>1592</v>
      </c>
      <c r="H35" s="341"/>
      <c r="I35" s="341"/>
      <c r="J35" s="341"/>
      <c r="K35" s="341"/>
      <c r="L35" s="341"/>
      <c r="M35" s="342"/>
      <c r="O35" s="106"/>
    </row>
    <row r="36" spans="2:17" ht="3.95" customHeight="1" x14ac:dyDescent="0.25">
      <c r="B36" s="106"/>
      <c r="O36" s="106"/>
    </row>
    <row r="37" spans="2:17" ht="3" customHeight="1" x14ac:dyDescent="0.25">
      <c r="B37" s="106"/>
      <c r="C37" s="106"/>
      <c r="D37" s="106"/>
      <c r="E37" s="106"/>
      <c r="F37" s="106"/>
      <c r="G37" s="106"/>
      <c r="H37" s="106"/>
      <c r="I37" s="106"/>
      <c r="J37" s="106"/>
      <c r="K37" s="106"/>
      <c r="L37" s="106"/>
      <c r="M37" s="106"/>
      <c r="N37" s="106"/>
      <c r="O37" s="106"/>
    </row>
    <row r="38" spans="2:17" ht="3" customHeight="1" x14ac:dyDescent="0.25"/>
    <row r="39" spans="2:17" ht="3" customHeight="1" x14ac:dyDescent="0.25">
      <c r="B39" s="106"/>
      <c r="C39" s="106"/>
      <c r="D39" s="106"/>
      <c r="E39" s="106"/>
      <c r="F39" s="106"/>
      <c r="G39" s="106"/>
      <c r="H39" s="106"/>
      <c r="I39" s="106"/>
      <c r="J39" s="106"/>
      <c r="K39" s="106"/>
      <c r="L39" s="106"/>
      <c r="M39" s="106"/>
      <c r="N39" s="106"/>
      <c r="O39" s="106"/>
    </row>
    <row r="40" spans="2:17" ht="3.95" customHeight="1" x14ac:dyDescent="0.25">
      <c r="B40" s="106"/>
      <c r="D40" s="112"/>
      <c r="O40" s="106"/>
    </row>
    <row r="41" spans="2:17" x14ac:dyDescent="0.25">
      <c r="B41" s="106"/>
      <c r="D41" s="112" t="s">
        <v>25</v>
      </c>
      <c r="O41" s="106"/>
    </row>
    <row r="42" spans="2:17" ht="3.95" customHeight="1" x14ac:dyDescent="0.25">
      <c r="B42" s="106"/>
      <c r="O42" s="106"/>
    </row>
    <row r="43" spans="2:17" ht="20.100000000000001" customHeight="1" x14ac:dyDescent="0.25">
      <c r="B43" s="106"/>
      <c r="D43" s="387" t="s">
        <v>26</v>
      </c>
      <c r="E43" s="387"/>
      <c r="F43" s="107" t="s">
        <v>2</v>
      </c>
      <c r="O43" s="106"/>
    </row>
    <row r="44" spans="2:17" ht="18" customHeight="1" x14ac:dyDescent="0.25">
      <c r="B44" s="106"/>
      <c r="D44" s="397" t="s">
        <v>27</v>
      </c>
      <c r="E44" s="398"/>
      <c r="F44" s="118" t="s">
        <v>22</v>
      </c>
      <c r="G44" s="401" t="s">
        <v>5</v>
      </c>
      <c r="H44" s="402"/>
      <c r="I44" s="402"/>
      <c r="J44" s="402"/>
      <c r="K44" s="402"/>
      <c r="L44" s="402"/>
      <c r="M44" s="403"/>
      <c r="O44" s="106"/>
    </row>
    <row r="45" spans="2:17" ht="18" customHeight="1" x14ac:dyDescent="0.25">
      <c r="B45" s="106"/>
      <c r="D45" s="399"/>
      <c r="E45" s="400"/>
      <c r="F45" s="107" t="str">
        <f>+IFERROR(VLOOKUP(G45,[1]base!$A$41:$B$45,2,FALSE),"")</f>
        <v>LP5</v>
      </c>
      <c r="G45" s="389" t="str">
        <f>+IFERROR(VLOOKUP($S$12,[1]Hoja1!$B$5:$AT$190,6,FALSE),"")</f>
        <v>Gestión Financiera</v>
      </c>
      <c r="H45" s="390"/>
      <c r="I45" s="390"/>
      <c r="J45" s="390"/>
      <c r="K45" s="390"/>
      <c r="L45" s="390"/>
      <c r="M45" s="391"/>
      <c r="O45" s="106"/>
      <c r="Q45" s="105" t="str">
        <f>+IFERROR(VLOOKUP(G45,[1]base!$A$41:$C$45,3,FALSE),"")</f>
        <v>financiera</v>
      </c>
    </row>
    <row r="46" spans="2:17" ht="18" customHeight="1" x14ac:dyDescent="0.25">
      <c r="B46" s="106"/>
      <c r="D46" s="397" t="s">
        <v>28</v>
      </c>
      <c r="E46" s="398"/>
      <c r="F46" s="118" t="s">
        <v>22</v>
      </c>
      <c r="G46" s="401" t="s">
        <v>5</v>
      </c>
      <c r="H46" s="402"/>
      <c r="I46" s="402"/>
      <c r="J46" s="402"/>
      <c r="K46" s="402"/>
      <c r="L46" s="402"/>
      <c r="M46" s="403"/>
      <c r="O46" s="106"/>
    </row>
    <row r="47" spans="2:17" ht="18" customHeight="1" x14ac:dyDescent="0.25">
      <c r="B47" s="106"/>
      <c r="D47" s="399"/>
      <c r="E47" s="400"/>
      <c r="F47" s="107" t="str">
        <f>+IFERROR(VLOOKUP(G47,[1]base!$A$46:$B$66,2,FALSE),"")</f>
        <v/>
      </c>
      <c r="G47" s="389"/>
      <c r="H47" s="390"/>
      <c r="I47" s="390"/>
      <c r="J47" s="390"/>
      <c r="K47" s="390"/>
      <c r="L47" s="390"/>
      <c r="M47" s="391"/>
      <c r="O47" s="106"/>
      <c r="Q47" s="105" t="e">
        <f>+IF(VLOOKUP(G47,[1]base!$A$46:$C$66,3,FALSE)=F45,1,0)</f>
        <v>#N/A</v>
      </c>
    </row>
    <row r="48" spans="2:17" ht="18" customHeight="1" x14ac:dyDescent="0.25">
      <c r="B48" s="106"/>
      <c r="D48" s="397" t="s">
        <v>29</v>
      </c>
      <c r="E48" s="398"/>
      <c r="F48" s="118" t="s">
        <v>22</v>
      </c>
      <c r="G48" s="401" t="s">
        <v>5</v>
      </c>
      <c r="H48" s="402"/>
      <c r="I48" s="402"/>
      <c r="J48" s="402"/>
      <c r="K48" s="402"/>
      <c r="L48" s="402"/>
      <c r="M48" s="403"/>
      <c r="O48" s="106"/>
    </row>
    <row r="49" spans="2:15" ht="29.25" customHeight="1" x14ac:dyDescent="0.25">
      <c r="B49" s="106"/>
      <c r="D49" s="399"/>
      <c r="E49" s="400"/>
      <c r="F49" s="119" t="str">
        <f>+IFERROR(VLOOKUP(G49,[1]base!$G$37:$H$47,2,FALSE),"")</f>
        <v>C-310-300-2</v>
      </c>
      <c r="G49" s="389" t="s">
        <v>899</v>
      </c>
      <c r="H49" s="390"/>
      <c r="I49" s="390"/>
      <c r="J49" s="390"/>
      <c r="K49" s="390"/>
      <c r="L49" s="390"/>
      <c r="M49" s="391"/>
      <c r="O49" s="106"/>
    </row>
    <row r="50" spans="2:15" ht="3.95" customHeight="1" x14ac:dyDescent="0.25">
      <c r="B50" s="106"/>
      <c r="O50" s="106"/>
    </row>
    <row r="51" spans="2:15" ht="20.100000000000001" customHeight="1" x14ac:dyDescent="0.25">
      <c r="B51" s="106"/>
      <c r="D51" s="387" t="s">
        <v>31</v>
      </c>
      <c r="E51" s="387"/>
      <c r="F51" s="107" t="str">
        <f>+IFERROR(VLOOKUP($S$12,[1]Hoja1!$B$5:$AT$190,26,FALSE),"")</f>
        <v>No</v>
      </c>
      <c r="G51" s="387" t="s">
        <v>32</v>
      </c>
      <c r="H51" s="387"/>
      <c r="I51" s="120" t="str">
        <f>+IFERROR(IF(F51="No","",VLOOKUP($S$12,[1]Hoja1!$B$5:$AT$190,20,FALSE)),"")</f>
        <v/>
      </c>
      <c r="O51" s="106"/>
    </row>
    <row r="52" spans="2:15" ht="3.95" customHeight="1" x14ac:dyDescent="0.25">
      <c r="B52" s="106"/>
      <c r="O52" s="106"/>
    </row>
    <row r="53" spans="2:15" ht="3" customHeight="1" x14ac:dyDescent="0.25">
      <c r="B53" s="106"/>
      <c r="C53" s="106"/>
      <c r="D53" s="106"/>
      <c r="E53" s="106"/>
      <c r="F53" s="106"/>
      <c r="G53" s="106"/>
      <c r="H53" s="106"/>
      <c r="I53" s="106"/>
      <c r="J53" s="106"/>
      <c r="K53" s="106"/>
      <c r="L53" s="106"/>
      <c r="M53" s="106"/>
      <c r="N53" s="106"/>
      <c r="O53" s="106"/>
    </row>
    <row r="54" spans="2:15" ht="3" customHeight="1" x14ac:dyDescent="0.25"/>
    <row r="55" spans="2:15" ht="3.95" customHeight="1" x14ac:dyDescent="0.25">
      <c r="B55" s="106"/>
      <c r="C55" s="106"/>
      <c r="D55" s="106"/>
      <c r="E55" s="106"/>
      <c r="F55" s="106"/>
      <c r="G55" s="106"/>
      <c r="H55" s="106"/>
      <c r="I55" s="106"/>
      <c r="J55" s="106"/>
      <c r="K55" s="106"/>
      <c r="L55" s="106"/>
      <c r="M55" s="106"/>
      <c r="N55" s="106"/>
      <c r="O55" s="106"/>
    </row>
    <row r="56" spans="2:15" ht="3.95" customHeight="1" x14ac:dyDescent="0.25">
      <c r="B56" s="106"/>
      <c r="O56" s="106"/>
    </row>
    <row r="57" spans="2:15" x14ac:dyDescent="0.25">
      <c r="B57" s="106"/>
      <c r="D57" s="112" t="s">
        <v>33</v>
      </c>
      <c r="O57" s="106"/>
    </row>
    <row r="58" spans="2:15" ht="3.95" customHeight="1" x14ac:dyDescent="0.25">
      <c r="B58" s="106"/>
      <c r="O58" s="106"/>
    </row>
    <row r="59" spans="2:15" ht="30" customHeight="1" x14ac:dyDescent="0.25">
      <c r="B59" s="106"/>
      <c r="D59" s="387" t="s">
        <v>34</v>
      </c>
      <c r="E59" s="387"/>
      <c r="F59" s="370" t="str">
        <f>+IF(F60="","",F60&amp;" / "&amp;F61)</f>
        <v>Recursos Comprometidos / Meta Mensual de Compromisos</v>
      </c>
      <c r="G59" s="370"/>
      <c r="H59" s="370"/>
      <c r="I59" s="370"/>
      <c r="J59" s="370"/>
      <c r="K59" s="370"/>
      <c r="L59" s="370"/>
      <c r="M59" s="370"/>
      <c r="O59" s="106"/>
    </row>
    <row r="60" spans="2:15" ht="30" customHeight="1" x14ac:dyDescent="0.25">
      <c r="B60" s="106"/>
      <c r="D60" s="369" t="s">
        <v>35</v>
      </c>
      <c r="E60" s="369"/>
      <c r="F60" s="370" t="str">
        <f>+IFERROR(VLOOKUP($S$12,[1]Hoja1!$B$5:$AT$190,28,FALSE),"")</f>
        <v>Recursos Comprometidos</v>
      </c>
      <c r="G60" s="370"/>
      <c r="H60" s="370"/>
      <c r="I60" s="370"/>
      <c r="J60" s="370"/>
      <c r="K60" s="370"/>
      <c r="L60" s="370"/>
      <c r="M60" s="370"/>
      <c r="O60" s="106"/>
    </row>
    <row r="61" spans="2:15" ht="30" customHeight="1" x14ac:dyDescent="0.25">
      <c r="B61" s="106"/>
      <c r="D61" s="369" t="s">
        <v>36</v>
      </c>
      <c r="E61" s="369"/>
      <c r="F61" s="389" t="str">
        <f>+IFERROR(VLOOKUP($S$12,[1]Hoja1!$B$5:$AT$190,30,FALSE),"")</f>
        <v>Meta Mensual de Compromisos</v>
      </c>
      <c r="G61" s="390"/>
      <c r="H61" s="390"/>
      <c r="I61" s="390"/>
      <c r="J61" s="390"/>
      <c r="K61" s="390"/>
      <c r="L61" s="390"/>
      <c r="M61" s="391"/>
      <c r="O61" s="106"/>
    </row>
    <row r="62" spans="2:15" ht="3.95" customHeight="1" x14ac:dyDescent="0.25">
      <c r="B62" s="106"/>
      <c r="O62" s="106"/>
    </row>
    <row r="63" spans="2:15" ht="3" customHeight="1" x14ac:dyDescent="0.25">
      <c r="B63" s="106"/>
      <c r="C63" s="106"/>
      <c r="D63" s="106"/>
      <c r="E63" s="106"/>
      <c r="F63" s="106"/>
      <c r="G63" s="106"/>
      <c r="H63" s="106"/>
      <c r="I63" s="106"/>
      <c r="J63" s="106"/>
      <c r="K63" s="106"/>
      <c r="L63" s="106"/>
      <c r="M63" s="106"/>
      <c r="N63" s="106"/>
      <c r="O63" s="106"/>
    </row>
    <row r="64" spans="2:15" x14ac:dyDescent="0.25">
      <c r="M64" s="121" t="s">
        <v>37</v>
      </c>
    </row>
    <row r="65" spans="2:45" ht="3" customHeight="1" x14ac:dyDescent="0.25">
      <c r="B65" s="106"/>
      <c r="C65" s="106"/>
      <c r="D65" s="106"/>
      <c r="E65" s="106"/>
      <c r="F65" s="106"/>
      <c r="G65" s="106"/>
      <c r="H65" s="106"/>
      <c r="I65" s="106"/>
      <c r="J65" s="106"/>
      <c r="K65" s="106"/>
      <c r="L65" s="106"/>
      <c r="M65" s="106"/>
      <c r="N65" s="106"/>
      <c r="O65" s="106"/>
    </row>
    <row r="66" spans="2:45" ht="3.95" customHeight="1" x14ac:dyDescent="0.25">
      <c r="B66" s="106"/>
      <c r="O66" s="106"/>
    </row>
    <row r="67" spans="2:45" x14ac:dyDescent="0.25">
      <c r="B67" s="106"/>
      <c r="D67" s="392" t="s">
        <v>38</v>
      </c>
      <c r="E67" s="392"/>
      <c r="O67" s="106"/>
    </row>
    <row r="68" spans="2:45" ht="3.95" customHeight="1" x14ac:dyDescent="0.25">
      <c r="B68" s="106"/>
      <c r="D68" s="112"/>
      <c r="E68" s="112"/>
      <c r="O68" s="106"/>
    </row>
    <row r="69" spans="2:45" ht="18.75" customHeight="1" x14ac:dyDescent="0.25">
      <c r="B69" s="106"/>
      <c r="O69" s="106"/>
      <c r="Q69" s="122" t="s">
        <v>11</v>
      </c>
      <c r="S69" s="105" t="str">
        <f>+IF(F23=0,"",F23)</f>
        <v>Mensual</v>
      </c>
      <c r="U69" s="105">
        <f>+IFERROR(VLOOKUP(S69,[1]base!$H$23:$I$28,2,FALSE),"")</f>
        <v>1</v>
      </c>
    </row>
    <row r="70" spans="2:45" ht="3.95" customHeight="1" x14ac:dyDescent="0.25">
      <c r="B70" s="106"/>
      <c r="D70" s="112"/>
      <c r="E70" s="112"/>
      <c r="O70" s="106"/>
    </row>
    <row r="71" spans="2:45" ht="18.75" customHeight="1" x14ac:dyDescent="0.25">
      <c r="B71" s="106"/>
      <c r="D71" s="393" t="s">
        <v>39</v>
      </c>
      <c r="E71" s="393"/>
      <c r="F71" s="107" t="s">
        <v>47</v>
      </c>
      <c r="G71" s="105">
        <f>+IFERROR(VLOOKUP(F71,$AE$75:$AF$86,2,FALSE),"")</f>
        <v>3</v>
      </c>
      <c r="O71" s="106"/>
      <c r="Q71" s="122" t="s">
        <v>14</v>
      </c>
      <c r="S71" s="105" t="str">
        <f>+IF(F24=0,"",F24)</f>
        <v>Creciente</v>
      </c>
    </row>
    <row r="72" spans="2:45" ht="3.95" customHeight="1" x14ac:dyDescent="0.25">
      <c r="B72" s="106"/>
      <c r="D72" s="112"/>
      <c r="E72" s="112"/>
      <c r="O72" s="106"/>
    </row>
    <row r="73" spans="2:45" x14ac:dyDescent="0.25">
      <c r="B73" s="106"/>
      <c r="D73" s="394" t="s">
        <v>41</v>
      </c>
      <c r="E73" s="394"/>
      <c r="F73" s="395" t="s">
        <v>42</v>
      </c>
      <c r="G73" s="396"/>
      <c r="H73" s="395" t="s">
        <v>43</v>
      </c>
      <c r="I73" s="396"/>
      <c r="J73" s="395" t="s">
        <v>44</v>
      </c>
      <c r="K73" s="396"/>
      <c r="L73" s="395" t="s">
        <v>45</v>
      </c>
      <c r="M73" s="396"/>
      <c r="O73" s="106"/>
      <c r="S73" s="111">
        <f>+IFERROR(VLOOKUP(S74,$AE$75:$AK$86,7,FALSE),"")</f>
        <v>0</v>
      </c>
      <c r="U73" s="111">
        <f>+IFERROR(VLOOKUP(U74,$AE$75:$AK$86,7,FALSE),"")</f>
        <v>0</v>
      </c>
      <c r="W73" s="111">
        <f>+IFERROR(VLOOKUP(W74,$AE$75:$AK$86,7,FALSE),"")</f>
        <v>1</v>
      </c>
      <c r="Y73" s="111">
        <f>+IFERROR(VLOOKUP(Y74,$AE$75:$AK$86,7,FALSE),"")</f>
        <v>1</v>
      </c>
      <c r="AA73" s="111">
        <f>+IFERROR(VLOOKUP(AA74,$AE$75:$AK$86,7,FALSE),"")</f>
        <v>1</v>
      </c>
      <c r="AC73" s="111">
        <f>+IFERROR(VLOOKUP(AC74,$AE$75:$AK$86,7,FALSE),"")</f>
        <v>1</v>
      </c>
      <c r="AL73" s="388" t="s">
        <v>42</v>
      </c>
      <c r="AM73" s="388"/>
      <c r="AN73" s="388" t="s">
        <v>43</v>
      </c>
      <c r="AO73" s="388"/>
      <c r="AP73" s="388" t="s">
        <v>44</v>
      </c>
      <c r="AQ73" s="388"/>
      <c r="AR73" s="388" t="s">
        <v>45</v>
      </c>
      <c r="AS73" s="388"/>
    </row>
    <row r="74" spans="2:45" x14ac:dyDescent="0.25">
      <c r="B74" s="106"/>
      <c r="D74" s="394"/>
      <c r="E74" s="394"/>
      <c r="F74" s="123" t="str">
        <f>+IF($F$24="Decreciente","Max","Min")</f>
        <v>Min</v>
      </c>
      <c r="G74" s="123" t="str">
        <f>+IF($F$24="Decreciente","MIn","Max")</f>
        <v>Max</v>
      </c>
      <c r="H74" s="123" t="str">
        <f>+IF($F$24="Decreciente","Max","Min")</f>
        <v>Min</v>
      </c>
      <c r="I74" s="123" t="str">
        <f>+IF($F$24="Decreciente","MIn","Max")</f>
        <v>Max</v>
      </c>
      <c r="J74" s="123" t="str">
        <f>+IF($F$24="Decreciente","Max","Min")</f>
        <v>Min</v>
      </c>
      <c r="K74" s="123" t="str">
        <f>+IF($F$24="Decreciente","MIn","Max")</f>
        <v>Max</v>
      </c>
      <c r="L74" s="123" t="str">
        <f>+IF($F$24="Decreciente","Max","Min")</f>
        <v>Min</v>
      </c>
      <c r="M74" s="123" t="str">
        <f>+IF($F$24="Decreciente","MIn","Max")</f>
        <v>Max</v>
      </c>
      <c r="O74" s="106"/>
      <c r="S74" s="124" t="s">
        <v>46</v>
      </c>
      <c r="T74" s="124"/>
      <c r="U74" s="124" t="s">
        <v>40</v>
      </c>
      <c r="V74" s="124"/>
      <c r="W74" s="124" t="s">
        <v>47</v>
      </c>
      <c r="X74" s="124"/>
      <c r="Y74" s="124" t="s">
        <v>48</v>
      </c>
      <c r="Z74" s="124"/>
      <c r="AA74" s="124" t="s">
        <v>49</v>
      </c>
      <c r="AB74" s="124"/>
      <c r="AC74" s="124" t="s">
        <v>50</v>
      </c>
      <c r="AL74" s="125" t="s">
        <v>51</v>
      </c>
      <c r="AM74" s="125" t="s">
        <v>52</v>
      </c>
      <c r="AN74" s="125" t="s">
        <v>51</v>
      </c>
      <c r="AO74" s="125" t="s">
        <v>52</v>
      </c>
      <c r="AP74" s="125" t="s">
        <v>51</v>
      </c>
      <c r="AQ74" s="125" t="s">
        <v>52</v>
      </c>
      <c r="AR74" s="125" t="s">
        <v>51</v>
      </c>
      <c r="AS74" s="125" t="s">
        <v>52</v>
      </c>
    </row>
    <row r="75" spans="2:45" x14ac:dyDescent="0.25">
      <c r="B75" s="106"/>
      <c r="D75" s="386" t="s">
        <v>46</v>
      </c>
      <c r="E75" s="386"/>
      <c r="F75" s="126"/>
      <c r="G75" s="126"/>
      <c r="H75" s="126"/>
      <c r="I75" s="126"/>
      <c r="J75" s="126"/>
      <c r="K75" s="126"/>
      <c r="L75" s="126"/>
      <c r="M75" s="126"/>
      <c r="O75" s="106"/>
      <c r="Q75" s="122" t="s">
        <v>1980</v>
      </c>
      <c r="R75" s="111"/>
      <c r="S75" s="127"/>
      <c r="T75" s="111"/>
      <c r="U75" s="127"/>
      <c r="V75" s="111"/>
      <c r="W75" s="127"/>
      <c r="X75" s="111"/>
      <c r="Y75" s="127"/>
      <c r="Z75" s="111"/>
      <c r="AA75" s="127"/>
      <c r="AB75" s="111"/>
      <c r="AC75" s="127"/>
      <c r="AE75" s="105" t="s">
        <v>46</v>
      </c>
      <c r="AF75" s="105">
        <v>1</v>
      </c>
      <c r="AG75" s="105">
        <f>+IF(AF75&gt;=$G$71,1,0)</f>
        <v>0</v>
      </c>
      <c r="AH75" s="105">
        <f>+IF(AG75=0,0,IF(AG75=1,(SUM($AG$75:AG75)-1),1))</f>
        <v>0</v>
      </c>
      <c r="AI75" s="105">
        <f>+IF(AH75=0,0,IF(MOD(AH75,$U$69)=0,1,0))</f>
        <v>0</v>
      </c>
      <c r="AJ75" s="105">
        <f>+IF(AE75=$F$71,1,0)</f>
        <v>0</v>
      </c>
      <c r="AK75" s="105">
        <f>+MAX(AI75:AJ75)</f>
        <v>0</v>
      </c>
      <c r="AL75" s="128" t="str">
        <f>+""</f>
        <v/>
      </c>
      <c r="AM75" s="128" t="str">
        <f>+IF(AK75=0,"",IF(R78="&gt;",S78+0.001,IF(R78="&lt;",S78-0.001,S78)))</f>
        <v/>
      </c>
      <c r="AN75" s="128" t="str">
        <f>+IF(R77="NA","",IF(AK75=0,"",IF(R78="≥",S78-0.001,IF(R78="≤",S78+0.001,S78))))</f>
        <v/>
      </c>
      <c r="AO75" s="128" t="str">
        <f>IF(R77="NA","",IF(AK75=0,"",IF(R77="&gt;",S77+0.001,IF(R77="&lt;",S77-0.001,S77))))</f>
        <v/>
      </c>
      <c r="AP75" s="128" t="str">
        <f>+IF(R76="NA","",IF(AK75=0,"",IF(R77="≥",S77-0.001,IF(R77="≤",S77+0.001,S77))))</f>
        <v/>
      </c>
      <c r="AQ75" s="128" t="str">
        <f>+IF(R76="NA","",IF(AK75=0,"",IF(R76="&gt;",S76+0.001,IF(R76="&lt;",S76-0.001,S76))))</f>
        <v/>
      </c>
      <c r="AR75" s="128" t="str">
        <f>IF(AK75=0,"",IF(R76="≥",S75-0.001,IF(R76="≤",S75+0.001,"")))</f>
        <v/>
      </c>
      <c r="AS75" s="128" t="str">
        <f>+IF(AK75=0,"",IF(R75="=",S75,""))</f>
        <v/>
      </c>
    </row>
    <row r="76" spans="2:45" x14ac:dyDescent="0.25">
      <c r="B76" s="106"/>
      <c r="D76" s="386" t="s">
        <v>40</v>
      </c>
      <c r="E76" s="386"/>
      <c r="F76" s="126"/>
      <c r="G76" s="126"/>
      <c r="H76" s="126"/>
      <c r="I76" s="126"/>
      <c r="J76" s="126"/>
      <c r="K76" s="126"/>
      <c r="L76" s="126"/>
      <c r="M76" s="126"/>
      <c r="O76" s="106"/>
      <c r="Q76" s="122" t="s">
        <v>1981</v>
      </c>
      <c r="R76" s="111"/>
      <c r="S76" s="127"/>
      <c r="T76" s="111"/>
      <c r="U76" s="127"/>
      <c r="V76" s="111"/>
      <c r="W76" s="127"/>
      <c r="X76" s="111"/>
      <c r="Y76" s="127"/>
      <c r="Z76" s="111"/>
      <c r="AA76" s="127"/>
      <c r="AB76" s="111"/>
      <c r="AC76" s="127"/>
      <c r="AE76" s="105" t="s">
        <v>40</v>
      </c>
      <c r="AF76" s="105">
        <v>2</v>
      </c>
      <c r="AG76" s="105">
        <f t="shared" ref="AG76:AG86" si="0">+IF(AF76&gt;=$G$71,1,0)</f>
        <v>0</v>
      </c>
      <c r="AH76" s="105">
        <f>+IF(AG76=0,0,IF(AG76=1,(SUM($AG$75:AG76)-1),1))</f>
        <v>0</v>
      </c>
      <c r="AI76" s="105">
        <f t="shared" ref="AI76:AI86" si="1">+IF(AH76=0,0,IF(MOD(AH76,$U$69)=0,1,0))</f>
        <v>0</v>
      </c>
      <c r="AJ76" s="105">
        <f t="shared" ref="AJ76:AJ86" si="2">+IF(AE76=$F$71,1,0)</f>
        <v>0</v>
      </c>
      <c r="AK76" s="105">
        <f t="shared" ref="AK76:AK86" si="3">+MAX(AI76:AJ76)</f>
        <v>0</v>
      </c>
      <c r="AL76" s="128" t="str">
        <f>+""</f>
        <v/>
      </c>
      <c r="AM76" s="128" t="str">
        <f>+IF(AK76=0,"",IF(T78="&gt;",U78+0.001,IF(T78="&lt;",U78-0.001,U78)))</f>
        <v/>
      </c>
      <c r="AN76" s="128" t="str">
        <f>+IF(T77="NA","",IF(AK76=0,"",IF(T78="≥",U78-0.001,IF(T78="≤",U78+0.001,U78))))</f>
        <v/>
      </c>
      <c r="AO76" s="128" t="str">
        <f>IF(T77="NA","",IF(AK76=0,"",IF(T77="&gt;",U77+0.001,IF(T77="&lt;",U77-0.001,U77))))</f>
        <v/>
      </c>
      <c r="AP76" s="128" t="str">
        <f>+IF(T76="NA","",IF(AK76=0,"",IF(T77="≥",U77-0.001,IF(T77="≤",U77+0.001,U77))))</f>
        <v/>
      </c>
      <c r="AQ76" s="128" t="str">
        <f>+IF(T76="NA","",IF(AK76=0,"",IF(T76="&gt;",U76+0.001,IF(T76="&lt;",U76-0.001,U76))))</f>
        <v/>
      </c>
      <c r="AR76" s="128" t="str">
        <f>IF(AK76=0,"",IF(T76="≥",U75-0.001,IF(T76="≤",U75+0.001,"")))</f>
        <v/>
      </c>
      <c r="AS76" s="128" t="str">
        <f>+IF(AK76=0,"",IF(T75="=",U75,""))</f>
        <v/>
      </c>
    </row>
    <row r="77" spans="2:45" x14ac:dyDescent="0.25">
      <c r="B77" s="106"/>
      <c r="D77" s="386" t="s">
        <v>47</v>
      </c>
      <c r="E77" s="386"/>
      <c r="F77" s="126"/>
      <c r="G77" s="126">
        <v>0.94</v>
      </c>
      <c r="H77" s="126">
        <v>0.94099999999999995</v>
      </c>
      <c r="I77" s="126">
        <v>0.96899999999999997</v>
      </c>
      <c r="J77" s="126">
        <v>0.97</v>
      </c>
      <c r="K77" s="126">
        <v>0.999</v>
      </c>
      <c r="L77" s="126">
        <v>1</v>
      </c>
      <c r="M77" s="126"/>
      <c r="O77" s="106"/>
      <c r="Q77" s="122" t="s">
        <v>1982</v>
      </c>
      <c r="R77" s="111"/>
      <c r="S77" s="127"/>
      <c r="T77" s="111"/>
      <c r="U77" s="127"/>
      <c r="V77" s="111"/>
      <c r="W77" s="127"/>
      <c r="X77" s="111"/>
      <c r="Y77" s="127"/>
      <c r="Z77" s="111"/>
      <c r="AA77" s="127"/>
      <c r="AB77" s="111"/>
      <c r="AC77" s="127"/>
      <c r="AE77" s="105" t="s">
        <v>47</v>
      </c>
      <c r="AF77" s="105">
        <v>3</v>
      </c>
      <c r="AG77" s="105">
        <f t="shared" si="0"/>
        <v>1</v>
      </c>
      <c r="AH77" s="105">
        <f>+IF(AG77=0,0,IF(AG77=1,(SUM($AG$75:AG77)-1),1))</f>
        <v>0</v>
      </c>
      <c r="AI77" s="105">
        <f t="shared" si="1"/>
        <v>0</v>
      </c>
      <c r="AJ77" s="105">
        <f t="shared" si="2"/>
        <v>1</v>
      </c>
      <c r="AK77" s="105">
        <f t="shared" si="3"/>
        <v>1</v>
      </c>
      <c r="AL77" s="128" t="str">
        <f>+""</f>
        <v/>
      </c>
      <c r="AM77" s="128">
        <f>+IF(AK77=0,"",IF(V78="&gt;",W78+0.001,IF(V78="&lt;",W78-0.001,W78)))</f>
        <v>0</v>
      </c>
      <c r="AN77" s="128">
        <f>+IF(V77="NA","",IF(AK77=0,"",IF(V78="≥",W78-0.001,IF(V78="≤",W78+0.001,W78))))</f>
        <v>0</v>
      </c>
      <c r="AO77" s="128">
        <f>IF(V77="NA","",IF(AK77=0,"",IF(V77="&gt;",W77+0.001,IF(V77="&lt;",W77-0.001,W77))))</f>
        <v>0</v>
      </c>
      <c r="AP77" s="128">
        <f>+IF(V76="NA","",IF(AK77=0,"",IF(V77="≥",W77-0.001,IF(V77="≤",W77+0.001,W77))))</f>
        <v>0</v>
      </c>
      <c r="AQ77" s="128">
        <f>+IF(V76="NA","",IF(AK77=0,"",IF(V76="&gt;",W76+0.001,IF(V76="&lt;",W76-0.001,W76))))</f>
        <v>0</v>
      </c>
      <c r="AR77" s="128" t="str">
        <f>IF(AK77=0,"",IF(V76="≥",W75-0.001,IF(V76="≤",W75+0.001,"")))</f>
        <v/>
      </c>
      <c r="AS77" s="128" t="str">
        <f>+IF(AK77=0,"",IF(V75="=",W75,""))</f>
        <v/>
      </c>
    </row>
    <row r="78" spans="2:45" x14ac:dyDescent="0.25">
      <c r="B78" s="106"/>
      <c r="D78" s="386" t="s">
        <v>48</v>
      </c>
      <c r="E78" s="386"/>
      <c r="F78" s="126"/>
      <c r="G78" s="126">
        <v>0.94</v>
      </c>
      <c r="H78" s="126">
        <v>0.94099999999999995</v>
      </c>
      <c r="I78" s="126">
        <v>0.96899999999999997</v>
      </c>
      <c r="J78" s="126">
        <v>0.97</v>
      </c>
      <c r="K78" s="126">
        <v>0.999</v>
      </c>
      <c r="L78" s="126">
        <v>1</v>
      </c>
      <c r="M78" s="126"/>
      <c r="O78" s="106"/>
      <c r="Q78" s="122" t="s">
        <v>1983</v>
      </c>
      <c r="R78" s="111"/>
      <c r="S78" s="127"/>
      <c r="T78" s="111"/>
      <c r="U78" s="127"/>
      <c r="V78" s="111"/>
      <c r="W78" s="127"/>
      <c r="X78" s="111"/>
      <c r="Y78" s="127"/>
      <c r="Z78" s="111"/>
      <c r="AA78" s="127"/>
      <c r="AB78" s="111"/>
      <c r="AC78" s="127"/>
      <c r="AE78" s="105" t="s">
        <v>48</v>
      </c>
      <c r="AF78" s="105">
        <v>4</v>
      </c>
      <c r="AG78" s="105">
        <f t="shared" si="0"/>
        <v>1</v>
      </c>
      <c r="AH78" s="105">
        <f>+IF(AG78=0,0,IF(AG78=1,(SUM($AG$75:AG78)-1),1))</f>
        <v>1</v>
      </c>
      <c r="AI78" s="105">
        <f t="shared" si="1"/>
        <v>1</v>
      </c>
      <c r="AJ78" s="105">
        <f t="shared" si="2"/>
        <v>0</v>
      </c>
      <c r="AK78" s="105">
        <f t="shared" si="3"/>
        <v>1</v>
      </c>
      <c r="AL78" s="128" t="str">
        <f>+""</f>
        <v/>
      </c>
      <c r="AM78" s="128">
        <f>+IF(AK78=0,"",IF(X78="&gt;",Y78+0.001,IF(X78="&lt;",Y78-0.001,Y78)))</f>
        <v>0</v>
      </c>
      <c r="AN78" s="128">
        <f>+IF(X77="NA","",IF(AK78=0,"",IF(X78="≥",Y78-0.001,IF(X78="≤",Y78+0.001,Y78))))</f>
        <v>0</v>
      </c>
      <c r="AO78" s="128">
        <f>IF(X77="NA","",IF(AK78=0,"",IF(X77="&gt;",Y77+0.001,IF(X77="&lt;",Y77-0.001,Y77))))</f>
        <v>0</v>
      </c>
      <c r="AP78" s="128">
        <f>+IF(X76="NA","",IF(AK78=0,"",IF(X77="≥",Y77-0.001,IF(X77="≤",Y77+0.001,Y77))))</f>
        <v>0</v>
      </c>
      <c r="AQ78" s="128">
        <f>+IF(X76="NA","",IF(AK78=0,"",IF(X76="&gt;",Y76+0.001,IF(X76="&lt;",Y76-0.001,Y76))))</f>
        <v>0</v>
      </c>
      <c r="AR78" s="128" t="str">
        <f>IF(AK78=0,"",IF(X76="≥",Y75-0.001,IF(X76="≤",Y75+0.001,"")))</f>
        <v/>
      </c>
      <c r="AS78" s="128" t="str">
        <f>+IF(AK78=0,"",IF(X75="=",Y75,""))</f>
        <v/>
      </c>
    </row>
    <row r="79" spans="2:45" x14ac:dyDescent="0.25">
      <c r="B79" s="106"/>
      <c r="D79" s="386" t="s">
        <v>49</v>
      </c>
      <c r="E79" s="386"/>
      <c r="F79" s="126"/>
      <c r="G79" s="126">
        <v>0.94</v>
      </c>
      <c r="H79" s="126">
        <v>0.94099999999999995</v>
      </c>
      <c r="I79" s="126">
        <v>0.96899999999999997</v>
      </c>
      <c r="J79" s="126">
        <v>0.97</v>
      </c>
      <c r="K79" s="126">
        <v>0.999</v>
      </c>
      <c r="L79" s="126">
        <v>1</v>
      </c>
      <c r="M79" s="126"/>
      <c r="O79" s="106"/>
      <c r="R79" s="111"/>
      <c r="S79" s="111">
        <f>+IFERROR(VLOOKUP(S80,$AE$75:$AK$86,7,FALSE),"")</f>
        <v>1</v>
      </c>
      <c r="U79" s="111">
        <f>+IFERROR(VLOOKUP(U80,$AE$75:$AK$86,7,FALSE),"")</f>
        <v>1</v>
      </c>
      <c r="W79" s="111">
        <f>+IFERROR(VLOOKUP(W80,$AE$75:$AK$86,7,FALSE),"")</f>
        <v>1</v>
      </c>
      <c r="Y79" s="111">
        <f>+IFERROR(VLOOKUP(Y80,$AE$75:$AK$86,7,FALSE),"")</f>
        <v>1</v>
      </c>
      <c r="AA79" s="111">
        <f>+IFERROR(VLOOKUP(AA80,$AE$75:$AK$86,7,FALSE),"")</f>
        <v>1</v>
      </c>
      <c r="AC79" s="111">
        <f>+IFERROR(VLOOKUP(AC80,$AE$75:$AK$86,7,FALSE),"")</f>
        <v>1</v>
      </c>
      <c r="AE79" s="105" t="s">
        <v>49</v>
      </c>
      <c r="AF79" s="105">
        <v>5</v>
      </c>
      <c r="AG79" s="105">
        <f t="shared" si="0"/>
        <v>1</v>
      </c>
      <c r="AH79" s="105">
        <f>+IF(AG79=0,0,IF(AG79=1,(SUM($AG$75:AG79)-1),1))</f>
        <v>2</v>
      </c>
      <c r="AI79" s="105">
        <f t="shared" si="1"/>
        <v>1</v>
      </c>
      <c r="AJ79" s="105">
        <f t="shared" si="2"/>
        <v>0</v>
      </c>
      <c r="AK79" s="105">
        <f t="shared" si="3"/>
        <v>1</v>
      </c>
      <c r="AL79" s="128" t="str">
        <f>+""</f>
        <v/>
      </c>
      <c r="AM79" s="128">
        <f>+IF(AK79=0,"",IF(Z78="&gt;",AA78+0.001,IF(Z78="&lt;",AA78-0.001,AA78)))</f>
        <v>0</v>
      </c>
      <c r="AN79" s="128">
        <f>+IF(Z77="NA","",IF(AK79=0,"",IF(Z78="≥",AA78-0.001,IF(Z78="≤",AA78+0.001,AA78))))</f>
        <v>0</v>
      </c>
      <c r="AO79" s="128">
        <f>IF(Z77="NA","",IF(AK79=0,"",IF(Z77="&gt;",AA77+0.001,IF(Z77="&lt;",AA77-0.001,AA77))))</f>
        <v>0</v>
      </c>
      <c r="AP79" s="128">
        <f>+IF(Z76="NA","",IF(AK79=0,"",IF(Z77="≥",AA77-0.001,IF(Z77="≤",AA77+0.001,AA77))))</f>
        <v>0</v>
      </c>
      <c r="AQ79" s="128">
        <f>+IF(Z76="NA","",IF(AK79=0,"",IF(Z76="&gt;",AA76+0.001,IF(Z76="&lt;",AA76-0.001,AA76))))</f>
        <v>0</v>
      </c>
      <c r="AR79" s="128" t="str">
        <f>IF(AK79=0,"",IF(Z76="≥",AA75-0.001,IF(Z76="≤",AA75+0.001,"")))</f>
        <v/>
      </c>
      <c r="AS79" s="128" t="str">
        <f>+IF(AK79=0,"",IF(Z75="=",AA75,""))</f>
        <v/>
      </c>
    </row>
    <row r="80" spans="2:45" x14ac:dyDescent="0.25">
      <c r="B80" s="106"/>
      <c r="D80" s="386" t="s">
        <v>50</v>
      </c>
      <c r="E80" s="386"/>
      <c r="F80" s="126"/>
      <c r="G80" s="126">
        <v>0.94</v>
      </c>
      <c r="H80" s="126">
        <v>0.94099999999999995</v>
      </c>
      <c r="I80" s="126">
        <v>0.96899999999999997</v>
      </c>
      <c r="J80" s="126">
        <v>0.97</v>
      </c>
      <c r="K80" s="126">
        <v>0.999</v>
      </c>
      <c r="L80" s="126">
        <v>1</v>
      </c>
      <c r="M80" s="126"/>
      <c r="O80" s="106"/>
      <c r="R80" s="111"/>
      <c r="S80" s="124" t="s">
        <v>53</v>
      </c>
      <c r="T80" s="124"/>
      <c r="U80" s="124" t="s">
        <v>54</v>
      </c>
      <c r="V80" s="124"/>
      <c r="W80" s="124" t="s">
        <v>55</v>
      </c>
      <c r="X80" s="124"/>
      <c r="Y80" s="124" t="s">
        <v>56</v>
      </c>
      <c r="Z80" s="124"/>
      <c r="AA80" s="124" t="s">
        <v>57</v>
      </c>
      <c r="AB80" s="124"/>
      <c r="AC80" s="124" t="s">
        <v>58</v>
      </c>
      <c r="AE80" s="105" t="s">
        <v>50</v>
      </c>
      <c r="AF80" s="105">
        <v>6</v>
      </c>
      <c r="AG80" s="105">
        <f t="shared" si="0"/>
        <v>1</v>
      </c>
      <c r="AH80" s="105">
        <f>+IF(AG80=0,0,IF(AG80=1,(SUM($AG$75:AG80)-1),1))</f>
        <v>3</v>
      </c>
      <c r="AI80" s="105">
        <f t="shared" si="1"/>
        <v>1</v>
      </c>
      <c r="AJ80" s="105">
        <f t="shared" si="2"/>
        <v>0</v>
      </c>
      <c r="AK80" s="105">
        <f t="shared" si="3"/>
        <v>1</v>
      </c>
      <c r="AL80" s="128" t="str">
        <f>+""</f>
        <v/>
      </c>
      <c r="AM80" s="128">
        <f>+IF(AK80=0,"",IF(AB78="&gt;",AC78+0.001,IF(AB78="&lt;",AC78-0.001,AC78)))</f>
        <v>0</v>
      </c>
      <c r="AN80" s="128">
        <f>+IF(AB77="NA","",IF(AK80=0,"",IF(AB78="≥",AC78-0.001,IF(AB78="≤",AC78+0.001,AC78))))</f>
        <v>0</v>
      </c>
      <c r="AO80" s="128">
        <f>IF(AB77="NA","",IF(AK80=0,"",IF(AB77="&gt;",AC77+0.001,IF(AB77="&lt;",AC77-0.001,AC77))))</f>
        <v>0</v>
      </c>
      <c r="AP80" s="128">
        <f>+IF(AB76="NA","",IF(AK80=0,"",IF(AB77="≥",AC77-0.001,IF(AB77="≤",AC77+0.001,AC77))))</f>
        <v>0</v>
      </c>
      <c r="AQ80" s="128">
        <f>+IF(AB76="NA","",IF(AK80=0,"",IF(AB76="&gt;",AC76+0.001,IF(AB76="&lt;",AC76-0.001,AC76))))</f>
        <v>0</v>
      </c>
      <c r="AR80" s="128" t="str">
        <f>IF(AK80=0,"",IF(AB76="≥",AC75-0.001,IF(AB76="≤",AC75+0.001,"")))</f>
        <v/>
      </c>
      <c r="AS80" s="128" t="str">
        <f>+IF(AK80=0,"",IF(AB75="=",AC75,""))</f>
        <v/>
      </c>
    </row>
    <row r="81" spans="2:45" x14ac:dyDescent="0.25">
      <c r="B81" s="106"/>
      <c r="D81" s="386" t="s">
        <v>53</v>
      </c>
      <c r="E81" s="386"/>
      <c r="F81" s="126"/>
      <c r="G81" s="126">
        <v>0.94</v>
      </c>
      <c r="H81" s="126">
        <v>0.94099999999999995</v>
      </c>
      <c r="I81" s="126">
        <v>0.96899999999999997</v>
      </c>
      <c r="J81" s="126">
        <v>0.97</v>
      </c>
      <c r="K81" s="126">
        <v>0.999</v>
      </c>
      <c r="L81" s="126">
        <v>1</v>
      </c>
      <c r="M81" s="126"/>
      <c r="O81" s="106"/>
      <c r="Q81" s="122" t="s">
        <v>1980</v>
      </c>
      <c r="R81" s="111"/>
      <c r="S81" s="127"/>
      <c r="T81" s="111"/>
      <c r="U81" s="127"/>
      <c r="V81" s="111"/>
      <c r="W81" s="127"/>
      <c r="X81" s="111"/>
      <c r="Y81" s="127"/>
      <c r="Z81" s="111"/>
      <c r="AA81" s="127"/>
      <c r="AB81" s="111"/>
      <c r="AC81" s="127"/>
      <c r="AE81" s="105" t="s">
        <v>53</v>
      </c>
      <c r="AF81" s="105">
        <v>7</v>
      </c>
      <c r="AG81" s="105">
        <f t="shared" si="0"/>
        <v>1</v>
      </c>
      <c r="AH81" s="105">
        <f>+IF(AG81=0,0,IF(AG81=1,(SUM($AG$75:AG81)-1),1))</f>
        <v>4</v>
      </c>
      <c r="AI81" s="105">
        <f t="shared" si="1"/>
        <v>1</v>
      </c>
      <c r="AJ81" s="105">
        <f t="shared" si="2"/>
        <v>0</v>
      </c>
      <c r="AK81" s="105">
        <f t="shared" si="3"/>
        <v>1</v>
      </c>
      <c r="AL81" s="128" t="str">
        <f>+""</f>
        <v/>
      </c>
      <c r="AM81" s="128">
        <f>+IF(AK81=0,"",IF(R84="&gt;",S84+0.001,IF(R84="&lt;",S84-0.001,S84)))</f>
        <v>0</v>
      </c>
      <c r="AN81" s="128">
        <f>+IF(R83="NA","",IF(AK81=0,"",IF(R84="≥",S84-0.001,IF(R84="≤",S84+0.001,S84))))</f>
        <v>0</v>
      </c>
      <c r="AO81" s="128">
        <f>IF(R83="NA","",IF(AK81=0,"",IF(R83="&gt;",S83+0.001,IF(R83="&lt;",S83-0.001,S83))))</f>
        <v>0</v>
      </c>
      <c r="AP81" s="128">
        <f>+IF(R82="NA","",IF(AK81=0,"",IF(R83="≥",S83-0.001,IF(R83="≤",S83+0.001,S83))))</f>
        <v>0</v>
      </c>
      <c r="AQ81" s="128">
        <f>+IF(R82="NA","",IF(AK81=0,"",IF(R82="&gt;",S82+0.001,IF(R82="&lt;",S82-0.001,S82))))</f>
        <v>0</v>
      </c>
      <c r="AR81" s="128" t="str">
        <f>IF(AK81=0,"",IF(R82="≥",S81-0.001,IF(R82="≤",S81+0.001,"")))</f>
        <v/>
      </c>
      <c r="AS81" s="128" t="str">
        <f>+IF(AK81=0,"",IF(R81="=",S81,""))</f>
        <v/>
      </c>
    </row>
    <row r="82" spans="2:45" x14ac:dyDescent="0.25">
      <c r="B82" s="106"/>
      <c r="D82" s="386" t="s">
        <v>54</v>
      </c>
      <c r="E82" s="386"/>
      <c r="F82" s="126"/>
      <c r="G82" s="126">
        <v>0.94</v>
      </c>
      <c r="H82" s="126">
        <v>0.94099999999999995</v>
      </c>
      <c r="I82" s="126">
        <v>0.96899999999999997</v>
      </c>
      <c r="J82" s="126">
        <v>0.97</v>
      </c>
      <c r="K82" s="126">
        <v>0.999</v>
      </c>
      <c r="L82" s="126">
        <v>1</v>
      </c>
      <c r="M82" s="126"/>
      <c r="O82" s="106"/>
      <c r="Q82" s="122" t="s">
        <v>1981</v>
      </c>
      <c r="R82" s="111"/>
      <c r="S82" s="127"/>
      <c r="T82" s="111"/>
      <c r="U82" s="127"/>
      <c r="V82" s="111"/>
      <c r="W82" s="127"/>
      <c r="X82" s="111"/>
      <c r="Y82" s="127"/>
      <c r="Z82" s="111"/>
      <c r="AA82" s="127"/>
      <c r="AB82" s="111"/>
      <c r="AC82" s="127"/>
      <c r="AE82" s="105" t="s">
        <v>54</v>
      </c>
      <c r="AF82" s="105">
        <v>8</v>
      </c>
      <c r="AG82" s="105">
        <f t="shared" si="0"/>
        <v>1</v>
      </c>
      <c r="AH82" s="105">
        <f>+IF(AG82=0,0,IF(AG82=1,(SUM($AG$75:AG82)-1),1))</f>
        <v>5</v>
      </c>
      <c r="AI82" s="105">
        <f t="shared" si="1"/>
        <v>1</v>
      </c>
      <c r="AJ82" s="105">
        <f t="shared" si="2"/>
        <v>0</v>
      </c>
      <c r="AK82" s="105">
        <f t="shared" si="3"/>
        <v>1</v>
      </c>
      <c r="AL82" s="128" t="str">
        <f>+""</f>
        <v/>
      </c>
      <c r="AM82" s="128">
        <f>+IF(AK82=0,"",IF(T84="&gt;",U84+0.001,IF(T84="&lt;",U84-0.001,U84)))</f>
        <v>0</v>
      </c>
      <c r="AN82" s="128">
        <f>+IF(T83="NA","",IF(AK82=0,"",IF(T84="≥",U84-0.001,IF(T84="≤",U84+0.001,U84))))</f>
        <v>0</v>
      </c>
      <c r="AO82" s="128">
        <f>IF(T83="NA","",IF(AK82=0,"",IF(T83="&gt;",U83+0.001,IF(T83="&lt;",U83-0.001,U83))))</f>
        <v>0</v>
      </c>
      <c r="AP82" s="128">
        <f>+IF(T82="NA","",IF(AK82=0,"",IF(T83="≥",U83-0.001,IF(T83="≤",U83+0.001,U83))))</f>
        <v>0</v>
      </c>
      <c r="AQ82" s="128">
        <f>+IF(T82="NA","",IF(AK82=0,"",IF(T82="&gt;",U82+0.001,IF(T82="&lt;",U82-0.001,U82))))</f>
        <v>0</v>
      </c>
      <c r="AR82" s="128" t="str">
        <f>IF(AK82=0,"",IF(T82="≥",U81-0.001,IF(T82="≤",U81+0.001,"")))</f>
        <v/>
      </c>
      <c r="AS82" s="128" t="str">
        <f>+IF(AK82=0,"",IF(T81="=",U81,""))</f>
        <v/>
      </c>
    </row>
    <row r="83" spans="2:45" x14ac:dyDescent="0.25">
      <c r="B83" s="106"/>
      <c r="D83" s="386" t="s">
        <v>55</v>
      </c>
      <c r="E83" s="386"/>
      <c r="F83" s="126"/>
      <c r="G83" s="126">
        <v>0.94</v>
      </c>
      <c r="H83" s="126">
        <v>0.94099999999999995</v>
      </c>
      <c r="I83" s="126">
        <v>0.96899999999999997</v>
      </c>
      <c r="J83" s="126">
        <v>0.97</v>
      </c>
      <c r="K83" s="126">
        <v>0.999</v>
      </c>
      <c r="L83" s="126">
        <v>1</v>
      </c>
      <c r="M83" s="126"/>
      <c r="O83" s="106"/>
      <c r="Q83" s="122" t="s">
        <v>1982</v>
      </c>
      <c r="R83" s="111"/>
      <c r="S83" s="127"/>
      <c r="T83" s="111"/>
      <c r="U83" s="127"/>
      <c r="V83" s="111"/>
      <c r="W83" s="127"/>
      <c r="X83" s="111"/>
      <c r="Y83" s="127"/>
      <c r="Z83" s="111"/>
      <c r="AA83" s="127"/>
      <c r="AB83" s="111"/>
      <c r="AC83" s="127"/>
      <c r="AE83" s="105" t="s">
        <v>55</v>
      </c>
      <c r="AF83" s="105">
        <v>9</v>
      </c>
      <c r="AG83" s="105">
        <f t="shared" si="0"/>
        <v>1</v>
      </c>
      <c r="AH83" s="105">
        <f>+IF(AG83=0,0,IF(AG83=1,(SUM($AG$75:AG83)-1),1))</f>
        <v>6</v>
      </c>
      <c r="AI83" s="105">
        <f t="shared" si="1"/>
        <v>1</v>
      </c>
      <c r="AJ83" s="105">
        <f t="shared" si="2"/>
        <v>0</v>
      </c>
      <c r="AK83" s="105">
        <f t="shared" si="3"/>
        <v>1</v>
      </c>
      <c r="AL83" s="128" t="str">
        <f>+""</f>
        <v/>
      </c>
      <c r="AM83" s="128">
        <f>+IF(AK83=0,"",IF(V84="&gt;",W84+0.001,IF(V84="&lt;",W84-0.001,W84)))</f>
        <v>0</v>
      </c>
      <c r="AN83" s="128">
        <f>+IF(V83="NA","",IF(AK83=0,"",IF(V84="≥",W84-0.001,IF(V84="≤",W84+0.001,W84))))</f>
        <v>0</v>
      </c>
      <c r="AO83" s="128">
        <f>IF(V83="NA","",IF(AK83=0,"",IF(V83="&gt;",W83+0.001,IF(V83="&lt;",W83-0.001,W83))))</f>
        <v>0</v>
      </c>
      <c r="AP83" s="128">
        <f>+IF(V82="NA","",IF(AK83=0,"",IF(V83="≥",W83-0.001,IF(V83="≤",W83+0.001,W83))))</f>
        <v>0</v>
      </c>
      <c r="AQ83" s="128">
        <f>+IF(V82="NA","",IF(AK83=0,"",IF(V82="&gt;",W82+0.001,IF(V82="&lt;",W82-0.001,W82))))</f>
        <v>0</v>
      </c>
      <c r="AR83" s="128" t="str">
        <f>IF(AK83=0,"",IF(V82="≥",W81-0.001,IF(V82="≤",W81+0.001,"")))</f>
        <v/>
      </c>
      <c r="AS83" s="128" t="str">
        <f>+IF(AK83=0,"",IF(V81="=",W81,""))</f>
        <v/>
      </c>
    </row>
    <row r="84" spans="2:45" x14ac:dyDescent="0.25">
      <c r="B84" s="106"/>
      <c r="D84" s="386" t="s">
        <v>56</v>
      </c>
      <c r="E84" s="386"/>
      <c r="F84" s="126"/>
      <c r="G84" s="126">
        <v>0.94</v>
      </c>
      <c r="H84" s="126">
        <v>0.94099999999999995</v>
      </c>
      <c r="I84" s="126">
        <v>0.96899999999999997</v>
      </c>
      <c r="J84" s="126">
        <v>0.97</v>
      </c>
      <c r="K84" s="126">
        <v>0.999</v>
      </c>
      <c r="L84" s="126">
        <v>1</v>
      </c>
      <c r="M84" s="126"/>
      <c r="O84" s="106"/>
      <c r="Q84" s="122" t="s">
        <v>1983</v>
      </c>
      <c r="R84" s="111"/>
      <c r="S84" s="127"/>
      <c r="T84" s="111"/>
      <c r="U84" s="127"/>
      <c r="V84" s="111"/>
      <c r="W84" s="127"/>
      <c r="X84" s="111"/>
      <c r="Y84" s="127"/>
      <c r="Z84" s="111"/>
      <c r="AA84" s="127"/>
      <c r="AB84" s="111"/>
      <c r="AC84" s="127"/>
      <c r="AE84" s="105" t="s">
        <v>56</v>
      </c>
      <c r="AF84" s="105">
        <v>10</v>
      </c>
      <c r="AG84" s="105">
        <f t="shared" si="0"/>
        <v>1</v>
      </c>
      <c r="AH84" s="105">
        <f>+IF(AG84=0,0,IF(AG84=1,(SUM($AG$75:AG84)-1),1))</f>
        <v>7</v>
      </c>
      <c r="AI84" s="105">
        <f t="shared" si="1"/>
        <v>1</v>
      </c>
      <c r="AJ84" s="105">
        <f t="shared" si="2"/>
        <v>0</v>
      </c>
      <c r="AK84" s="105">
        <f t="shared" si="3"/>
        <v>1</v>
      </c>
      <c r="AL84" s="128" t="str">
        <f>+""</f>
        <v/>
      </c>
      <c r="AM84" s="128">
        <f>+IF(AK84=0,"",IF(X84="&gt;",Y84+0.001,IF(X84="&lt;",Y84-0.001,Y84)))</f>
        <v>0</v>
      </c>
      <c r="AN84" s="128">
        <f>+IF(X83="NA","",IF(AK84=0,"",IF(X84="≥",Y84-0.001,IF(X84="≤",Y84+0.001,Y84))))</f>
        <v>0</v>
      </c>
      <c r="AO84" s="128">
        <f>IF(X83="NA","",IF(AK84=0,"",IF(X83="&gt;",Y83+0.001,IF(X83="&lt;",Y83-0.001,Y83))))</f>
        <v>0</v>
      </c>
      <c r="AP84" s="128">
        <f>+IF(X82="NA","",IF(AK84=0,"",IF(X83="≥",Y83-0.001,IF(X83="≤",Y83+0.001,Y83))))</f>
        <v>0</v>
      </c>
      <c r="AQ84" s="128">
        <f>+IF(X82="NA","",IF(AK84=0,"",IF(X82="&gt;",Y82+0.001,IF(X82="&lt;",Y82-0.001,Y82))))</f>
        <v>0</v>
      </c>
      <c r="AR84" s="128" t="str">
        <f>IF(AK84=0,"",IF(X82="≥",Y81-0.001,IF(X82="≤",Y81+0.001,"")))</f>
        <v/>
      </c>
      <c r="AS84" s="128" t="str">
        <f>+IF(AK84=0,"",IF(X81="=",Y81,""))</f>
        <v/>
      </c>
    </row>
    <row r="85" spans="2:45" x14ac:dyDescent="0.25">
      <c r="B85" s="106"/>
      <c r="D85" s="386" t="s">
        <v>57</v>
      </c>
      <c r="E85" s="386"/>
      <c r="F85" s="126"/>
      <c r="G85" s="126">
        <v>0.94</v>
      </c>
      <c r="H85" s="126">
        <v>0.94099999999999995</v>
      </c>
      <c r="I85" s="126">
        <v>0.96899999999999997</v>
      </c>
      <c r="J85" s="126">
        <v>0.97</v>
      </c>
      <c r="K85" s="126">
        <v>0.999</v>
      </c>
      <c r="L85" s="126">
        <v>1</v>
      </c>
      <c r="M85" s="126"/>
      <c r="O85" s="106"/>
      <c r="AE85" s="105" t="s">
        <v>57</v>
      </c>
      <c r="AF85" s="105">
        <v>11</v>
      </c>
      <c r="AG85" s="105">
        <f t="shared" si="0"/>
        <v>1</v>
      </c>
      <c r="AH85" s="105">
        <f>+IF(AG85=0,0,IF(AG85=1,(SUM($AG$75:AG85)-1),1))</f>
        <v>8</v>
      </c>
      <c r="AI85" s="105">
        <f t="shared" si="1"/>
        <v>1</v>
      </c>
      <c r="AJ85" s="105">
        <f t="shared" si="2"/>
        <v>0</v>
      </c>
      <c r="AK85" s="105">
        <f t="shared" si="3"/>
        <v>1</v>
      </c>
      <c r="AL85" s="128" t="str">
        <f>+""</f>
        <v/>
      </c>
      <c r="AM85" s="128">
        <f>+IF(AK85=0,"",IF(Z84="&gt;",AA84+0.001,IF(Z84="&lt;",AA84-0.001,AA84)))</f>
        <v>0</v>
      </c>
      <c r="AN85" s="128">
        <f>+IF(Z83="NA","",IF(AK85=0,"",IF(Z84="≥",AA84-0.001,IF(Z84="≤",AA84+0.001,AA84))))</f>
        <v>0</v>
      </c>
      <c r="AO85" s="128">
        <f>IF(Z83="NA","",IF(AK85=0,"",IF(Z83="&gt;",AA83+0.001,IF(Z83="&lt;",AA83-0.001,AA83))))</f>
        <v>0</v>
      </c>
      <c r="AP85" s="128">
        <f>+IF(Z82="NA","",IF(AK85=0,"",IF(Z83="≥",AA83-0.001,IF(Z83="≤",AA83+0.001,AA83))))</f>
        <v>0</v>
      </c>
      <c r="AQ85" s="128">
        <f>+IF(Z82="NA","",IF(AK85=0,"",IF(Z82="&gt;",AA82+0.001,IF(Z82="&lt;",AA82-0.001,AA82))))</f>
        <v>0</v>
      </c>
      <c r="AR85" s="128" t="str">
        <f>IF(AK85=0,"",IF(Z82="≥",AA81-0.001,IF(Z82="≤",AA81+0.001,"")))</f>
        <v/>
      </c>
      <c r="AS85" s="128" t="str">
        <f>+IF(AK85=0,"",IF(Z81="=",AA81,""))</f>
        <v/>
      </c>
    </row>
    <row r="86" spans="2:45" x14ac:dyDescent="0.25">
      <c r="B86" s="106"/>
      <c r="D86" s="386" t="s">
        <v>58</v>
      </c>
      <c r="E86" s="386"/>
      <c r="F86" s="126"/>
      <c r="G86" s="126">
        <v>0.94</v>
      </c>
      <c r="H86" s="126">
        <v>0.94099999999999995</v>
      </c>
      <c r="I86" s="126">
        <v>0.96899999999999997</v>
      </c>
      <c r="J86" s="126">
        <v>0.97</v>
      </c>
      <c r="K86" s="126">
        <v>0.999</v>
      </c>
      <c r="L86" s="126">
        <v>1</v>
      </c>
      <c r="M86" s="126"/>
      <c r="O86" s="106"/>
      <c r="AE86" s="105" t="s">
        <v>58</v>
      </c>
      <c r="AF86" s="129">
        <v>12</v>
      </c>
      <c r="AG86" s="105">
        <f t="shared" si="0"/>
        <v>1</v>
      </c>
      <c r="AH86" s="105">
        <f>+IF(AG86=0,0,IF(AG86=1,(SUM($AG$75:AG86)-1),1))</f>
        <v>9</v>
      </c>
      <c r="AI86" s="105">
        <f t="shared" si="1"/>
        <v>1</v>
      </c>
      <c r="AJ86" s="105">
        <f t="shared" si="2"/>
        <v>0</v>
      </c>
      <c r="AK86" s="105">
        <f t="shared" si="3"/>
        <v>1</v>
      </c>
      <c r="AL86" s="128" t="str">
        <f>+""</f>
        <v/>
      </c>
      <c r="AM86" s="128">
        <f>+IF(AK86=0,"",IF(AB84="&gt;",AC84+0.001,IF(AB84="&lt;",AC84-0.001,AC84)))</f>
        <v>0</v>
      </c>
      <c r="AN86" s="128">
        <f>+IF(AB83="NA","",IF(AK86=0,"",IF(AB84="≥",AC84-0.001,IF(AB84="≤",AC84+0.001,AC84))))</f>
        <v>0</v>
      </c>
      <c r="AO86" s="128">
        <f>IF(AB83="NA","",IF(AK86=0,"",IF(AB83="&gt;",AC83+0.001,IF(AB83="&lt;",AC83-0.001,AC83))))</f>
        <v>0</v>
      </c>
      <c r="AP86" s="128">
        <f>+IF(AB82="NA","",IF(AK86=0,"",IF(AB83="≥",AC83-0.001,IF(AB83="≤",AC83+0.001,AC83))))</f>
        <v>0</v>
      </c>
      <c r="AQ86" s="128">
        <f>+IF(AB82="NA","",IF(AK86=0,"",IF(AB82="&gt;",AC82+0.001,IF(AB82="&lt;",AC82-0.001,AC82))))</f>
        <v>0</v>
      </c>
      <c r="AR86" s="128" t="str">
        <f>IF(AK86=0,"",IF(AB82="≥",AC81-0.001,IF(AB82="≤",AC81+0.001,"")))</f>
        <v/>
      </c>
      <c r="AS86" s="128" t="str">
        <f>+IF(AK86=0,"",IF(AB81="=",AC81,""))</f>
        <v/>
      </c>
    </row>
    <row r="87" spans="2:45" ht="3.75" customHeight="1" x14ac:dyDescent="0.25">
      <c r="B87" s="106"/>
      <c r="O87" s="106"/>
      <c r="AR87" s="128" t="str">
        <f>IF(AK87=0,"",IF(S83="Creciente",IF(R88="≥",S88-0.001,""),IF(R88="≤",S88+0.001,"")))</f>
        <v/>
      </c>
    </row>
    <row r="88" spans="2:45" ht="66" customHeight="1" x14ac:dyDescent="0.25">
      <c r="B88" s="106"/>
      <c r="D88" s="378" t="s">
        <v>59</v>
      </c>
      <c r="E88" s="379"/>
      <c r="F88" s="380" t="s">
        <v>2079</v>
      </c>
      <c r="G88" s="381"/>
      <c r="H88" s="381"/>
      <c r="I88" s="381"/>
      <c r="J88" s="381"/>
      <c r="K88" s="381"/>
      <c r="L88" s="381"/>
      <c r="M88" s="382"/>
      <c r="O88" s="106"/>
    </row>
    <row r="89" spans="2:45" ht="3.95" customHeight="1" x14ac:dyDescent="0.25">
      <c r="B89" s="106"/>
      <c r="O89" s="106"/>
    </row>
    <row r="90" spans="2:45" ht="3" customHeight="1" x14ac:dyDescent="0.25">
      <c r="B90" s="106"/>
      <c r="C90" s="106"/>
      <c r="D90" s="106"/>
      <c r="E90" s="106"/>
      <c r="F90" s="106"/>
      <c r="G90" s="106"/>
      <c r="H90" s="106"/>
      <c r="I90" s="106"/>
      <c r="J90" s="106"/>
      <c r="K90" s="106"/>
      <c r="L90" s="106"/>
      <c r="M90" s="106"/>
      <c r="N90" s="106"/>
      <c r="O90" s="106"/>
    </row>
    <row r="91" spans="2:45" ht="3" customHeight="1" x14ac:dyDescent="0.25"/>
    <row r="92" spans="2:45" ht="3" customHeight="1" x14ac:dyDescent="0.25">
      <c r="B92" s="106"/>
      <c r="C92" s="106"/>
      <c r="D92" s="106"/>
      <c r="E92" s="106"/>
      <c r="F92" s="106"/>
      <c r="G92" s="106"/>
      <c r="H92" s="106"/>
      <c r="I92" s="106"/>
      <c r="J92" s="106"/>
      <c r="K92" s="106"/>
      <c r="L92" s="106"/>
      <c r="M92" s="106"/>
      <c r="N92" s="106"/>
      <c r="O92" s="106"/>
    </row>
    <row r="93" spans="2:45" ht="3.95" customHeight="1" x14ac:dyDescent="0.25">
      <c r="B93" s="106"/>
      <c r="O93" s="106"/>
    </row>
    <row r="94" spans="2:45" x14ac:dyDescent="0.25">
      <c r="B94" s="106"/>
      <c r="D94" s="112" t="s">
        <v>60</v>
      </c>
      <c r="O94" s="106"/>
    </row>
    <row r="95" spans="2:45" ht="3.95" customHeight="1" x14ac:dyDescent="0.25">
      <c r="B95" s="106"/>
      <c r="O95" s="106"/>
    </row>
    <row r="96" spans="2:45" ht="20.100000000000001" customHeight="1" x14ac:dyDescent="0.25">
      <c r="B96" s="106"/>
      <c r="D96" s="387" t="s">
        <v>61</v>
      </c>
      <c r="E96" s="387"/>
      <c r="O96" s="106"/>
    </row>
    <row r="97" spans="2:15" ht="30" customHeight="1" x14ac:dyDescent="0.25">
      <c r="B97" s="106"/>
      <c r="D97" s="369" t="s">
        <v>35</v>
      </c>
      <c r="E97" s="369"/>
      <c r="F97" s="370" t="str">
        <f>+IFERROR(VLOOKUP($S$12,[1]Hoja1!$B$5:$AT$190,29,FALSE),"")</f>
        <v>Reportes de Ejecucion Presupuestal SIIF</v>
      </c>
      <c r="G97" s="370"/>
      <c r="H97" s="370"/>
      <c r="I97" s="370"/>
      <c r="J97" s="370"/>
      <c r="K97" s="370"/>
      <c r="L97" s="370"/>
      <c r="M97" s="370"/>
      <c r="O97" s="106"/>
    </row>
    <row r="98" spans="2:15" ht="30" customHeight="1" x14ac:dyDescent="0.25">
      <c r="B98" s="106"/>
      <c r="D98" s="369" t="s">
        <v>36</v>
      </c>
      <c r="E98" s="369"/>
      <c r="F98" s="370" t="s">
        <v>1984</v>
      </c>
      <c r="G98" s="370"/>
      <c r="H98" s="370"/>
      <c r="I98" s="370"/>
      <c r="J98" s="370"/>
      <c r="K98" s="370"/>
      <c r="L98" s="370"/>
      <c r="M98" s="370"/>
      <c r="O98" s="106"/>
    </row>
    <row r="99" spans="2:15" ht="3.95" customHeight="1" x14ac:dyDescent="0.25">
      <c r="B99" s="106"/>
      <c r="O99" s="106"/>
    </row>
    <row r="100" spans="2:15" ht="58.5" customHeight="1" x14ac:dyDescent="0.25">
      <c r="B100" s="106"/>
      <c r="D100" s="378" t="s">
        <v>62</v>
      </c>
      <c r="E100" s="379"/>
      <c r="F100" s="383"/>
      <c r="G100" s="384"/>
      <c r="H100" s="384"/>
      <c r="I100" s="384"/>
      <c r="J100" s="384"/>
      <c r="K100" s="384"/>
      <c r="L100" s="384"/>
      <c r="M100" s="385"/>
      <c r="O100" s="106"/>
    </row>
    <row r="101" spans="2:15" ht="3.95" customHeight="1" x14ac:dyDescent="0.25">
      <c r="B101" s="106"/>
      <c r="O101" s="106"/>
    </row>
    <row r="102" spans="2:15" ht="19.5" customHeight="1" x14ac:dyDescent="0.25">
      <c r="B102" s="106"/>
      <c r="D102" s="371" t="s">
        <v>64</v>
      </c>
      <c r="E102" s="372"/>
      <c r="F102" s="130" t="s">
        <v>65</v>
      </c>
      <c r="G102" s="107" t="s">
        <v>2</v>
      </c>
      <c r="K102" s="131"/>
      <c r="O102" s="106"/>
    </row>
    <row r="103" spans="2:15" ht="19.5" customHeight="1" x14ac:dyDescent="0.25">
      <c r="B103" s="106"/>
      <c r="D103" s="373"/>
      <c r="E103" s="374"/>
      <c r="F103" s="130" t="s">
        <v>66</v>
      </c>
      <c r="G103" s="132"/>
      <c r="K103" s="133"/>
      <c r="O103" s="106"/>
    </row>
    <row r="104" spans="2:15" ht="27.75" customHeight="1" x14ac:dyDescent="0.25">
      <c r="B104" s="106"/>
      <c r="D104" s="373"/>
      <c r="E104" s="374"/>
      <c r="F104" s="130" t="s">
        <v>67</v>
      </c>
      <c r="G104" s="375"/>
      <c r="H104" s="376"/>
      <c r="I104" s="376"/>
      <c r="J104" s="376"/>
      <c r="K104" s="376"/>
      <c r="L104" s="376"/>
      <c r="M104" s="377"/>
      <c r="O104" s="106"/>
    </row>
    <row r="105" spans="2:15" ht="3.95" customHeight="1" x14ac:dyDescent="0.25">
      <c r="B105" s="106"/>
      <c r="O105" s="106"/>
    </row>
    <row r="106" spans="2:15" ht="229.5" customHeight="1" x14ac:dyDescent="0.25">
      <c r="B106" s="106"/>
      <c r="D106" s="378" t="s">
        <v>68</v>
      </c>
      <c r="E106" s="379"/>
      <c r="F106" s="380" t="s">
        <v>102</v>
      </c>
      <c r="G106" s="381"/>
      <c r="H106" s="381"/>
      <c r="I106" s="381"/>
      <c r="J106" s="381"/>
      <c r="K106" s="381"/>
      <c r="L106" s="381"/>
      <c r="M106" s="382"/>
      <c r="O106" s="106"/>
    </row>
    <row r="107" spans="2:15" ht="3.95" customHeight="1" x14ac:dyDescent="0.25">
      <c r="B107" s="106"/>
      <c r="O107" s="106"/>
    </row>
    <row r="108" spans="2:15" ht="17.25" customHeight="1" x14ac:dyDescent="0.25">
      <c r="B108" s="106"/>
      <c r="D108" s="371" t="s">
        <v>2040</v>
      </c>
      <c r="E108" s="372"/>
      <c r="F108" s="130" t="s">
        <v>2041</v>
      </c>
      <c r="G108" s="375" t="str">
        <f>+VLOOKUP(H10,tablero!$P$5:$R$201,3,FALSE)</f>
        <v>Jefe Oficina Asesora de Comunicaciones</v>
      </c>
      <c r="H108" s="376"/>
      <c r="I108" s="376"/>
      <c r="J108" s="376"/>
      <c r="K108" s="376"/>
      <c r="L108" s="376"/>
      <c r="M108" s="377"/>
      <c r="O108" s="106"/>
    </row>
    <row r="109" spans="2:15" ht="17.25" customHeight="1" x14ac:dyDescent="0.25">
      <c r="B109" s="106"/>
      <c r="D109" s="373"/>
      <c r="E109" s="374"/>
      <c r="F109" s="130" t="s">
        <v>2042</v>
      </c>
      <c r="G109" s="375" t="str">
        <f>+IF(M23="Si","Coordinador(a) Planeación y Sistemas","")</f>
        <v/>
      </c>
      <c r="H109" s="376"/>
      <c r="I109" s="376"/>
      <c r="J109" s="376"/>
      <c r="K109" s="376"/>
      <c r="L109" s="376"/>
      <c r="M109" s="377"/>
      <c r="O109" s="106"/>
    </row>
    <row r="110" spans="2:15" ht="17.25" customHeight="1" x14ac:dyDescent="0.25">
      <c r="B110" s="106"/>
      <c r="D110" s="373"/>
      <c r="E110" s="374"/>
      <c r="F110" s="130" t="s">
        <v>2043</v>
      </c>
      <c r="G110" s="375" t="str">
        <f>+IF(M24="Si","Coordinador(a) Centro Zonal","")</f>
        <v/>
      </c>
      <c r="H110" s="376"/>
      <c r="I110" s="376"/>
      <c r="J110" s="376"/>
      <c r="K110" s="376"/>
      <c r="L110" s="376"/>
      <c r="M110" s="377"/>
      <c r="O110" s="106"/>
    </row>
    <row r="111" spans="2:15" ht="3.95" customHeight="1" x14ac:dyDescent="0.25">
      <c r="B111" s="106"/>
      <c r="O111" s="106"/>
    </row>
    <row r="112" spans="2:15" ht="3" customHeight="1" x14ac:dyDescent="0.25">
      <c r="B112" s="106"/>
      <c r="C112" s="106"/>
      <c r="D112" s="106"/>
      <c r="E112" s="106"/>
      <c r="F112" s="106"/>
      <c r="G112" s="106"/>
      <c r="H112" s="106"/>
      <c r="I112" s="106"/>
      <c r="J112" s="106"/>
      <c r="K112" s="106"/>
      <c r="L112" s="106"/>
      <c r="M112" s="106"/>
      <c r="N112" s="106"/>
      <c r="O112" s="106"/>
    </row>
    <row r="113" spans="13:13" x14ac:dyDescent="0.25">
      <c r="M113" s="121" t="s">
        <v>70</v>
      </c>
    </row>
  </sheetData>
  <mergeCells count="85">
    <mergeCell ref="C3:N5"/>
    <mergeCell ref="D10:E10"/>
    <mergeCell ref="D12:E12"/>
    <mergeCell ref="F12:M12"/>
    <mergeCell ref="D14:E14"/>
    <mergeCell ref="F14:M14"/>
    <mergeCell ref="D22:E22"/>
    <mergeCell ref="G22:H22"/>
    <mergeCell ref="K22:L22"/>
    <mergeCell ref="D23:E23"/>
    <mergeCell ref="G23:H23"/>
    <mergeCell ref="K23:L23"/>
    <mergeCell ref="D24:E24"/>
    <mergeCell ref="G24:H24"/>
    <mergeCell ref="K24:L24"/>
    <mergeCell ref="D25:E25"/>
    <mergeCell ref="D29:E29"/>
    <mergeCell ref="F29:M29"/>
    <mergeCell ref="D30:E31"/>
    <mergeCell ref="G30:M30"/>
    <mergeCell ref="G31:M31"/>
    <mergeCell ref="D32:E33"/>
    <mergeCell ref="G32:M32"/>
    <mergeCell ref="G33:M33"/>
    <mergeCell ref="D34:E35"/>
    <mergeCell ref="G34:M34"/>
    <mergeCell ref="G35:M35"/>
    <mergeCell ref="D43:E43"/>
    <mergeCell ref="D44:E45"/>
    <mergeCell ref="G44:M44"/>
    <mergeCell ref="G45:M45"/>
    <mergeCell ref="D46:E47"/>
    <mergeCell ref="G46:M46"/>
    <mergeCell ref="G47:M47"/>
    <mergeCell ref="D48:E49"/>
    <mergeCell ref="G48:M48"/>
    <mergeCell ref="G49:M49"/>
    <mergeCell ref="D51:E51"/>
    <mergeCell ref="G51:H51"/>
    <mergeCell ref="D59:E59"/>
    <mergeCell ref="F59:M59"/>
    <mergeCell ref="D60:E60"/>
    <mergeCell ref="F60:M60"/>
    <mergeCell ref="D82:E82"/>
    <mergeCell ref="D83:E83"/>
    <mergeCell ref="D61:E61"/>
    <mergeCell ref="F61:M61"/>
    <mergeCell ref="D67:E67"/>
    <mergeCell ref="D71:E71"/>
    <mergeCell ref="D73:E74"/>
    <mergeCell ref="F73:G73"/>
    <mergeCell ref="H73:I73"/>
    <mergeCell ref="J73:K73"/>
    <mergeCell ref="L73:M73"/>
    <mergeCell ref="D77:E77"/>
    <mergeCell ref="D78:E78"/>
    <mergeCell ref="D79:E79"/>
    <mergeCell ref="D80:E80"/>
    <mergeCell ref="D81:E81"/>
    <mergeCell ref="AR73:AS73"/>
    <mergeCell ref="D75:E75"/>
    <mergeCell ref="D76:E76"/>
    <mergeCell ref="AL73:AM73"/>
    <mergeCell ref="AN73:AO73"/>
    <mergeCell ref="AP73:AQ73"/>
    <mergeCell ref="D84:E84"/>
    <mergeCell ref="D85:E85"/>
    <mergeCell ref="D86:E86"/>
    <mergeCell ref="D88:E88"/>
    <mergeCell ref="F97:M97"/>
    <mergeCell ref="D96:E96"/>
    <mergeCell ref="D97:E97"/>
    <mergeCell ref="F88:M88"/>
    <mergeCell ref="D98:E98"/>
    <mergeCell ref="F98:M98"/>
    <mergeCell ref="D108:E110"/>
    <mergeCell ref="G108:M108"/>
    <mergeCell ref="G109:M109"/>
    <mergeCell ref="G110:M110"/>
    <mergeCell ref="D102:E104"/>
    <mergeCell ref="G104:M104"/>
    <mergeCell ref="D106:E106"/>
    <mergeCell ref="F106:M106"/>
    <mergeCell ref="D100:E100"/>
    <mergeCell ref="F100:M100"/>
  </mergeCells>
  <conditionalFormatting sqref="F44:M49">
    <cfRule type="expression" dxfId="703" priority="34">
      <formula>+IF($F$43="no",1,0)</formula>
    </cfRule>
  </conditionalFormatting>
  <conditionalFormatting sqref="F32:M33">
    <cfRule type="expression" dxfId="702" priority="33">
      <formula>+IF($Q$30="NA",1,0)</formula>
    </cfRule>
  </conditionalFormatting>
  <conditionalFormatting sqref="F33:M33">
    <cfRule type="expression" dxfId="701" priority="32">
      <formula>+IF($Q$33=0,1,0)</formula>
    </cfRule>
  </conditionalFormatting>
  <conditionalFormatting sqref="F47:M47">
    <cfRule type="expression" dxfId="700" priority="31">
      <formula>+IF($Q$47=0,1,0)</formula>
    </cfRule>
  </conditionalFormatting>
  <conditionalFormatting sqref="Y75:Y78">
    <cfRule type="expression" dxfId="699" priority="27">
      <formula>+IF(Y$73=0,1,0)</formula>
    </cfRule>
  </conditionalFormatting>
  <conditionalFormatting sqref="AA75:AA78">
    <cfRule type="expression" dxfId="698" priority="26">
      <formula>+IF(AA$73=0,1,0)</formula>
    </cfRule>
  </conditionalFormatting>
  <conditionalFormatting sqref="AC75:AC78">
    <cfRule type="expression" dxfId="697" priority="25">
      <formula>+IF(AC$73=0,1,0)</formula>
    </cfRule>
  </conditionalFormatting>
  <conditionalFormatting sqref="Y81:Y84">
    <cfRule type="expression" dxfId="696" priority="21">
      <formula>+IF(Y$79=0,1,0)</formula>
    </cfRule>
  </conditionalFormatting>
  <conditionalFormatting sqref="AA81:AA84">
    <cfRule type="expression" dxfId="695" priority="20">
      <formula>+IF(AA$79=0,1,0)</formula>
    </cfRule>
  </conditionalFormatting>
  <conditionalFormatting sqref="AC81:AC84">
    <cfRule type="expression" dxfId="694" priority="19">
      <formula>+IF(AC$79=0,1,0)</formula>
    </cfRule>
  </conditionalFormatting>
  <conditionalFormatting sqref="F73:G73">
    <cfRule type="cellIs" dxfId="693" priority="17" operator="equal">
      <formula>"optimo"</formula>
    </cfRule>
    <cfRule type="cellIs" dxfId="692" priority="18" operator="equal">
      <formula>"critico"</formula>
    </cfRule>
  </conditionalFormatting>
  <conditionalFormatting sqref="H73:I73">
    <cfRule type="cellIs" dxfId="691" priority="15" operator="equal">
      <formula>"Adecuado"</formula>
    </cfRule>
    <cfRule type="cellIs" dxfId="690" priority="16" operator="equal">
      <formula>"en riesgo"</formula>
    </cfRule>
  </conditionalFormatting>
  <conditionalFormatting sqref="J73:K73">
    <cfRule type="cellIs" dxfId="689" priority="13" operator="equal">
      <formula>"Adecuado"</formula>
    </cfRule>
    <cfRule type="cellIs" dxfId="688" priority="14" operator="equal">
      <formula>"en riesgo"</formula>
    </cfRule>
  </conditionalFormatting>
  <conditionalFormatting sqref="L73:M73">
    <cfRule type="cellIs" dxfId="687" priority="11" operator="equal">
      <formula>"optimo"</formula>
    </cfRule>
    <cfRule type="cellIs" dxfId="686" priority="12" operator="equal">
      <formula>"critico"</formula>
    </cfRule>
  </conditionalFormatting>
  <conditionalFormatting sqref="F75:M76">
    <cfRule type="expression" dxfId="685" priority="10">
      <formula>+IF($AK75=0,1)</formula>
    </cfRule>
  </conditionalFormatting>
  <conditionalFormatting sqref="F103:G104">
    <cfRule type="expression" dxfId="684" priority="9">
      <formula>+IF($G$102="No",1,0)</formula>
    </cfRule>
  </conditionalFormatting>
  <conditionalFormatting sqref="F51">
    <cfRule type="expression" dxfId="683" priority="8">
      <formula>+IF($F$43="no",1,0)</formula>
    </cfRule>
  </conditionalFormatting>
  <conditionalFormatting sqref="I51">
    <cfRule type="expression" dxfId="682" priority="7">
      <formula>+IF($F$51="no",1,0)</formula>
    </cfRule>
  </conditionalFormatting>
  <conditionalFormatting sqref="F77:F86 M77:M86">
    <cfRule type="expression" dxfId="681" priority="2">
      <formula>+IF($AK77=0,1)</formula>
    </cfRule>
  </conditionalFormatting>
  <conditionalFormatting sqref="G77:L86">
    <cfRule type="expression" dxfId="680" priority="1">
      <formula>+IF($AK77=0,1)</formula>
    </cfRule>
  </conditionalFormatting>
  <dataValidations count="13">
    <dataValidation type="list" allowBlank="1" showInputMessage="1" showErrorMessage="1" sqref="F25">
      <formula1>dimen</formula1>
    </dataValidation>
    <dataValidation type="list" allowBlank="1" showInputMessage="1" showErrorMessage="1" sqref="G49:M49">
      <formula1>proyectos</formula1>
    </dataValidation>
    <dataValidation type="list" allowBlank="1" showInputMessage="1" showErrorMessage="1" sqref="F71">
      <formula1>$D$75:$D$86</formula1>
    </dataValidation>
    <dataValidation type="list" allowBlank="1" showInputMessage="1" showErrorMessage="1" sqref="I24">
      <formula1>ambito</formula1>
    </dataValidation>
    <dataValidation type="list" allowBlank="1" showInputMessage="1" showErrorMessage="1" sqref="I23">
      <formula1>medidas</formula1>
    </dataValidation>
    <dataValidation type="list" allowBlank="1" showInputMessage="1" showErrorMessage="1" sqref="F24">
      <formula1>tendencia</formula1>
    </dataValidation>
    <dataValidation type="list" allowBlank="1" showInputMessage="1" showErrorMessage="1" sqref="G47:M47">
      <formula1>INDIRECT($Q$45)</formula1>
    </dataValidation>
    <dataValidation type="list" allowBlank="1" showInputMessage="1" showErrorMessage="1" sqref="G45:M45">
      <formula1>lineas</formula1>
    </dataValidation>
    <dataValidation type="list" allowBlank="1" showInputMessage="1" showErrorMessage="1" sqref="G31:M31">
      <formula1>macroproceso</formula1>
    </dataValidation>
    <dataValidation type="list" allowBlank="1" showInputMessage="1" showErrorMessage="1" sqref="G33:M33">
      <formula1>INDIRECT($Q$30)</formula1>
    </dataValidation>
    <dataValidation type="list" allowBlank="1" showInputMessage="1" showErrorMessage="1" sqref="F35:G35">
      <formula1>macroprocesos</formula1>
    </dataValidation>
    <dataValidation type="list" allowBlank="1" showInputMessage="1" showErrorMessage="1" sqref="F29:M29">
      <formula1>objetivos</formula1>
    </dataValidation>
    <dataValidation type="list" allowBlank="1" showInputMessage="1" showErrorMessage="1" sqref="G102 F43 F51">
      <formula1>$S$4:$S$5</formula1>
    </dataValidation>
  </dataValidations>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[1]Hoja1!#REF!</xm:f>
          </x14:formula1>
          <xm:sqref>S12</xm:sqref>
        </x14:dataValidation>
        <x14:dataValidation type="list" allowBlank="1" showInputMessage="1" showErrorMessage="1">
          <x14:formula1>
            <xm:f>[1]base!#REF!</xm:f>
          </x14:formula1>
          <xm:sqref>R75:R78 T75:T78 V75:V78 X75:X78 Z75:Z78 AB75:AB78 T81:T84 Z81:Z84 R81:R84 V81:V84 X81:X84 AB81:AB84 F23</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tabColor rgb="FF0070C0"/>
  </sheetPr>
  <dimension ref="B1:AV113"/>
  <sheetViews>
    <sheetView zoomScaleNormal="100" workbookViewId="0">
      <selection activeCell="P1" sqref="P1"/>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129</v>
      </c>
      <c r="O10" s="2"/>
    </row>
    <row r="11" spans="2:24" ht="3.95" customHeight="1" x14ac:dyDescent="0.25">
      <c r="B11" s="2"/>
      <c r="D11" s="6"/>
      <c r="O11" s="2"/>
    </row>
    <row r="12" spans="2:24" ht="36" customHeight="1" x14ac:dyDescent="0.25">
      <c r="B12" s="2"/>
      <c r="D12" s="338" t="s">
        <v>5</v>
      </c>
      <c r="E12" s="339"/>
      <c r="F12" s="340" t="s">
        <v>2104</v>
      </c>
      <c r="G12" s="341"/>
      <c r="H12" s="341"/>
      <c r="I12" s="341"/>
      <c r="J12" s="341"/>
      <c r="K12" s="341"/>
      <c r="L12" s="341"/>
      <c r="M12" s="342"/>
      <c r="O12" s="2"/>
      <c r="W12" s="3" t="str">
        <f>+F23</f>
        <v>Trimestral</v>
      </c>
      <c r="X12" s="3" t="str">
        <f>+F71</f>
        <v>Mayo</v>
      </c>
    </row>
    <row r="13" spans="2:24" ht="3.95" customHeight="1" x14ac:dyDescent="0.25">
      <c r="B13" s="2"/>
      <c r="O13" s="2"/>
    </row>
    <row r="14" spans="2:24" ht="36" customHeight="1" x14ac:dyDescent="0.25">
      <c r="B14" s="2"/>
      <c r="D14" s="338" t="s">
        <v>6</v>
      </c>
      <c r="E14" s="339"/>
      <c r="F14" s="340" t="s">
        <v>609</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31">
        <v>0</v>
      </c>
      <c r="G22" s="337" t="s">
        <v>9</v>
      </c>
      <c r="H22" s="337"/>
      <c r="I22" s="8">
        <v>1936658</v>
      </c>
      <c r="K22" s="337" t="s">
        <v>10</v>
      </c>
      <c r="L22" s="337"/>
      <c r="M22" s="9" t="s">
        <v>496</v>
      </c>
      <c r="O22" s="2"/>
    </row>
    <row r="23" spans="2:17" ht="19.5" customHeight="1" x14ac:dyDescent="0.25">
      <c r="B23" s="2"/>
      <c r="D23" s="337" t="s">
        <v>11</v>
      </c>
      <c r="E23" s="337"/>
      <c r="F23" s="4" t="s">
        <v>71</v>
      </c>
      <c r="G23" s="337" t="s">
        <v>12</v>
      </c>
      <c r="H23" s="337"/>
      <c r="I23" s="4" t="s">
        <v>553</v>
      </c>
      <c r="K23" s="337" t="s">
        <v>13</v>
      </c>
      <c r="L23" s="337"/>
      <c r="M23" s="9" t="s">
        <v>496</v>
      </c>
      <c r="O23" s="2"/>
    </row>
    <row r="24" spans="2:17" ht="20.100000000000001" customHeight="1" x14ac:dyDescent="0.25">
      <c r="B24" s="2"/>
      <c r="D24" s="337" t="s">
        <v>14</v>
      </c>
      <c r="E24" s="337"/>
      <c r="F24" s="4" t="s">
        <v>498</v>
      </c>
      <c r="G24" s="337" t="s">
        <v>15</v>
      </c>
      <c r="H24" s="337"/>
      <c r="I24" s="4" t="s">
        <v>519</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20</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NA</v>
      </c>
    </row>
    <row r="31" spans="2:17" ht="24" customHeight="1" x14ac:dyDescent="0.25">
      <c r="B31" s="2"/>
      <c r="D31" s="347"/>
      <c r="E31" s="348"/>
      <c r="F31" s="4" t="s">
        <v>109</v>
      </c>
      <c r="G31" s="340" t="s">
        <v>110</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500</v>
      </c>
      <c r="G33" s="340"/>
      <c r="H33" s="341"/>
      <c r="I33" s="341"/>
      <c r="J33" s="341"/>
      <c r="K33" s="341"/>
      <c r="L33" s="341"/>
      <c r="M33" s="342"/>
      <c r="O33" s="2"/>
      <c r="Q33" s="3" t="str">
        <f>+IFERROR(IF(VLOOKUP(G33,base!$A$26:$C$40,3,FALSE)=F31,1,0),"")</f>
        <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1711</v>
      </c>
      <c r="G35" s="340" t="s">
        <v>1587</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2</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500</v>
      </c>
      <c r="G45" s="340" t="s">
        <v>512</v>
      </c>
      <c r="H45" s="341"/>
      <c r="I45" s="341"/>
      <c r="J45" s="341"/>
      <c r="K45" s="341"/>
      <c r="L45" s="341"/>
      <c r="M45" s="342"/>
      <c r="O45" s="2"/>
      <c r="Q45" s="3" t="str">
        <f>+IFERROR(VLOOKUP(G45,base!$A$41:$C$45,3,FALSE),"")</f>
        <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500</v>
      </c>
      <c r="G47" s="340" t="s">
        <v>512</v>
      </c>
      <c r="H47" s="341"/>
      <c r="I47" s="341"/>
      <c r="J47" s="341"/>
      <c r="K47" s="341"/>
      <c r="L47" s="341"/>
      <c r="M47" s="342"/>
      <c r="O47" s="2"/>
      <c r="Q47" s="3" t="e">
        <f>+IF(VLOOKUP(G47,base!$A$46:$C$66,3,FALSE)=F45,1,0)</f>
        <v>#N/A</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535</v>
      </c>
      <c r="G49" s="340" t="s">
        <v>30</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8"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75" customHeight="1" x14ac:dyDescent="0.25">
      <c r="B59" s="2"/>
      <c r="D59" s="337" t="s">
        <v>34</v>
      </c>
      <c r="E59" s="337"/>
      <c r="F59" s="344" t="s">
        <v>2105</v>
      </c>
      <c r="G59" s="344"/>
      <c r="H59" s="344"/>
      <c r="I59" s="344"/>
      <c r="J59" s="344"/>
      <c r="K59" s="344"/>
      <c r="L59" s="344"/>
      <c r="M59" s="344"/>
      <c r="O59" s="2"/>
    </row>
    <row r="60" spans="2:15" ht="27" customHeight="1" x14ac:dyDescent="0.25">
      <c r="B60" s="2"/>
      <c r="D60" s="359" t="s">
        <v>35</v>
      </c>
      <c r="E60" s="359"/>
      <c r="F60" s="344" t="s">
        <v>610</v>
      </c>
      <c r="G60" s="344"/>
      <c r="H60" s="344"/>
      <c r="I60" s="344"/>
      <c r="J60" s="344"/>
      <c r="K60" s="344"/>
      <c r="L60" s="344"/>
      <c r="M60" s="344"/>
      <c r="O60" s="2"/>
    </row>
    <row r="61" spans="2:15" ht="27" customHeight="1" x14ac:dyDescent="0.25">
      <c r="B61" s="2"/>
      <c r="D61" s="359" t="s">
        <v>36</v>
      </c>
      <c r="E61" s="359"/>
      <c r="F61" s="344" t="s">
        <v>2106</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43" t="s">
        <v>39</v>
      </c>
      <c r="E71" s="343"/>
      <c r="F71" s="4" t="s">
        <v>49</v>
      </c>
      <c r="G71" s="3">
        <v>4</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60" t="s">
        <v>48</v>
      </c>
      <c r="E78" s="360"/>
      <c r="F78" s="16" t="s">
        <v>500</v>
      </c>
      <c r="G78" s="16"/>
      <c r="H78" s="16"/>
      <c r="I78" s="16"/>
      <c r="J78" s="16"/>
      <c r="K78" s="16"/>
      <c r="L78" s="16"/>
      <c r="M78" s="16" t="s">
        <v>500</v>
      </c>
      <c r="O78" s="2"/>
      <c r="AE78" s="3" t="s">
        <v>48</v>
      </c>
      <c r="AF78" s="3">
        <v>4</v>
      </c>
      <c r="AG78" s="3">
        <f t="shared" si="0"/>
        <v>1</v>
      </c>
      <c r="AH78" s="3">
        <f>+IF(AG78=0,0,IF(AG78=1,(SUM($AG$75:AG78)-1),1))</f>
        <v>0</v>
      </c>
      <c r="AI78" s="3">
        <f t="shared" si="1"/>
        <v>0</v>
      </c>
      <c r="AJ78" s="3">
        <f t="shared" si="2"/>
        <v>0</v>
      </c>
      <c r="AK78" s="3">
        <f t="shared" si="3"/>
        <v>0</v>
      </c>
    </row>
    <row r="79" spans="2:37" x14ac:dyDescent="0.25">
      <c r="B79" s="2"/>
      <c r="D79" s="360" t="s">
        <v>49</v>
      </c>
      <c r="E79" s="360"/>
      <c r="F79" s="16" t="s">
        <v>500</v>
      </c>
      <c r="G79" s="16">
        <v>0.39900000000000002</v>
      </c>
      <c r="H79" s="16">
        <v>0.4</v>
      </c>
      <c r="I79" s="16">
        <v>0.499</v>
      </c>
      <c r="J79" s="16">
        <v>0.5</v>
      </c>
      <c r="K79" s="16">
        <v>0.59899999999999998</v>
      </c>
      <c r="L79" s="16">
        <v>0.6</v>
      </c>
      <c r="M79" s="16" t="s">
        <v>500</v>
      </c>
      <c r="O79" s="2"/>
      <c r="AE79" s="3" t="s">
        <v>49</v>
      </c>
      <c r="AF79" s="3">
        <v>5</v>
      </c>
      <c r="AG79" s="3">
        <f t="shared" si="0"/>
        <v>1</v>
      </c>
      <c r="AH79" s="3">
        <f>+IF(AG79=0,0,IF(AG79=1,(SUM($AG$75:AG79)-1),1))</f>
        <v>1</v>
      </c>
      <c r="AI79" s="3">
        <f t="shared" si="1"/>
        <v>0</v>
      </c>
      <c r="AJ79" s="3">
        <f t="shared" si="2"/>
        <v>1</v>
      </c>
      <c r="AK79" s="3">
        <f t="shared" si="3"/>
        <v>1</v>
      </c>
    </row>
    <row r="80" spans="2:37" x14ac:dyDescent="0.25">
      <c r="B80" s="2"/>
      <c r="D80" s="360" t="s">
        <v>50</v>
      </c>
      <c r="E80" s="360"/>
      <c r="F80" s="16" t="s">
        <v>500</v>
      </c>
      <c r="G80" s="16"/>
      <c r="H80" s="16"/>
      <c r="I80" s="16"/>
      <c r="J80" s="16"/>
      <c r="K80" s="16"/>
      <c r="L80" s="16"/>
      <c r="M80" s="16" t="s">
        <v>500</v>
      </c>
      <c r="O80" s="2"/>
      <c r="AE80" s="3" t="s">
        <v>50</v>
      </c>
      <c r="AF80" s="3">
        <v>6</v>
      </c>
      <c r="AG80" s="3">
        <f t="shared" si="0"/>
        <v>1</v>
      </c>
      <c r="AH80" s="3">
        <f>+IF(AG80=0,0,IF(AG80=1,(SUM($AG$75:AG80)-1),1))</f>
        <v>2</v>
      </c>
      <c r="AI80" s="3">
        <f t="shared" si="1"/>
        <v>0</v>
      </c>
      <c r="AJ80" s="3">
        <f t="shared" si="2"/>
        <v>0</v>
      </c>
      <c r="AK80" s="3">
        <f t="shared" si="3"/>
        <v>0</v>
      </c>
    </row>
    <row r="81" spans="2:37" x14ac:dyDescent="0.25">
      <c r="B81" s="2"/>
      <c r="D81" s="360" t="s">
        <v>53</v>
      </c>
      <c r="E81" s="360"/>
      <c r="F81" s="16" t="s">
        <v>500</v>
      </c>
      <c r="G81" s="16"/>
      <c r="H81" s="16"/>
      <c r="I81" s="16"/>
      <c r="J81" s="16"/>
      <c r="K81" s="16"/>
      <c r="L81" s="16"/>
      <c r="M81" s="16" t="s">
        <v>500</v>
      </c>
      <c r="O81" s="2"/>
      <c r="AE81" s="3" t="s">
        <v>53</v>
      </c>
      <c r="AF81" s="3">
        <v>7</v>
      </c>
      <c r="AG81" s="3">
        <f t="shared" si="0"/>
        <v>1</v>
      </c>
      <c r="AH81" s="3">
        <f>+IF(AG81=0,0,IF(AG81=1,(SUM($AG$75:AG81)-1),1))</f>
        <v>3</v>
      </c>
      <c r="AI81" s="3">
        <f t="shared" si="1"/>
        <v>1</v>
      </c>
      <c r="AJ81" s="3">
        <f t="shared" si="2"/>
        <v>0</v>
      </c>
      <c r="AK81" s="3">
        <f t="shared" si="3"/>
        <v>1</v>
      </c>
    </row>
    <row r="82" spans="2:37" x14ac:dyDescent="0.25">
      <c r="B82" s="2"/>
      <c r="D82" s="360" t="s">
        <v>54</v>
      </c>
      <c r="E82" s="360"/>
      <c r="F82" s="16" t="s">
        <v>500</v>
      </c>
      <c r="G82" s="16">
        <v>0.499</v>
      </c>
      <c r="H82" s="16">
        <v>0.5</v>
      </c>
      <c r="I82" s="16">
        <v>0.69899999999999995</v>
      </c>
      <c r="J82" s="16">
        <v>0.7</v>
      </c>
      <c r="K82" s="16">
        <v>0.89900000000000002</v>
      </c>
      <c r="L82" s="16">
        <v>0.9</v>
      </c>
      <c r="M82" s="16" t="s">
        <v>500</v>
      </c>
      <c r="O82" s="2"/>
      <c r="AE82" s="3" t="s">
        <v>54</v>
      </c>
      <c r="AF82" s="3">
        <v>8</v>
      </c>
      <c r="AG82" s="3">
        <f t="shared" si="0"/>
        <v>1</v>
      </c>
      <c r="AH82" s="3">
        <f>+IF(AG82=0,0,IF(AG82=1,(SUM($AG$75:AG82)-1),1))</f>
        <v>4</v>
      </c>
      <c r="AI82" s="3">
        <f t="shared" si="1"/>
        <v>0</v>
      </c>
      <c r="AJ82" s="3">
        <f t="shared" si="2"/>
        <v>0</v>
      </c>
      <c r="AK82" s="3">
        <f t="shared" si="3"/>
        <v>0</v>
      </c>
    </row>
    <row r="83" spans="2:37" x14ac:dyDescent="0.25">
      <c r="B83" s="2"/>
      <c r="D83" s="360" t="s">
        <v>55</v>
      </c>
      <c r="E83" s="360"/>
      <c r="F83" s="16" t="s">
        <v>500</v>
      </c>
      <c r="G83" s="16"/>
      <c r="H83" s="16"/>
      <c r="I83" s="16"/>
      <c r="J83" s="16"/>
      <c r="K83" s="16"/>
      <c r="L83" s="16"/>
      <c r="M83" s="16" t="s">
        <v>500</v>
      </c>
      <c r="O83" s="2"/>
      <c r="AE83" s="3" t="s">
        <v>55</v>
      </c>
      <c r="AF83" s="3">
        <v>9</v>
      </c>
      <c r="AG83" s="3">
        <f t="shared" si="0"/>
        <v>1</v>
      </c>
      <c r="AH83" s="3">
        <f>+IF(AG83=0,0,IF(AG83=1,(SUM($AG$75:AG83)-1),1))</f>
        <v>5</v>
      </c>
      <c r="AI83" s="3">
        <f t="shared" si="1"/>
        <v>0</v>
      </c>
      <c r="AJ83" s="3">
        <f t="shared" si="2"/>
        <v>0</v>
      </c>
      <c r="AK83" s="3">
        <f t="shared" si="3"/>
        <v>0</v>
      </c>
    </row>
    <row r="84" spans="2:37" x14ac:dyDescent="0.25">
      <c r="B84" s="2"/>
      <c r="D84" s="360" t="s">
        <v>56</v>
      </c>
      <c r="E84" s="360"/>
      <c r="F84" s="16" t="s">
        <v>500</v>
      </c>
      <c r="G84" s="16"/>
      <c r="H84" s="16"/>
      <c r="I84" s="16"/>
      <c r="J84" s="16"/>
      <c r="K84" s="16"/>
      <c r="L84" s="16"/>
      <c r="M84" s="16"/>
      <c r="O84" s="2"/>
      <c r="AE84" s="3" t="s">
        <v>56</v>
      </c>
      <c r="AF84" s="3">
        <v>10</v>
      </c>
      <c r="AG84" s="3">
        <f t="shared" si="0"/>
        <v>1</v>
      </c>
      <c r="AH84" s="3">
        <f>+IF(AG84=0,0,IF(AG84=1,(SUM($AG$75:AG84)-1),1))</f>
        <v>6</v>
      </c>
      <c r="AI84" s="3">
        <f t="shared" si="1"/>
        <v>1</v>
      </c>
      <c r="AJ84" s="3">
        <f t="shared" si="2"/>
        <v>0</v>
      </c>
      <c r="AK84" s="3">
        <f t="shared" si="3"/>
        <v>1</v>
      </c>
    </row>
    <row r="85" spans="2:37" x14ac:dyDescent="0.25">
      <c r="B85" s="2"/>
      <c r="D85" s="360" t="s">
        <v>57</v>
      </c>
      <c r="E85" s="360"/>
      <c r="F85" s="16" t="s">
        <v>500</v>
      </c>
      <c r="G85" s="16">
        <v>0.69899999999999995</v>
      </c>
      <c r="H85" s="16">
        <v>0.7</v>
      </c>
      <c r="I85" s="16">
        <v>0.79900000000000004</v>
      </c>
      <c r="J85" s="16">
        <v>0.8</v>
      </c>
      <c r="K85" s="16">
        <v>0.999</v>
      </c>
      <c r="L85" s="16" t="s">
        <v>500</v>
      </c>
      <c r="M85" s="16">
        <v>1</v>
      </c>
      <c r="O85" s="2"/>
      <c r="AE85" s="3" t="s">
        <v>57</v>
      </c>
      <c r="AF85" s="3">
        <v>11</v>
      </c>
      <c r="AG85" s="3">
        <f t="shared" si="0"/>
        <v>1</v>
      </c>
      <c r="AH85" s="3">
        <f>+IF(AG85=0,0,IF(AG85=1,(SUM($AG$75:AG85)-1),1))</f>
        <v>7</v>
      </c>
      <c r="AI85" s="3">
        <f t="shared" si="1"/>
        <v>0</v>
      </c>
      <c r="AJ85" s="3">
        <f t="shared" si="2"/>
        <v>0</v>
      </c>
      <c r="AK85" s="3">
        <f t="shared" si="3"/>
        <v>0</v>
      </c>
    </row>
    <row r="86" spans="2:37" x14ac:dyDescent="0.25">
      <c r="B86" s="2"/>
      <c r="D86" s="360" t="s">
        <v>58</v>
      </c>
      <c r="E86" s="360"/>
      <c r="F86" s="16" t="s">
        <v>500</v>
      </c>
      <c r="G86" s="16"/>
      <c r="H86" s="16"/>
      <c r="I86" s="16"/>
      <c r="J86" s="16"/>
      <c r="K86" s="16"/>
      <c r="L86" s="16"/>
      <c r="M86" s="16"/>
      <c r="O86" s="2"/>
      <c r="AE86" s="3" t="s">
        <v>58</v>
      </c>
      <c r="AF86" s="65">
        <v>12</v>
      </c>
      <c r="AG86" s="3">
        <f t="shared" si="0"/>
        <v>1</v>
      </c>
      <c r="AH86" s="3">
        <f>+IF(AG86=0,0,IF(AG86=1,(SUM($AG$75:AG86)-1),1))</f>
        <v>8</v>
      </c>
      <c r="AI86" s="3">
        <f t="shared" si="1"/>
        <v>0</v>
      </c>
      <c r="AJ86" s="3">
        <f t="shared" si="2"/>
        <v>0</v>
      </c>
      <c r="AK86" s="3">
        <f t="shared" si="3"/>
        <v>0</v>
      </c>
    </row>
    <row r="87" spans="2:37" ht="3.75" customHeight="1" x14ac:dyDescent="0.25">
      <c r="B87" s="2"/>
      <c r="O87" s="2"/>
    </row>
    <row r="88" spans="2:37" ht="66" customHeight="1" x14ac:dyDescent="0.25">
      <c r="B88" s="2"/>
      <c r="D88" s="338" t="s">
        <v>59</v>
      </c>
      <c r="E88" s="339"/>
      <c r="F88" s="340" t="s">
        <v>2107</v>
      </c>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28.5" customHeight="1" x14ac:dyDescent="0.25">
      <c r="B97" s="2"/>
      <c r="D97" s="359" t="s">
        <v>35</v>
      </c>
      <c r="E97" s="359"/>
      <c r="F97" s="344" t="s">
        <v>611</v>
      </c>
      <c r="G97" s="344"/>
      <c r="H97" s="344"/>
      <c r="I97" s="344"/>
      <c r="J97" s="344"/>
      <c r="K97" s="344"/>
      <c r="L97" s="344"/>
      <c r="M97" s="344"/>
      <c r="O97" s="2"/>
    </row>
    <row r="98" spans="2:15" ht="28.5" customHeight="1" x14ac:dyDescent="0.25">
      <c r="B98" s="2"/>
      <c r="D98" s="359" t="s">
        <v>36</v>
      </c>
      <c r="E98" s="359"/>
      <c r="F98" s="344" t="s">
        <v>605</v>
      </c>
      <c r="G98" s="344"/>
      <c r="H98" s="344"/>
      <c r="I98" s="344"/>
      <c r="J98" s="344"/>
      <c r="K98" s="344"/>
      <c r="L98" s="344"/>
      <c r="M98" s="344"/>
      <c r="O98" s="2"/>
    </row>
    <row r="99" spans="2:15" ht="3.95" customHeight="1" x14ac:dyDescent="0.25">
      <c r="B99" s="2"/>
      <c r="O99" s="2"/>
    </row>
    <row r="100" spans="2:15" ht="81" customHeight="1" x14ac:dyDescent="0.25">
      <c r="B100" s="2"/>
      <c r="D100" s="338" t="s">
        <v>62</v>
      </c>
      <c r="E100" s="339"/>
      <c r="F100" s="340" t="s">
        <v>85</v>
      </c>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2</v>
      </c>
      <c r="K102" s="20"/>
      <c r="O102" s="2"/>
    </row>
    <row r="103" spans="2:15" ht="19.5" customHeight="1" x14ac:dyDescent="0.25">
      <c r="B103" s="2"/>
      <c r="D103" s="331"/>
      <c r="E103" s="332"/>
      <c r="F103" s="19" t="s">
        <v>66</v>
      </c>
      <c r="G103" s="4"/>
      <c r="K103" s="21"/>
      <c r="O103" s="2"/>
    </row>
    <row r="104" spans="2:15" ht="27.75" customHeight="1" x14ac:dyDescent="0.25">
      <c r="B104" s="2"/>
      <c r="D104" s="331"/>
      <c r="E104" s="332"/>
      <c r="F104" s="19" t="s">
        <v>67</v>
      </c>
      <c r="G104" s="333"/>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69</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 xml:space="preserve">Director(a) Primera Infancia </v>
      </c>
      <c r="H108" s="334"/>
      <c r="I108" s="334"/>
      <c r="J108" s="334"/>
      <c r="K108" s="334"/>
      <c r="L108" s="334"/>
      <c r="M108" s="335"/>
      <c r="O108" s="2"/>
    </row>
    <row r="109" spans="2:15" ht="17.25" customHeight="1" x14ac:dyDescent="0.25">
      <c r="B109" s="2"/>
      <c r="D109" s="331"/>
      <c r="E109" s="332"/>
      <c r="F109" s="19" t="s">
        <v>2042</v>
      </c>
      <c r="G109" s="333" t="str">
        <f>+IF(M23="Si","Coordinador(a) Planeación y Sistemas","")</f>
        <v>Coordinador(a) Planeación y Sistemas</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3295" priority="31">
      <formula>+IF($F$43="no",1,0)</formula>
    </cfRule>
  </conditionalFormatting>
  <conditionalFormatting sqref="F32:M33">
    <cfRule type="expression" dxfId="3294" priority="30">
      <formula>+IF($Q$30="NA",1,0)</formula>
    </cfRule>
  </conditionalFormatting>
  <conditionalFormatting sqref="F33:M33">
    <cfRule type="expression" dxfId="3293" priority="29">
      <formula>+IF($Q$33=0,1,0)</formula>
    </cfRule>
  </conditionalFormatting>
  <conditionalFormatting sqref="F47:M47">
    <cfRule type="expression" dxfId="3292" priority="28">
      <formula>+IF($Q$47=0,1,0)</formula>
    </cfRule>
  </conditionalFormatting>
  <conditionalFormatting sqref="F73:G73">
    <cfRule type="cellIs" dxfId="3291" priority="20" operator="equal">
      <formula>"optimo"</formula>
    </cfRule>
    <cfRule type="cellIs" dxfId="3290" priority="21" operator="equal">
      <formula>"critico"</formula>
    </cfRule>
  </conditionalFormatting>
  <conditionalFormatting sqref="H73:I73">
    <cfRule type="cellIs" dxfId="3289" priority="18" operator="equal">
      <formula>"Adecuado"</formula>
    </cfRule>
    <cfRule type="cellIs" dxfId="3288" priority="19" operator="equal">
      <formula>"en riesgo"</formula>
    </cfRule>
  </conditionalFormatting>
  <conditionalFormatting sqref="J73:K73">
    <cfRule type="cellIs" dxfId="3287" priority="16" operator="equal">
      <formula>"Adecuado"</formula>
    </cfRule>
    <cfRule type="cellIs" dxfId="3286" priority="17" operator="equal">
      <formula>"en riesgo"</formula>
    </cfRule>
  </conditionalFormatting>
  <conditionalFormatting sqref="L73:M73">
    <cfRule type="cellIs" dxfId="3285" priority="14" operator="equal">
      <formula>"optimo"</formula>
    </cfRule>
    <cfRule type="cellIs" dxfId="3284" priority="15" operator="equal">
      <formula>"critico"</formula>
    </cfRule>
  </conditionalFormatting>
  <conditionalFormatting sqref="F103:G104">
    <cfRule type="expression" dxfId="3283" priority="12">
      <formula>+IF($G$102="No",1,0)</formula>
    </cfRule>
  </conditionalFormatting>
  <conditionalFormatting sqref="F51">
    <cfRule type="expression" dxfId="3282" priority="11">
      <formula>+IF($F$43="no",1,0)</formula>
    </cfRule>
  </conditionalFormatting>
  <conditionalFormatting sqref="I51">
    <cfRule type="expression" dxfId="3281" priority="10">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4">
    <tabColor rgb="FF0070C0"/>
  </sheetPr>
  <dimension ref="B1:AV113"/>
  <sheetViews>
    <sheetView topLeftCell="A43" zoomScale="90" zoomScaleNormal="90" workbookViewId="0">
      <selection activeCell="S81" sqref="S81"/>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11.42578125"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414</v>
      </c>
      <c r="O10" s="2"/>
    </row>
    <row r="11" spans="2:24" ht="3.95" customHeight="1" x14ac:dyDescent="0.25">
      <c r="B11" s="2"/>
      <c r="D11" s="6"/>
      <c r="O11" s="2"/>
    </row>
    <row r="12" spans="2:24" ht="36" customHeight="1" x14ac:dyDescent="0.25">
      <c r="B12" s="2"/>
      <c r="D12" s="338" t="s">
        <v>5</v>
      </c>
      <c r="E12" s="339"/>
      <c r="F12" s="340" t="s">
        <v>415</v>
      </c>
      <c r="G12" s="341"/>
      <c r="H12" s="341"/>
      <c r="I12" s="341"/>
      <c r="J12" s="341"/>
      <c r="K12" s="341"/>
      <c r="L12" s="341"/>
      <c r="M12" s="342"/>
      <c r="O12" s="2"/>
      <c r="W12" s="3" t="str">
        <f>+F23</f>
        <v>Mensual</v>
      </c>
      <c r="X12" s="3" t="str">
        <f>+F71</f>
        <v>Enero</v>
      </c>
    </row>
    <row r="13" spans="2:24" ht="3.95" customHeight="1" x14ac:dyDescent="0.25">
      <c r="B13" s="2"/>
      <c r="O13" s="2"/>
    </row>
    <row r="14" spans="2:24" ht="38.25" customHeight="1" x14ac:dyDescent="0.25">
      <c r="B14" s="2"/>
      <c r="D14" s="338" t="s">
        <v>6</v>
      </c>
      <c r="E14" s="339"/>
      <c r="F14" s="340" t="s">
        <v>1327</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8.75" customHeight="1" x14ac:dyDescent="0.25">
      <c r="B22" s="2"/>
      <c r="D22" s="337" t="s">
        <v>8</v>
      </c>
      <c r="E22" s="337"/>
      <c r="F22" s="17" t="s">
        <v>1851</v>
      </c>
      <c r="G22" s="337" t="s">
        <v>9</v>
      </c>
      <c r="H22" s="337"/>
      <c r="I22" s="17">
        <v>1</v>
      </c>
      <c r="K22" s="337" t="s">
        <v>10</v>
      </c>
      <c r="L22" s="337"/>
      <c r="M22" s="9" t="s">
        <v>496</v>
      </c>
      <c r="O22" s="2"/>
    </row>
    <row r="23" spans="2:17" ht="19.5" customHeight="1" x14ac:dyDescent="0.25">
      <c r="B23" s="2"/>
      <c r="D23" s="337" t="s">
        <v>11</v>
      </c>
      <c r="E23" s="337"/>
      <c r="F23" s="4" t="s">
        <v>84</v>
      </c>
      <c r="G23" s="337" t="s">
        <v>12</v>
      </c>
      <c r="H23" s="337"/>
      <c r="I23" s="4" t="s">
        <v>497</v>
      </c>
      <c r="K23" s="337" t="s">
        <v>13</v>
      </c>
      <c r="L23" s="337"/>
      <c r="M23" s="9" t="s">
        <v>2</v>
      </c>
      <c r="O23" s="2"/>
    </row>
    <row r="24" spans="2:17" ht="20.100000000000001" customHeight="1" x14ac:dyDescent="0.25">
      <c r="B24" s="2"/>
      <c r="D24" s="337" t="s">
        <v>14</v>
      </c>
      <c r="E24" s="337"/>
      <c r="F24" s="4" t="s">
        <v>498</v>
      </c>
      <c r="G24" s="337" t="s">
        <v>15</v>
      </c>
      <c r="H24" s="337"/>
      <c r="I24" s="4" t="s">
        <v>533</v>
      </c>
      <c r="K24" s="337" t="s">
        <v>16</v>
      </c>
      <c r="L24" s="337"/>
      <c r="M24" s="9" t="s">
        <v>2</v>
      </c>
      <c r="O24" s="2"/>
    </row>
    <row r="25" spans="2:17" ht="20.100000000000001" customHeight="1" x14ac:dyDescent="0.25">
      <c r="B25" s="2"/>
      <c r="D25" s="337" t="s">
        <v>17</v>
      </c>
      <c r="E25" s="337"/>
      <c r="F25" s="4" t="s">
        <v>683</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NA</v>
      </c>
    </row>
    <row r="31" spans="2:17" ht="24" customHeight="1" x14ac:dyDescent="0.25">
      <c r="B31" s="2"/>
      <c r="D31" s="347"/>
      <c r="E31" s="348"/>
      <c r="F31" s="4" t="s">
        <v>411</v>
      </c>
      <c r="G31" s="340" t="s">
        <v>412</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1025</v>
      </c>
      <c r="G33" s="340"/>
      <c r="H33" s="341"/>
      <c r="I33" s="341"/>
      <c r="J33" s="341"/>
      <c r="K33" s="341"/>
      <c r="L33" s="341"/>
      <c r="M33" s="342"/>
      <c r="O33" s="2"/>
      <c r="Q33" s="3" t="str">
        <f>+IFERROR(IF(VLOOKUP(G33,base!$A$26:$C$40,3,FALSE)=F31,1,0),"")</f>
        <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1716</v>
      </c>
      <c r="G35" s="340" t="s">
        <v>1592</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1328</v>
      </c>
      <c r="G45" s="340" t="s">
        <v>991</v>
      </c>
      <c r="H45" s="341"/>
      <c r="I45" s="341"/>
      <c r="J45" s="341"/>
      <c r="K45" s="341"/>
      <c r="L45" s="341"/>
      <c r="M45" s="342"/>
      <c r="O45" s="2"/>
      <c r="Q45" s="3" t="str">
        <f>+IFERROR(VLOOKUP(G45,base!$A$41:$C$45,3,FALSE),"")</f>
        <v>financiera</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1628</v>
      </c>
      <c r="G47" s="340" t="s">
        <v>1707</v>
      </c>
      <c r="H47" s="341"/>
      <c r="I47" s="341"/>
      <c r="J47" s="341"/>
      <c r="K47" s="341"/>
      <c r="L47" s="341"/>
      <c r="M47" s="342"/>
      <c r="O47" s="2"/>
      <c r="Q47" s="3">
        <f>+IF(VLOOKUP(G47,base!$A$46:$C$66,3,FALSE)=F45,1,0)</f>
        <v>1</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920</v>
      </c>
      <c r="G49" s="340" t="s">
        <v>899</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31"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4.5" customHeight="1" x14ac:dyDescent="0.25">
      <c r="B59" s="2"/>
      <c r="D59" s="337" t="s">
        <v>34</v>
      </c>
      <c r="E59" s="337"/>
      <c r="F59" s="344" t="s">
        <v>1329</v>
      </c>
      <c r="G59" s="344"/>
      <c r="H59" s="344"/>
      <c r="I59" s="344"/>
      <c r="J59" s="344"/>
      <c r="K59" s="344"/>
      <c r="L59" s="344"/>
      <c r="M59" s="344"/>
      <c r="O59" s="2"/>
    </row>
    <row r="60" spans="2:15" ht="34.5" customHeight="1" x14ac:dyDescent="0.25">
      <c r="B60" s="2"/>
      <c r="D60" s="359" t="s">
        <v>35</v>
      </c>
      <c r="E60" s="359"/>
      <c r="F60" s="344" t="s">
        <v>1330</v>
      </c>
      <c r="G60" s="344"/>
      <c r="H60" s="344"/>
      <c r="I60" s="344"/>
      <c r="J60" s="344"/>
      <c r="K60" s="344"/>
      <c r="L60" s="344"/>
      <c r="M60" s="344"/>
      <c r="O60" s="2"/>
    </row>
    <row r="61" spans="2:15" ht="34.5" customHeight="1" x14ac:dyDescent="0.25">
      <c r="B61" s="2"/>
      <c r="D61" s="359" t="s">
        <v>36</v>
      </c>
      <c r="E61" s="359"/>
      <c r="F61" s="340" t="s">
        <v>1331</v>
      </c>
      <c r="G61" s="341"/>
      <c r="H61" s="341"/>
      <c r="I61" s="341"/>
      <c r="J61" s="341"/>
      <c r="K61" s="341"/>
      <c r="L61" s="341"/>
      <c r="M61" s="342"/>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43" t="s">
        <v>39</v>
      </c>
      <c r="E71" s="343"/>
      <c r="F71" s="4" t="s">
        <v>46</v>
      </c>
      <c r="G71" s="3" t="s">
        <v>500</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v>0.54900000000000004</v>
      </c>
      <c r="H75" s="16">
        <v>0.55000000000000004</v>
      </c>
      <c r="I75" s="16">
        <v>0.59899999999999998</v>
      </c>
      <c r="J75" s="16">
        <v>0.6</v>
      </c>
      <c r="K75" s="16">
        <v>0.79900000000000004</v>
      </c>
      <c r="L75" s="16">
        <v>0.8</v>
      </c>
      <c r="M75" s="16" t="s">
        <v>500</v>
      </c>
      <c r="O75" s="2"/>
      <c r="AE75" s="3" t="s">
        <v>46</v>
      </c>
      <c r="AF75" s="3">
        <v>1</v>
      </c>
      <c r="AG75" s="3">
        <f>+IF(AE75&gt;=$G$71,1,0)</f>
        <v>1</v>
      </c>
      <c r="AH75" s="3">
        <f>+IF(AG75=0,0,IF(AG75=1,(SUM($AG$75:AG75)-1),1))</f>
        <v>0</v>
      </c>
      <c r="AI75" s="3">
        <f>+IF(AH75=0,0,IF(MOD(AH75,$U$69)=0,1,0))</f>
        <v>0</v>
      </c>
      <c r="AJ75" s="3">
        <f>+IF(AE75=$F$71,1,0)</f>
        <v>1</v>
      </c>
      <c r="AK75" s="3">
        <f>+MAX(AI75:AJ75)</f>
        <v>1</v>
      </c>
    </row>
    <row r="76" spans="2:37" x14ac:dyDescent="0.25">
      <c r="B76" s="2"/>
      <c r="D76" s="360" t="s">
        <v>40</v>
      </c>
      <c r="E76" s="360"/>
      <c r="F76" s="16" t="s">
        <v>500</v>
      </c>
      <c r="G76" s="16">
        <v>0.59899999999999998</v>
      </c>
      <c r="H76" s="16">
        <v>0.6</v>
      </c>
      <c r="I76" s="16">
        <v>0.61899999999999999</v>
      </c>
      <c r="J76" s="16">
        <v>0.62</v>
      </c>
      <c r="K76" s="16">
        <v>0.82899999999999996</v>
      </c>
      <c r="L76" s="16">
        <v>0.83</v>
      </c>
      <c r="M76" s="16" t="s">
        <v>500</v>
      </c>
      <c r="O76" s="2"/>
      <c r="AE76" s="3" t="s">
        <v>40</v>
      </c>
      <c r="AF76" s="3">
        <v>2</v>
      </c>
      <c r="AG76" s="3">
        <f t="shared" ref="AG76:AG86" si="0">+IF(AE76&gt;=$G$71,1,0)</f>
        <v>1</v>
      </c>
      <c r="AH76" s="3">
        <f>+IF(AG76=0,0,IF(AG76=1,(SUM($AG$75:AG76)-1),1))</f>
        <v>1</v>
      </c>
      <c r="AI76" s="3">
        <f t="shared" ref="AI76:AI86" si="1">+IF(AH76=0,0,IF(MOD(AH76,$U$69)=0,1,0))</f>
        <v>1</v>
      </c>
      <c r="AJ76" s="3">
        <f t="shared" ref="AJ76:AJ86" si="2">+IF(AE76=$F$71,1,0)</f>
        <v>0</v>
      </c>
      <c r="AK76" s="3">
        <f t="shared" ref="AK76:AK86" si="3">+MAX(AI76:AJ76)</f>
        <v>1</v>
      </c>
    </row>
    <row r="77" spans="2:37" x14ac:dyDescent="0.25">
      <c r="B77" s="2"/>
      <c r="D77" s="360" t="s">
        <v>47</v>
      </c>
      <c r="E77" s="360"/>
      <c r="F77" s="16" t="s">
        <v>500</v>
      </c>
      <c r="G77" s="16">
        <v>0.61899999999999999</v>
      </c>
      <c r="H77" s="16">
        <v>0.62</v>
      </c>
      <c r="I77" s="16">
        <v>0.629</v>
      </c>
      <c r="J77" s="16">
        <v>0.63</v>
      </c>
      <c r="K77" s="16">
        <v>0.83899999999999997</v>
      </c>
      <c r="L77" s="16">
        <v>0.84</v>
      </c>
      <c r="M77" s="16" t="s">
        <v>500</v>
      </c>
      <c r="O77" s="2"/>
      <c r="AE77" s="3" t="s">
        <v>47</v>
      </c>
      <c r="AF77" s="3">
        <v>3</v>
      </c>
      <c r="AG77" s="3">
        <f t="shared" si="0"/>
        <v>1</v>
      </c>
      <c r="AH77" s="3">
        <f>+IF(AG77=0,0,IF(AG77=1,(SUM($AG$75:AG77)-1),1))</f>
        <v>2</v>
      </c>
      <c r="AI77" s="3">
        <f t="shared" si="1"/>
        <v>1</v>
      </c>
      <c r="AJ77" s="3">
        <f t="shared" si="2"/>
        <v>0</v>
      </c>
      <c r="AK77" s="3">
        <f t="shared" si="3"/>
        <v>1</v>
      </c>
    </row>
    <row r="78" spans="2:37" x14ac:dyDescent="0.25">
      <c r="B78" s="2"/>
      <c r="D78" s="360" t="s">
        <v>48</v>
      </c>
      <c r="E78" s="360"/>
      <c r="F78" s="16" t="s">
        <v>500</v>
      </c>
      <c r="G78" s="16">
        <v>0.629</v>
      </c>
      <c r="H78" s="16">
        <v>0.63</v>
      </c>
      <c r="I78" s="16">
        <v>0.63900000000000001</v>
      </c>
      <c r="J78" s="16">
        <v>0.64</v>
      </c>
      <c r="K78" s="16">
        <v>0.84899999999999998</v>
      </c>
      <c r="L78" s="16">
        <v>0.85</v>
      </c>
      <c r="M78" s="16" t="s">
        <v>500</v>
      </c>
      <c r="O78" s="2"/>
      <c r="AE78" s="3" t="s">
        <v>48</v>
      </c>
      <c r="AF78" s="3">
        <v>4</v>
      </c>
      <c r="AG78" s="3">
        <f t="shared" si="0"/>
        <v>1</v>
      </c>
      <c r="AH78" s="3">
        <f>+IF(AG78=0,0,IF(AG78=1,(SUM($AG$75:AG78)-1),1))</f>
        <v>3</v>
      </c>
      <c r="AI78" s="3">
        <f t="shared" si="1"/>
        <v>1</v>
      </c>
      <c r="AJ78" s="3">
        <f t="shared" si="2"/>
        <v>0</v>
      </c>
      <c r="AK78" s="3">
        <f t="shared" si="3"/>
        <v>1</v>
      </c>
    </row>
    <row r="79" spans="2:37" x14ac:dyDescent="0.25">
      <c r="B79" s="2"/>
      <c r="D79" s="360" t="s">
        <v>49</v>
      </c>
      <c r="E79" s="360"/>
      <c r="F79" s="16" t="s">
        <v>500</v>
      </c>
      <c r="G79" s="16">
        <v>0.63900000000000001</v>
      </c>
      <c r="H79" s="16">
        <v>0.64</v>
      </c>
      <c r="I79" s="16">
        <v>0.64900000000000002</v>
      </c>
      <c r="J79" s="16">
        <v>0.65</v>
      </c>
      <c r="K79" s="16">
        <v>0.85899999999999999</v>
      </c>
      <c r="L79" s="16">
        <v>0.86</v>
      </c>
      <c r="M79" s="16" t="s">
        <v>500</v>
      </c>
      <c r="O79" s="2"/>
      <c r="AE79" s="3" t="s">
        <v>49</v>
      </c>
      <c r="AF79" s="3">
        <v>5</v>
      </c>
      <c r="AG79" s="3">
        <f t="shared" si="0"/>
        <v>1</v>
      </c>
      <c r="AH79" s="3">
        <f>+IF(AG79=0,0,IF(AG79=1,(SUM($AG$75:AG79)-1),1))</f>
        <v>4</v>
      </c>
      <c r="AI79" s="3">
        <f t="shared" si="1"/>
        <v>1</v>
      </c>
      <c r="AJ79" s="3">
        <f t="shared" si="2"/>
        <v>0</v>
      </c>
      <c r="AK79" s="3">
        <f t="shared" si="3"/>
        <v>1</v>
      </c>
    </row>
    <row r="80" spans="2:37" x14ac:dyDescent="0.25">
      <c r="B80" s="2"/>
      <c r="D80" s="360" t="s">
        <v>50</v>
      </c>
      <c r="E80" s="360"/>
      <c r="F80" s="16" t="s">
        <v>500</v>
      </c>
      <c r="G80" s="16">
        <v>0.64900000000000002</v>
      </c>
      <c r="H80" s="16">
        <v>0.65</v>
      </c>
      <c r="I80" s="16">
        <v>0.65900000000000003</v>
      </c>
      <c r="J80" s="16">
        <v>0.66</v>
      </c>
      <c r="K80" s="16">
        <v>0.86899999999999999</v>
      </c>
      <c r="L80" s="16">
        <v>0.87</v>
      </c>
      <c r="M80" s="16" t="s">
        <v>500</v>
      </c>
      <c r="O80" s="2"/>
      <c r="AE80" s="3" t="s">
        <v>50</v>
      </c>
      <c r="AF80" s="3">
        <v>6</v>
      </c>
      <c r="AG80" s="3">
        <f t="shared" si="0"/>
        <v>1</v>
      </c>
      <c r="AH80" s="3">
        <f>+IF(AG80=0,0,IF(AG80=1,(SUM($AG$75:AG80)-1),1))</f>
        <v>5</v>
      </c>
      <c r="AI80" s="3">
        <f t="shared" si="1"/>
        <v>1</v>
      </c>
      <c r="AJ80" s="3">
        <f t="shared" si="2"/>
        <v>0</v>
      </c>
      <c r="AK80" s="3">
        <f t="shared" si="3"/>
        <v>1</v>
      </c>
    </row>
    <row r="81" spans="2:37" x14ac:dyDescent="0.25">
      <c r="B81" s="2"/>
      <c r="D81" s="360" t="s">
        <v>53</v>
      </c>
      <c r="E81" s="360"/>
      <c r="F81" s="16" t="s">
        <v>500</v>
      </c>
      <c r="G81" s="16">
        <v>0.66900000000000004</v>
      </c>
      <c r="H81" s="16">
        <v>0.67</v>
      </c>
      <c r="I81" s="16">
        <v>0.67900000000000005</v>
      </c>
      <c r="J81" s="16">
        <v>0.68</v>
      </c>
      <c r="K81" s="16">
        <v>0.88900000000000001</v>
      </c>
      <c r="L81" s="16">
        <v>0.89</v>
      </c>
      <c r="M81" s="16" t="s">
        <v>500</v>
      </c>
      <c r="O81" s="2"/>
      <c r="AE81" s="3" t="s">
        <v>53</v>
      </c>
      <c r="AF81" s="3">
        <v>7</v>
      </c>
      <c r="AG81" s="3">
        <f t="shared" si="0"/>
        <v>1</v>
      </c>
      <c r="AH81" s="3">
        <f>+IF(AG81=0,0,IF(AG81=1,(SUM($AG$75:AG81)-1),1))</f>
        <v>6</v>
      </c>
      <c r="AI81" s="3">
        <f t="shared" si="1"/>
        <v>1</v>
      </c>
      <c r="AJ81" s="3">
        <f t="shared" si="2"/>
        <v>0</v>
      </c>
      <c r="AK81" s="3">
        <f t="shared" si="3"/>
        <v>1</v>
      </c>
    </row>
    <row r="82" spans="2:37" x14ac:dyDescent="0.25">
      <c r="B82" s="2"/>
      <c r="D82" s="360" t="s">
        <v>54</v>
      </c>
      <c r="E82" s="360"/>
      <c r="F82" s="16" t="s">
        <v>500</v>
      </c>
      <c r="G82" s="16">
        <v>0.69899999999999995</v>
      </c>
      <c r="H82" s="16">
        <v>0.7</v>
      </c>
      <c r="I82" s="16">
        <v>0.70899999999999996</v>
      </c>
      <c r="J82" s="16">
        <v>0.71</v>
      </c>
      <c r="K82" s="16">
        <v>0.92900000000000005</v>
      </c>
      <c r="L82" s="16">
        <v>0.93</v>
      </c>
      <c r="M82" s="16" t="s">
        <v>500</v>
      </c>
      <c r="O82" s="2"/>
      <c r="AE82" s="3" t="s">
        <v>54</v>
      </c>
      <c r="AF82" s="3">
        <v>8</v>
      </c>
      <c r="AG82" s="3">
        <f t="shared" si="0"/>
        <v>1</v>
      </c>
      <c r="AH82" s="3">
        <f>+IF(AG82=0,0,IF(AG82=1,(SUM($AG$75:AG82)-1),1))</f>
        <v>7</v>
      </c>
      <c r="AI82" s="3">
        <f t="shared" si="1"/>
        <v>1</v>
      </c>
      <c r="AJ82" s="3">
        <f t="shared" si="2"/>
        <v>0</v>
      </c>
      <c r="AK82" s="3">
        <f t="shared" si="3"/>
        <v>1</v>
      </c>
    </row>
    <row r="83" spans="2:37" x14ac:dyDescent="0.25">
      <c r="B83" s="2"/>
      <c r="D83" s="360" t="s">
        <v>55</v>
      </c>
      <c r="E83" s="360"/>
      <c r="F83" s="16" t="s">
        <v>500</v>
      </c>
      <c r="G83" s="16">
        <v>0.73899999999999999</v>
      </c>
      <c r="H83" s="16">
        <v>0.74</v>
      </c>
      <c r="I83" s="16">
        <v>0.75900000000000001</v>
      </c>
      <c r="J83" s="16">
        <v>0.76</v>
      </c>
      <c r="K83" s="16">
        <v>0.96899999999999997</v>
      </c>
      <c r="L83" s="16">
        <v>0.97</v>
      </c>
      <c r="M83" s="16" t="s">
        <v>500</v>
      </c>
      <c r="O83" s="2"/>
      <c r="AE83" s="3" t="s">
        <v>55</v>
      </c>
      <c r="AF83" s="3">
        <v>9</v>
      </c>
      <c r="AG83" s="3">
        <f t="shared" si="0"/>
        <v>1</v>
      </c>
      <c r="AH83" s="3">
        <f>+IF(AG83=0,0,IF(AG83=1,(SUM($AG$75:AG83)-1),1))</f>
        <v>8</v>
      </c>
      <c r="AI83" s="3">
        <f t="shared" si="1"/>
        <v>1</v>
      </c>
      <c r="AJ83" s="3">
        <f t="shared" si="2"/>
        <v>0</v>
      </c>
      <c r="AK83" s="3">
        <f t="shared" si="3"/>
        <v>1</v>
      </c>
    </row>
    <row r="84" spans="2:37" x14ac:dyDescent="0.25">
      <c r="B84" s="2"/>
      <c r="D84" s="360" t="s">
        <v>56</v>
      </c>
      <c r="E84" s="360"/>
      <c r="F84" s="16" t="s">
        <v>500</v>
      </c>
      <c r="G84" s="16">
        <v>0.78900000000000003</v>
      </c>
      <c r="H84" s="16">
        <v>0.79</v>
      </c>
      <c r="I84" s="16">
        <v>0.79900000000000004</v>
      </c>
      <c r="J84" s="16">
        <v>0.8</v>
      </c>
      <c r="K84" s="16">
        <v>0.999</v>
      </c>
      <c r="L84" s="16">
        <v>1</v>
      </c>
      <c r="M84" s="16"/>
      <c r="O84" s="2"/>
      <c r="AE84" s="3" t="s">
        <v>56</v>
      </c>
      <c r="AF84" s="3">
        <v>10</v>
      </c>
      <c r="AG84" s="3">
        <f t="shared" si="0"/>
        <v>1</v>
      </c>
      <c r="AH84" s="3">
        <f>+IF(AG84=0,0,IF(AG84=1,(SUM($AG$75:AG84)-1),1))</f>
        <v>9</v>
      </c>
      <c r="AI84" s="3">
        <f t="shared" si="1"/>
        <v>1</v>
      </c>
      <c r="AJ84" s="3">
        <f t="shared" si="2"/>
        <v>0</v>
      </c>
      <c r="AK84" s="3">
        <f t="shared" si="3"/>
        <v>1</v>
      </c>
    </row>
    <row r="85" spans="2:37" x14ac:dyDescent="0.25">
      <c r="B85" s="2"/>
      <c r="D85" s="360" t="s">
        <v>57</v>
      </c>
      <c r="E85" s="360"/>
      <c r="F85" s="16" t="s">
        <v>500</v>
      </c>
      <c r="G85" s="16">
        <v>0.81899999999999995</v>
      </c>
      <c r="H85" s="16">
        <v>0.82</v>
      </c>
      <c r="I85" s="16">
        <v>0.82899999999999996</v>
      </c>
      <c r="J85" s="16">
        <v>0.83</v>
      </c>
      <c r="K85" s="16">
        <v>0.999</v>
      </c>
      <c r="L85" s="16">
        <v>1</v>
      </c>
      <c r="M85" s="16"/>
      <c r="O85" s="2"/>
      <c r="AE85" s="3" t="s">
        <v>57</v>
      </c>
      <c r="AF85" s="3">
        <v>11</v>
      </c>
      <c r="AG85" s="3">
        <f t="shared" si="0"/>
        <v>1</v>
      </c>
      <c r="AH85" s="3">
        <f>+IF(AG85=0,0,IF(AG85=1,(SUM($AG$75:AG85)-1),1))</f>
        <v>10</v>
      </c>
      <c r="AI85" s="3">
        <f t="shared" si="1"/>
        <v>1</v>
      </c>
      <c r="AJ85" s="3">
        <f t="shared" si="2"/>
        <v>0</v>
      </c>
      <c r="AK85" s="3">
        <f t="shared" si="3"/>
        <v>1</v>
      </c>
    </row>
    <row r="86" spans="2:37" x14ac:dyDescent="0.25">
      <c r="B86" s="2"/>
      <c r="D86" s="360" t="s">
        <v>58</v>
      </c>
      <c r="E86" s="360"/>
      <c r="F86" s="16" t="s">
        <v>500</v>
      </c>
      <c r="G86" s="16">
        <v>0.96899999999999997</v>
      </c>
      <c r="H86" s="16">
        <v>0.97</v>
      </c>
      <c r="I86" s="16">
        <v>0.97899999999999998</v>
      </c>
      <c r="J86" s="16">
        <v>0.98</v>
      </c>
      <c r="K86" s="16">
        <v>0.999</v>
      </c>
      <c r="L86" s="16">
        <v>1</v>
      </c>
      <c r="M86" s="16"/>
      <c r="O86" s="2"/>
      <c r="AE86" s="3" t="s">
        <v>58</v>
      </c>
      <c r="AF86" s="65">
        <v>12</v>
      </c>
      <c r="AG86" s="3">
        <f t="shared" si="0"/>
        <v>1</v>
      </c>
      <c r="AH86" s="3">
        <f>+IF(AG86=0,0,IF(AG86=1,(SUM($AG$75:AG86)-1),1))</f>
        <v>11</v>
      </c>
      <c r="AI86" s="3">
        <f t="shared" si="1"/>
        <v>1</v>
      </c>
      <c r="AJ86" s="3">
        <f t="shared" si="2"/>
        <v>0</v>
      </c>
      <c r="AK86" s="3">
        <f t="shared" si="3"/>
        <v>1</v>
      </c>
    </row>
    <row r="87" spans="2:37" ht="3.75" customHeight="1" x14ac:dyDescent="0.25">
      <c r="B87" s="2"/>
      <c r="O87" s="2"/>
    </row>
    <row r="88" spans="2:37" ht="66" customHeight="1" x14ac:dyDescent="0.25">
      <c r="B88" s="2"/>
      <c r="D88" s="338" t="s">
        <v>59</v>
      </c>
      <c r="E88" s="339"/>
      <c r="F88" s="340"/>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38.25" customHeight="1" x14ac:dyDescent="0.25">
      <c r="B97" s="2"/>
      <c r="D97" s="359" t="s">
        <v>35</v>
      </c>
      <c r="E97" s="359"/>
      <c r="F97" s="344" t="s">
        <v>1332</v>
      </c>
      <c r="G97" s="344"/>
      <c r="H97" s="344"/>
      <c r="I97" s="344"/>
      <c r="J97" s="344"/>
      <c r="K97" s="344"/>
      <c r="L97" s="344"/>
      <c r="M97" s="344"/>
      <c r="O97" s="2"/>
    </row>
    <row r="98" spans="2:15" ht="38.25" customHeight="1" x14ac:dyDescent="0.25">
      <c r="B98" s="2"/>
      <c r="D98" s="359" t="s">
        <v>36</v>
      </c>
      <c r="E98" s="359"/>
      <c r="F98" s="344" t="s">
        <v>1333</v>
      </c>
      <c r="G98" s="344"/>
      <c r="H98" s="344"/>
      <c r="I98" s="344"/>
      <c r="J98" s="344"/>
      <c r="K98" s="344"/>
      <c r="L98" s="344"/>
      <c r="M98" s="344"/>
      <c r="O98" s="2"/>
    </row>
    <row r="99" spans="2:15" ht="3.95" customHeight="1" x14ac:dyDescent="0.25">
      <c r="B99" s="2"/>
      <c r="O99" s="2"/>
    </row>
    <row r="100" spans="2:15" ht="58.5" customHeight="1" x14ac:dyDescent="0.25">
      <c r="B100" s="2"/>
      <c r="D100" s="338" t="s">
        <v>62</v>
      </c>
      <c r="E100" s="339"/>
      <c r="F100" s="333"/>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496</v>
      </c>
      <c r="K102" s="20"/>
      <c r="O102" s="2"/>
    </row>
    <row r="103" spans="2:15" ht="19.5" customHeight="1" x14ac:dyDescent="0.25">
      <c r="B103" s="2"/>
      <c r="D103" s="331"/>
      <c r="E103" s="332"/>
      <c r="F103" s="19" t="s">
        <v>66</v>
      </c>
      <c r="G103" s="4" t="s">
        <v>1367</v>
      </c>
      <c r="K103" s="21"/>
      <c r="O103" s="2"/>
    </row>
    <row r="104" spans="2:15" ht="27.75" customHeight="1" x14ac:dyDescent="0.25">
      <c r="B104" s="2"/>
      <c r="D104" s="331"/>
      <c r="E104" s="332"/>
      <c r="F104" s="19" t="s">
        <v>67</v>
      </c>
      <c r="G104" s="333" t="s">
        <v>1852</v>
      </c>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Subdirector(a) Programación</v>
      </c>
      <c r="H108" s="334"/>
      <c r="I108" s="334"/>
      <c r="J108" s="334"/>
      <c r="K108" s="334"/>
      <c r="L108" s="334"/>
      <c r="M108" s="335"/>
      <c r="O108" s="2"/>
    </row>
    <row r="109" spans="2:15" ht="17.25" customHeight="1" x14ac:dyDescent="0.25">
      <c r="B109" s="2"/>
      <c r="D109" s="331"/>
      <c r="E109" s="332"/>
      <c r="F109" s="19" t="s">
        <v>2042</v>
      </c>
      <c r="G109" s="333" t="str">
        <f>+IF(M23="Si","Coordinador(a) Planeación y Sistemas","")</f>
        <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679" priority="31">
      <formula>+IF($F$43="no",1,0)</formula>
    </cfRule>
  </conditionalFormatting>
  <conditionalFormatting sqref="F32:M33">
    <cfRule type="expression" dxfId="678" priority="30">
      <formula>+IF($Q$30="NA",1,0)</formula>
    </cfRule>
  </conditionalFormatting>
  <conditionalFormatting sqref="F33:M33">
    <cfRule type="expression" dxfId="677" priority="29">
      <formula>+IF($Q$33=0,1,0)</formula>
    </cfRule>
  </conditionalFormatting>
  <conditionalFormatting sqref="F47:M47">
    <cfRule type="expression" dxfId="676" priority="28">
      <formula>+IF($Q$47=0,1,0)</formula>
    </cfRule>
  </conditionalFormatting>
  <conditionalFormatting sqref="F73:G73">
    <cfRule type="cellIs" dxfId="675" priority="14" operator="equal">
      <formula>"optimo"</formula>
    </cfRule>
    <cfRule type="cellIs" dxfId="674" priority="15" operator="equal">
      <formula>"critico"</formula>
    </cfRule>
  </conditionalFormatting>
  <conditionalFormatting sqref="H73:I73">
    <cfRule type="cellIs" dxfId="673" priority="12" operator="equal">
      <formula>"Adecuado"</formula>
    </cfRule>
    <cfRule type="cellIs" dxfId="672" priority="13" operator="equal">
      <formula>"en riesgo"</formula>
    </cfRule>
  </conditionalFormatting>
  <conditionalFormatting sqref="J73:K73">
    <cfRule type="cellIs" dxfId="671" priority="10" operator="equal">
      <formula>"Adecuado"</formula>
    </cfRule>
    <cfRule type="cellIs" dxfId="670" priority="11" operator="equal">
      <formula>"en riesgo"</formula>
    </cfRule>
  </conditionalFormatting>
  <conditionalFormatting sqref="L73:M73">
    <cfRule type="cellIs" dxfId="669" priority="8" operator="equal">
      <formula>"optimo"</formula>
    </cfRule>
    <cfRule type="cellIs" dxfId="668" priority="9" operator="equal">
      <formula>"critico"</formula>
    </cfRule>
  </conditionalFormatting>
  <conditionalFormatting sqref="F75:M86">
    <cfRule type="expression" dxfId="667" priority="7">
      <formula>+IF($AK75=0,1)</formula>
    </cfRule>
  </conditionalFormatting>
  <conditionalFormatting sqref="F103:G104">
    <cfRule type="expression" dxfId="666" priority="6">
      <formula>+IF($G$102="No",1,0)</formula>
    </cfRule>
  </conditionalFormatting>
  <conditionalFormatting sqref="F51">
    <cfRule type="expression" dxfId="665" priority="5">
      <formula>+IF($F$43="no",1,0)</formula>
    </cfRule>
  </conditionalFormatting>
  <conditionalFormatting sqref="I51">
    <cfRule type="expression" dxfId="664" priority="4">
      <formula>+IF($F$51="no",1,0)</formula>
    </cfRule>
  </conditionalFormatting>
  <dataValidations count="1">
    <dataValidation type="list" allowBlank="1" showInputMessage="1" showErrorMessage="1" sqref="F24">
      <formula1>tendencia</formula1>
    </dataValidation>
  </dataValidations>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5">
    <tabColor rgb="FF0070C0"/>
  </sheetPr>
  <dimension ref="B1:AV113"/>
  <sheetViews>
    <sheetView zoomScale="90" zoomScaleNormal="90" workbookViewId="0">
      <selection activeCell="F108" sqref="F108:M11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11.42578125"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416</v>
      </c>
      <c r="O10" s="2"/>
    </row>
    <row r="11" spans="2:24" ht="3.95" customHeight="1" x14ac:dyDescent="0.25">
      <c r="B11" s="2"/>
      <c r="D11" s="6"/>
      <c r="O11" s="2"/>
    </row>
    <row r="12" spans="2:24" ht="36" customHeight="1" x14ac:dyDescent="0.25">
      <c r="B12" s="2"/>
      <c r="D12" s="338" t="s">
        <v>5</v>
      </c>
      <c r="E12" s="339"/>
      <c r="F12" s="340" t="s">
        <v>417</v>
      </c>
      <c r="G12" s="341"/>
      <c r="H12" s="341"/>
      <c r="I12" s="341"/>
      <c r="J12" s="341"/>
      <c r="K12" s="341"/>
      <c r="L12" s="341"/>
      <c r="M12" s="342"/>
      <c r="O12" s="2"/>
      <c r="W12" s="3" t="str">
        <f>+F23</f>
        <v>Mensual</v>
      </c>
      <c r="X12" s="3" t="str">
        <f>+F71</f>
        <v>Enero</v>
      </c>
    </row>
    <row r="13" spans="2:24" ht="3.95" customHeight="1" x14ac:dyDescent="0.25">
      <c r="B13" s="2"/>
      <c r="O13" s="2"/>
    </row>
    <row r="14" spans="2:24" ht="38.25" customHeight="1" x14ac:dyDescent="0.25">
      <c r="B14" s="2"/>
      <c r="D14" s="338" t="s">
        <v>6</v>
      </c>
      <c r="E14" s="339"/>
      <c r="F14" s="340" t="s">
        <v>1351</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8.75" customHeight="1" x14ac:dyDescent="0.25">
      <c r="B22" s="2"/>
      <c r="D22" s="337" t="s">
        <v>8</v>
      </c>
      <c r="E22" s="337"/>
      <c r="F22" s="31" t="s">
        <v>1853</v>
      </c>
      <c r="G22" s="337" t="s">
        <v>9</v>
      </c>
      <c r="H22" s="337"/>
      <c r="I22" s="17">
        <v>1</v>
      </c>
      <c r="K22" s="337" t="s">
        <v>10</v>
      </c>
      <c r="L22" s="337"/>
      <c r="M22" s="9" t="s">
        <v>496</v>
      </c>
      <c r="O22" s="2"/>
    </row>
    <row r="23" spans="2:17" ht="19.5" customHeight="1" x14ac:dyDescent="0.25">
      <c r="B23" s="2"/>
      <c r="D23" s="337" t="s">
        <v>11</v>
      </c>
      <c r="E23" s="337"/>
      <c r="F23" s="4" t="s">
        <v>84</v>
      </c>
      <c r="G23" s="337" t="s">
        <v>12</v>
      </c>
      <c r="H23" s="337"/>
      <c r="I23" s="4" t="s">
        <v>497</v>
      </c>
      <c r="K23" s="337" t="s">
        <v>13</v>
      </c>
      <c r="L23" s="337"/>
      <c r="M23" s="9" t="s">
        <v>2</v>
      </c>
      <c r="O23" s="2"/>
    </row>
    <row r="24" spans="2:17" ht="20.100000000000001" customHeight="1" x14ac:dyDescent="0.25">
      <c r="B24" s="2"/>
      <c r="D24" s="337" t="s">
        <v>14</v>
      </c>
      <c r="E24" s="337"/>
      <c r="F24" s="4" t="s">
        <v>498</v>
      </c>
      <c r="G24" s="337" t="s">
        <v>15</v>
      </c>
      <c r="H24" s="337"/>
      <c r="I24" s="4" t="s">
        <v>533</v>
      </c>
      <c r="K24" s="337" t="s">
        <v>16</v>
      </c>
      <c r="L24" s="337"/>
      <c r="M24" s="9" t="s">
        <v>2</v>
      </c>
      <c r="O24" s="2"/>
    </row>
    <row r="25" spans="2:17" ht="20.100000000000001" customHeight="1" x14ac:dyDescent="0.25">
      <c r="B25" s="2"/>
      <c r="D25" s="337" t="s">
        <v>17</v>
      </c>
      <c r="E25" s="337"/>
      <c r="F25" s="4" t="s">
        <v>683</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NA</v>
      </c>
    </row>
    <row r="31" spans="2:17" ht="24" customHeight="1" x14ac:dyDescent="0.25">
      <c r="B31" s="2"/>
      <c r="D31" s="347"/>
      <c r="E31" s="348"/>
      <c r="F31" s="4" t="s">
        <v>411</v>
      </c>
      <c r="G31" s="340" t="s">
        <v>412</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1025</v>
      </c>
      <c r="G33" s="340"/>
      <c r="H33" s="341"/>
      <c r="I33" s="341"/>
      <c r="J33" s="341"/>
      <c r="K33" s="341"/>
      <c r="L33" s="341"/>
      <c r="M33" s="342"/>
      <c r="O33" s="2"/>
      <c r="Q33" s="3" t="str">
        <f>+IFERROR(IF(VLOOKUP(G33,base!$A$26:$C$40,3,FALSE)=F31,1,0),"")</f>
        <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1716</v>
      </c>
      <c r="G35" s="340" t="s">
        <v>1592</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1328</v>
      </c>
      <c r="G45" s="340" t="s">
        <v>991</v>
      </c>
      <c r="H45" s="341"/>
      <c r="I45" s="341"/>
      <c r="J45" s="341"/>
      <c r="K45" s="341"/>
      <c r="L45" s="341"/>
      <c r="M45" s="342"/>
      <c r="O45" s="2"/>
      <c r="Q45" s="3" t="str">
        <f>+IFERROR(VLOOKUP(G45,base!$A$41:$C$45,3,FALSE),"")</f>
        <v>financiera</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1628</v>
      </c>
      <c r="G47" s="340" t="s">
        <v>1707</v>
      </c>
      <c r="H47" s="341"/>
      <c r="I47" s="341"/>
      <c r="J47" s="341"/>
      <c r="K47" s="341"/>
      <c r="L47" s="341"/>
      <c r="M47" s="342"/>
      <c r="O47" s="2"/>
      <c r="Q47" s="3">
        <f>+IF(VLOOKUP(G47,base!$A$46:$C$66,3,FALSE)=F45,1,0)</f>
        <v>1</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920</v>
      </c>
      <c r="G49" s="340" t="s">
        <v>899</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31"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41.25" customHeight="1" x14ac:dyDescent="0.25">
      <c r="B59" s="2"/>
      <c r="D59" s="337" t="s">
        <v>34</v>
      </c>
      <c r="E59" s="337"/>
      <c r="F59" s="344" t="s">
        <v>1352</v>
      </c>
      <c r="G59" s="344"/>
      <c r="H59" s="344"/>
      <c r="I59" s="344"/>
      <c r="J59" s="344"/>
      <c r="K59" s="344"/>
      <c r="L59" s="344"/>
      <c r="M59" s="344"/>
      <c r="O59" s="2"/>
    </row>
    <row r="60" spans="2:15" ht="41.25" customHeight="1" x14ac:dyDescent="0.25">
      <c r="B60" s="2"/>
      <c r="D60" s="359" t="s">
        <v>35</v>
      </c>
      <c r="E60" s="359"/>
      <c r="F60" s="344" t="s">
        <v>1353</v>
      </c>
      <c r="G60" s="344"/>
      <c r="H60" s="344"/>
      <c r="I60" s="344"/>
      <c r="J60" s="344"/>
      <c r="K60" s="344"/>
      <c r="L60" s="344"/>
      <c r="M60" s="344"/>
      <c r="O60" s="2"/>
    </row>
    <row r="61" spans="2:15" ht="41.25" customHeight="1" x14ac:dyDescent="0.25">
      <c r="B61" s="2"/>
      <c r="D61" s="359" t="s">
        <v>36</v>
      </c>
      <c r="E61" s="359"/>
      <c r="F61" s="340" t="s">
        <v>1354</v>
      </c>
      <c r="G61" s="341"/>
      <c r="H61" s="341"/>
      <c r="I61" s="341"/>
      <c r="J61" s="341"/>
      <c r="K61" s="341"/>
      <c r="L61" s="341"/>
      <c r="M61" s="342"/>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43" t="s">
        <v>39</v>
      </c>
      <c r="E71" s="343"/>
      <c r="F71" s="4" t="s">
        <v>46</v>
      </c>
      <c r="G71" s="3" t="s">
        <v>500</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v>2.8999999999999998E-2</v>
      </c>
      <c r="H75" s="16">
        <v>0.03</v>
      </c>
      <c r="I75" s="16">
        <v>0.03</v>
      </c>
      <c r="J75" s="16">
        <v>3.1E-2</v>
      </c>
      <c r="K75" s="16">
        <v>3.2000000000000001E-2</v>
      </c>
      <c r="L75" s="16">
        <v>3.3000000000000002E-2</v>
      </c>
      <c r="M75" s="16" t="s">
        <v>500</v>
      </c>
      <c r="O75" s="2"/>
      <c r="AE75" s="3" t="s">
        <v>46</v>
      </c>
      <c r="AF75" s="3">
        <v>1</v>
      </c>
      <c r="AG75" s="3">
        <f>+IF(AE75&gt;=$G$71,1,0)</f>
        <v>1</v>
      </c>
      <c r="AH75" s="3">
        <f>+IF(AG75=0,0,IF(AG75=1,(SUM($AG$75:AG75)-1),1))</f>
        <v>0</v>
      </c>
      <c r="AI75" s="3">
        <f>+IF(AH75=0,0,IF(MOD(AH75,$U$69)=0,1,0))</f>
        <v>0</v>
      </c>
      <c r="AJ75" s="3">
        <f>+IF(AE75=$F$71,1,0)</f>
        <v>1</v>
      </c>
      <c r="AK75" s="3">
        <f>+MAX(AI75:AJ75)</f>
        <v>1</v>
      </c>
    </row>
    <row r="76" spans="2:37" x14ac:dyDescent="0.25">
      <c r="B76" s="2"/>
      <c r="D76" s="360" t="s">
        <v>40</v>
      </c>
      <c r="E76" s="360"/>
      <c r="F76" s="16" t="s">
        <v>500</v>
      </c>
      <c r="G76" s="16">
        <v>0.13900000000000001</v>
      </c>
      <c r="H76" s="16">
        <v>0.14000000000000001</v>
      </c>
      <c r="I76" s="16">
        <v>0.14099999999999999</v>
      </c>
      <c r="J76" s="16">
        <v>0.14199999999999999</v>
      </c>
      <c r="K76" s="16">
        <v>0.14499999999999999</v>
      </c>
      <c r="L76" s="16">
        <v>0.14599999999999999</v>
      </c>
      <c r="M76" s="16" t="s">
        <v>500</v>
      </c>
      <c r="O76" s="2"/>
      <c r="AE76" s="3" t="s">
        <v>40</v>
      </c>
      <c r="AF76" s="3">
        <v>2</v>
      </c>
      <c r="AG76" s="3">
        <f t="shared" ref="AG76:AG86" si="0">+IF(AE76&gt;=$G$71,1,0)</f>
        <v>1</v>
      </c>
      <c r="AH76" s="3">
        <f>+IF(AG76=0,0,IF(AG76=1,(SUM($AG$75:AG76)-1),1))</f>
        <v>1</v>
      </c>
      <c r="AI76" s="3">
        <f t="shared" ref="AI76:AI86" si="1">+IF(AH76=0,0,IF(MOD(AH76,$U$69)=0,1,0))</f>
        <v>1</v>
      </c>
      <c r="AJ76" s="3">
        <f t="shared" ref="AJ76:AJ86" si="2">+IF(AE76=$F$71,1,0)</f>
        <v>0</v>
      </c>
      <c r="AK76" s="3">
        <f t="shared" ref="AK76:AK86" si="3">+MAX(AI76:AJ76)</f>
        <v>1</v>
      </c>
    </row>
    <row r="77" spans="2:37" x14ac:dyDescent="0.25">
      <c r="B77" s="2"/>
      <c r="D77" s="360" t="s">
        <v>47</v>
      </c>
      <c r="E77" s="360"/>
      <c r="F77" s="16" t="s">
        <v>500</v>
      </c>
      <c r="G77" s="16">
        <v>0.13900000000000001</v>
      </c>
      <c r="H77" s="16">
        <v>0.14000000000000001</v>
      </c>
      <c r="I77" s="16">
        <v>0.14299999999999999</v>
      </c>
      <c r="J77" s="16">
        <v>0.14399999999999999</v>
      </c>
      <c r="K77" s="16">
        <v>0.14699999999999999</v>
      </c>
      <c r="L77" s="16">
        <v>0.14799999999999999</v>
      </c>
      <c r="M77" s="16" t="s">
        <v>500</v>
      </c>
      <c r="O77" s="2"/>
      <c r="AE77" s="3" t="s">
        <v>47</v>
      </c>
      <c r="AF77" s="3">
        <v>3</v>
      </c>
      <c r="AG77" s="3">
        <f t="shared" si="0"/>
        <v>1</v>
      </c>
      <c r="AH77" s="3">
        <f>+IF(AG77=0,0,IF(AG77=1,(SUM($AG$75:AG77)-1),1))</f>
        <v>2</v>
      </c>
      <c r="AI77" s="3">
        <f t="shared" si="1"/>
        <v>1</v>
      </c>
      <c r="AJ77" s="3">
        <f t="shared" si="2"/>
        <v>0</v>
      </c>
      <c r="AK77" s="3">
        <f t="shared" si="3"/>
        <v>1</v>
      </c>
    </row>
    <row r="78" spans="2:37" x14ac:dyDescent="0.25">
      <c r="B78" s="2"/>
      <c r="D78" s="360" t="s">
        <v>48</v>
      </c>
      <c r="E78" s="360"/>
      <c r="F78" s="16" t="s">
        <v>500</v>
      </c>
      <c r="G78" s="16">
        <v>0.189</v>
      </c>
      <c r="H78" s="16">
        <v>0.19</v>
      </c>
      <c r="I78" s="16">
        <v>0.19900000000000001</v>
      </c>
      <c r="J78" s="16">
        <v>0.2</v>
      </c>
      <c r="K78" s="16">
        <v>0.20599999999999999</v>
      </c>
      <c r="L78" s="16">
        <v>0.20699999999999999</v>
      </c>
      <c r="M78" s="16" t="s">
        <v>500</v>
      </c>
      <c r="O78" s="2"/>
      <c r="AE78" s="3" t="s">
        <v>48</v>
      </c>
      <c r="AF78" s="3">
        <v>4</v>
      </c>
      <c r="AG78" s="3">
        <f t="shared" si="0"/>
        <v>1</v>
      </c>
      <c r="AH78" s="3">
        <f>+IF(AG78=0,0,IF(AG78=1,(SUM($AG$75:AG78)-1),1))</f>
        <v>3</v>
      </c>
      <c r="AI78" s="3">
        <f t="shared" si="1"/>
        <v>1</v>
      </c>
      <c r="AJ78" s="3">
        <f t="shared" si="2"/>
        <v>0</v>
      </c>
      <c r="AK78" s="3">
        <f t="shared" si="3"/>
        <v>1</v>
      </c>
    </row>
    <row r="79" spans="2:37" x14ac:dyDescent="0.25">
      <c r="B79" s="2"/>
      <c r="D79" s="360" t="s">
        <v>49</v>
      </c>
      <c r="E79" s="360"/>
      <c r="F79" s="16" t="s">
        <v>500</v>
      </c>
      <c r="G79" s="16">
        <v>0.25900000000000001</v>
      </c>
      <c r="H79" s="16">
        <v>0.26</v>
      </c>
      <c r="I79" s="16">
        <v>0.26500000000000001</v>
      </c>
      <c r="J79" s="16">
        <v>0.26600000000000001</v>
      </c>
      <c r="K79" s="16">
        <v>0.27300000000000002</v>
      </c>
      <c r="L79" s="16">
        <v>0.27400000000000002</v>
      </c>
      <c r="M79" s="16" t="s">
        <v>500</v>
      </c>
      <c r="O79" s="2"/>
      <c r="AE79" s="3" t="s">
        <v>49</v>
      </c>
      <c r="AF79" s="3">
        <v>5</v>
      </c>
      <c r="AG79" s="3">
        <f t="shared" si="0"/>
        <v>1</v>
      </c>
      <c r="AH79" s="3">
        <f>+IF(AG79=0,0,IF(AG79=1,(SUM($AG$75:AG79)-1),1))</f>
        <v>4</v>
      </c>
      <c r="AI79" s="3">
        <f t="shared" si="1"/>
        <v>1</v>
      </c>
      <c r="AJ79" s="3">
        <f t="shared" si="2"/>
        <v>0</v>
      </c>
      <c r="AK79" s="3">
        <f t="shared" si="3"/>
        <v>1</v>
      </c>
    </row>
    <row r="80" spans="2:37" x14ac:dyDescent="0.25">
      <c r="B80" s="2"/>
      <c r="D80" s="360" t="s">
        <v>50</v>
      </c>
      <c r="E80" s="360"/>
      <c r="F80" s="16" t="s">
        <v>500</v>
      </c>
      <c r="G80" s="16">
        <v>0.31900000000000001</v>
      </c>
      <c r="H80" s="16">
        <v>0.32</v>
      </c>
      <c r="I80" s="16">
        <v>0.32500000000000001</v>
      </c>
      <c r="J80" s="16">
        <v>0.32600000000000001</v>
      </c>
      <c r="K80" s="16">
        <v>0.33500000000000002</v>
      </c>
      <c r="L80" s="16">
        <v>0.33600000000000002</v>
      </c>
      <c r="M80" s="16" t="s">
        <v>500</v>
      </c>
      <c r="O80" s="2"/>
      <c r="AE80" s="3" t="s">
        <v>50</v>
      </c>
      <c r="AF80" s="3">
        <v>6</v>
      </c>
      <c r="AG80" s="3">
        <f t="shared" si="0"/>
        <v>1</v>
      </c>
      <c r="AH80" s="3">
        <f>+IF(AG80=0,0,IF(AG80=1,(SUM($AG$75:AG80)-1),1))</f>
        <v>5</v>
      </c>
      <c r="AI80" s="3">
        <f t="shared" si="1"/>
        <v>1</v>
      </c>
      <c r="AJ80" s="3">
        <f t="shared" si="2"/>
        <v>0</v>
      </c>
      <c r="AK80" s="3">
        <f t="shared" si="3"/>
        <v>1</v>
      </c>
    </row>
    <row r="81" spans="2:37" x14ac:dyDescent="0.25">
      <c r="B81" s="2"/>
      <c r="D81" s="360" t="s">
        <v>53</v>
      </c>
      <c r="E81" s="360"/>
      <c r="F81" s="16" t="s">
        <v>500</v>
      </c>
      <c r="G81" s="16">
        <v>0.38900000000000001</v>
      </c>
      <c r="H81" s="16">
        <v>0.39</v>
      </c>
      <c r="I81" s="16">
        <v>0.40100000000000002</v>
      </c>
      <c r="J81" s="16">
        <v>0.40200000000000002</v>
      </c>
      <c r="K81" s="16">
        <v>0.41299999999999998</v>
      </c>
      <c r="L81" s="16">
        <v>0.41399999999999998</v>
      </c>
      <c r="M81" s="16" t="s">
        <v>500</v>
      </c>
      <c r="O81" s="2"/>
      <c r="AE81" s="3" t="s">
        <v>53</v>
      </c>
      <c r="AF81" s="3">
        <v>7</v>
      </c>
      <c r="AG81" s="3">
        <f t="shared" si="0"/>
        <v>1</v>
      </c>
      <c r="AH81" s="3">
        <f>+IF(AG81=0,0,IF(AG81=1,(SUM($AG$75:AG81)-1),1))</f>
        <v>6</v>
      </c>
      <c r="AI81" s="3">
        <f t="shared" si="1"/>
        <v>1</v>
      </c>
      <c r="AJ81" s="3">
        <f t="shared" si="2"/>
        <v>0</v>
      </c>
      <c r="AK81" s="3">
        <f t="shared" si="3"/>
        <v>1</v>
      </c>
    </row>
    <row r="82" spans="2:37" x14ac:dyDescent="0.25">
      <c r="B82" s="2"/>
      <c r="D82" s="360" t="s">
        <v>54</v>
      </c>
      <c r="E82" s="360"/>
      <c r="F82" s="16" t="s">
        <v>500</v>
      </c>
      <c r="G82" s="16">
        <v>0.44900000000000001</v>
      </c>
      <c r="H82" s="16">
        <v>0.45</v>
      </c>
      <c r="I82" s="16">
        <v>0.46300000000000002</v>
      </c>
      <c r="J82" s="16">
        <v>0.46400000000000002</v>
      </c>
      <c r="K82" s="16">
        <v>0.47699999999999998</v>
      </c>
      <c r="L82" s="16">
        <v>0.47799999999999998</v>
      </c>
      <c r="M82" s="16" t="s">
        <v>500</v>
      </c>
      <c r="O82" s="2"/>
      <c r="AE82" s="3" t="s">
        <v>54</v>
      </c>
      <c r="AF82" s="3">
        <v>8</v>
      </c>
      <c r="AG82" s="3">
        <f t="shared" si="0"/>
        <v>1</v>
      </c>
      <c r="AH82" s="3">
        <f>+IF(AG82=0,0,IF(AG82=1,(SUM($AG$75:AG82)-1),1))</f>
        <v>7</v>
      </c>
      <c r="AI82" s="3">
        <f t="shared" si="1"/>
        <v>1</v>
      </c>
      <c r="AJ82" s="3">
        <f t="shared" si="2"/>
        <v>0</v>
      </c>
      <c r="AK82" s="3">
        <f t="shared" si="3"/>
        <v>1</v>
      </c>
    </row>
    <row r="83" spans="2:37" x14ac:dyDescent="0.25">
      <c r="B83" s="2"/>
      <c r="D83" s="360" t="s">
        <v>55</v>
      </c>
      <c r="E83" s="360"/>
      <c r="F83" s="16" t="s">
        <v>500</v>
      </c>
      <c r="G83" s="16">
        <v>0.53900000000000003</v>
      </c>
      <c r="H83" s="16">
        <v>0.54</v>
      </c>
      <c r="I83" s="16">
        <v>0.55500000000000005</v>
      </c>
      <c r="J83" s="16">
        <v>0.55600000000000005</v>
      </c>
      <c r="K83" s="16">
        <v>0.57199999999999995</v>
      </c>
      <c r="L83" s="16">
        <v>0.57299999999999995</v>
      </c>
      <c r="M83" s="16" t="s">
        <v>500</v>
      </c>
      <c r="O83" s="2"/>
      <c r="AE83" s="3" t="s">
        <v>55</v>
      </c>
      <c r="AF83" s="3">
        <v>9</v>
      </c>
      <c r="AG83" s="3">
        <f t="shared" si="0"/>
        <v>1</v>
      </c>
      <c r="AH83" s="3">
        <f>+IF(AG83=0,0,IF(AG83=1,(SUM($AG$75:AG83)-1),1))</f>
        <v>8</v>
      </c>
      <c r="AI83" s="3">
        <f t="shared" si="1"/>
        <v>1</v>
      </c>
      <c r="AJ83" s="3">
        <f t="shared" si="2"/>
        <v>0</v>
      </c>
      <c r="AK83" s="3">
        <f t="shared" si="3"/>
        <v>1</v>
      </c>
    </row>
    <row r="84" spans="2:37" x14ac:dyDescent="0.25">
      <c r="B84" s="2"/>
      <c r="D84" s="360" t="s">
        <v>56</v>
      </c>
      <c r="E84" s="360"/>
      <c r="F84" s="16" t="s">
        <v>500</v>
      </c>
      <c r="G84" s="16">
        <v>0.63900000000000001</v>
      </c>
      <c r="H84" s="16">
        <v>0.64</v>
      </c>
      <c r="I84" s="16">
        <v>0.65300000000000002</v>
      </c>
      <c r="J84" s="16">
        <v>0.65400000000000003</v>
      </c>
      <c r="K84" s="16">
        <v>0.67300000000000004</v>
      </c>
      <c r="L84" s="16">
        <v>0.67400000000000004</v>
      </c>
      <c r="M84" s="16" t="s">
        <v>500</v>
      </c>
      <c r="O84" s="2"/>
      <c r="AE84" s="3" t="s">
        <v>56</v>
      </c>
      <c r="AF84" s="3">
        <v>10</v>
      </c>
      <c r="AG84" s="3">
        <f t="shared" si="0"/>
        <v>1</v>
      </c>
      <c r="AH84" s="3">
        <f>+IF(AG84=0,0,IF(AG84=1,(SUM($AG$75:AG84)-1),1))</f>
        <v>9</v>
      </c>
      <c r="AI84" s="3">
        <f t="shared" si="1"/>
        <v>1</v>
      </c>
      <c r="AJ84" s="3">
        <f t="shared" si="2"/>
        <v>0</v>
      </c>
      <c r="AK84" s="3">
        <f t="shared" si="3"/>
        <v>1</v>
      </c>
    </row>
    <row r="85" spans="2:37" x14ac:dyDescent="0.25">
      <c r="B85" s="2"/>
      <c r="D85" s="360" t="s">
        <v>57</v>
      </c>
      <c r="E85" s="360"/>
      <c r="F85" s="16" t="s">
        <v>500</v>
      </c>
      <c r="G85" s="16">
        <v>0.71899999999999997</v>
      </c>
      <c r="H85" s="16">
        <v>0.72</v>
      </c>
      <c r="I85" s="16">
        <v>0.72</v>
      </c>
      <c r="J85" s="16">
        <v>0.72099999999999997</v>
      </c>
      <c r="K85" s="16">
        <v>0.74199999999999999</v>
      </c>
      <c r="L85" s="16">
        <v>0.74299999999999999</v>
      </c>
      <c r="M85" s="16" t="s">
        <v>500</v>
      </c>
      <c r="O85" s="2"/>
      <c r="AE85" s="3" t="s">
        <v>57</v>
      </c>
      <c r="AF85" s="3">
        <v>11</v>
      </c>
      <c r="AG85" s="3">
        <f t="shared" si="0"/>
        <v>1</v>
      </c>
      <c r="AH85" s="3">
        <f>+IF(AG85=0,0,IF(AG85=1,(SUM($AG$75:AG85)-1),1))</f>
        <v>10</v>
      </c>
      <c r="AI85" s="3">
        <f t="shared" si="1"/>
        <v>1</v>
      </c>
      <c r="AJ85" s="3">
        <f t="shared" si="2"/>
        <v>0</v>
      </c>
      <c r="AK85" s="3">
        <f t="shared" si="3"/>
        <v>1</v>
      </c>
    </row>
    <row r="86" spans="2:37" x14ac:dyDescent="0.25">
      <c r="B86" s="2"/>
      <c r="D86" s="360" t="s">
        <v>58</v>
      </c>
      <c r="E86" s="360"/>
      <c r="F86" s="16" t="s">
        <v>500</v>
      </c>
      <c r="G86" s="16">
        <v>0.94899999999999995</v>
      </c>
      <c r="H86" s="16">
        <v>0.95</v>
      </c>
      <c r="I86" s="16">
        <v>0.96899999999999997</v>
      </c>
      <c r="J86" s="16">
        <v>0.97</v>
      </c>
      <c r="K86" s="16">
        <v>0.999</v>
      </c>
      <c r="L86" s="16" t="s">
        <v>500</v>
      </c>
      <c r="M86" s="16">
        <v>1</v>
      </c>
      <c r="O86" s="2"/>
      <c r="AE86" s="3" t="s">
        <v>58</v>
      </c>
      <c r="AF86" s="65">
        <v>12</v>
      </c>
      <c r="AG86" s="3">
        <f t="shared" si="0"/>
        <v>1</v>
      </c>
      <c r="AH86" s="3">
        <f>+IF(AG86=0,0,IF(AG86=1,(SUM($AG$75:AG86)-1),1))</f>
        <v>11</v>
      </c>
      <c r="AI86" s="3">
        <f t="shared" si="1"/>
        <v>1</v>
      </c>
      <c r="AJ86" s="3">
        <f t="shared" si="2"/>
        <v>0</v>
      </c>
      <c r="AK86" s="3">
        <f t="shared" si="3"/>
        <v>1</v>
      </c>
    </row>
    <row r="87" spans="2:37" ht="3.75" customHeight="1" x14ac:dyDescent="0.25">
      <c r="B87" s="2"/>
      <c r="O87" s="2"/>
    </row>
    <row r="88" spans="2:37" ht="66" customHeight="1" x14ac:dyDescent="0.25">
      <c r="B88" s="2"/>
      <c r="D88" s="338" t="s">
        <v>59</v>
      </c>
      <c r="E88" s="339"/>
      <c r="F88" s="340"/>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5" customHeight="1" x14ac:dyDescent="0.25">
      <c r="B97" s="2"/>
      <c r="D97" s="359" t="s">
        <v>35</v>
      </c>
      <c r="E97" s="359"/>
      <c r="F97" s="344" t="s">
        <v>1332</v>
      </c>
      <c r="G97" s="344"/>
      <c r="H97" s="344"/>
      <c r="I97" s="344"/>
      <c r="J97" s="344"/>
      <c r="K97" s="344"/>
      <c r="L97" s="344"/>
      <c r="M97" s="344"/>
      <c r="O97" s="2"/>
    </row>
    <row r="98" spans="2:15" ht="45" customHeight="1" x14ac:dyDescent="0.25">
      <c r="B98" s="2"/>
      <c r="D98" s="359" t="s">
        <v>36</v>
      </c>
      <c r="E98" s="359"/>
      <c r="F98" s="344" t="s">
        <v>1333</v>
      </c>
      <c r="G98" s="344"/>
      <c r="H98" s="344"/>
      <c r="I98" s="344"/>
      <c r="J98" s="344"/>
      <c r="K98" s="344"/>
      <c r="L98" s="344"/>
      <c r="M98" s="344"/>
      <c r="O98" s="2"/>
    </row>
    <row r="99" spans="2:15" ht="3.95" customHeight="1" x14ac:dyDescent="0.25">
      <c r="B99" s="2"/>
      <c r="O99" s="2"/>
    </row>
    <row r="100" spans="2:15" ht="58.5" customHeight="1" x14ac:dyDescent="0.25">
      <c r="B100" s="2"/>
      <c r="D100" s="338" t="s">
        <v>62</v>
      </c>
      <c r="E100" s="339"/>
      <c r="F100" s="333"/>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496</v>
      </c>
      <c r="K102" s="20"/>
      <c r="O102" s="2"/>
    </row>
    <row r="103" spans="2:15" ht="19.5" customHeight="1" x14ac:dyDescent="0.25">
      <c r="B103" s="2"/>
      <c r="D103" s="331"/>
      <c r="E103" s="332"/>
      <c r="F103" s="19" t="s">
        <v>66</v>
      </c>
      <c r="G103" s="4" t="s">
        <v>1552</v>
      </c>
      <c r="K103" s="21"/>
      <c r="O103" s="2"/>
    </row>
    <row r="104" spans="2:15" ht="27.75" customHeight="1" x14ac:dyDescent="0.25">
      <c r="B104" s="2"/>
      <c r="D104" s="331"/>
      <c r="E104" s="332"/>
      <c r="F104" s="19" t="s">
        <v>67</v>
      </c>
      <c r="G104" s="333" t="s">
        <v>1854</v>
      </c>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Subdirector(a) Programación</v>
      </c>
      <c r="H108" s="334"/>
      <c r="I108" s="334"/>
      <c r="J108" s="334"/>
      <c r="K108" s="334"/>
      <c r="L108" s="334"/>
      <c r="M108" s="335"/>
      <c r="O108" s="2"/>
    </row>
    <row r="109" spans="2:15" ht="17.25" customHeight="1" x14ac:dyDescent="0.25">
      <c r="B109" s="2"/>
      <c r="D109" s="331"/>
      <c r="E109" s="332"/>
      <c r="F109" s="19" t="s">
        <v>2042</v>
      </c>
      <c r="G109" s="333" t="str">
        <f>+IF(M23="Si","Coordinador(a) Planeación y Sistemas","")</f>
        <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6 F48:M49">
    <cfRule type="expression" dxfId="663" priority="33">
      <formula>+IF($F$43="no",1,0)</formula>
    </cfRule>
  </conditionalFormatting>
  <conditionalFormatting sqref="F32:M33">
    <cfRule type="expression" dxfId="662" priority="32">
      <formula>+IF($Q$30="NA",1,0)</formula>
    </cfRule>
  </conditionalFormatting>
  <conditionalFormatting sqref="F33:M33">
    <cfRule type="expression" dxfId="661" priority="31">
      <formula>+IF($Q$33=0,1,0)</formula>
    </cfRule>
  </conditionalFormatting>
  <conditionalFormatting sqref="F73:G73">
    <cfRule type="cellIs" dxfId="660" priority="16" operator="equal">
      <formula>"optimo"</formula>
    </cfRule>
    <cfRule type="cellIs" dxfId="659" priority="17" operator="equal">
      <formula>"critico"</formula>
    </cfRule>
  </conditionalFormatting>
  <conditionalFormatting sqref="H73:I73">
    <cfRule type="cellIs" dxfId="658" priority="14" operator="equal">
      <formula>"Adecuado"</formula>
    </cfRule>
    <cfRule type="cellIs" dxfId="657" priority="15" operator="equal">
      <formula>"en riesgo"</formula>
    </cfRule>
  </conditionalFormatting>
  <conditionalFormatting sqref="J73:K73">
    <cfRule type="cellIs" dxfId="656" priority="12" operator="equal">
      <formula>"Adecuado"</formula>
    </cfRule>
    <cfRule type="cellIs" dxfId="655" priority="13" operator="equal">
      <formula>"en riesgo"</formula>
    </cfRule>
  </conditionalFormatting>
  <conditionalFormatting sqref="L73:M73">
    <cfRule type="cellIs" dxfId="654" priority="10" operator="equal">
      <formula>"optimo"</formula>
    </cfRule>
    <cfRule type="cellIs" dxfId="653" priority="11" operator="equal">
      <formula>"critico"</formula>
    </cfRule>
  </conditionalFormatting>
  <conditionalFormatting sqref="F75:M86">
    <cfRule type="expression" dxfId="652" priority="9">
      <formula>+IF($AK75=0,1)</formula>
    </cfRule>
  </conditionalFormatting>
  <conditionalFormatting sqref="F103:G104">
    <cfRule type="expression" dxfId="651" priority="8">
      <formula>+IF($G$102="No",1,0)</formula>
    </cfRule>
  </conditionalFormatting>
  <conditionalFormatting sqref="F51">
    <cfRule type="expression" dxfId="650" priority="7">
      <formula>+IF($F$43="no",1,0)</formula>
    </cfRule>
  </conditionalFormatting>
  <conditionalFormatting sqref="I51">
    <cfRule type="expression" dxfId="649" priority="6">
      <formula>+IF($F$51="no",1,0)</formula>
    </cfRule>
  </conditionalFormatting>
  <conditionalFormatting sqref="F47:M47">
    <cfRule type="expression" dxfId="648" priority="5">
      <formula>+IF($F$43="no",1,0)</formula>
    </cfRule>
  </conditionalFormatting>
  <conditionalFormatting sqref="F47:M47">
    <cfRule type="expression" dxfId="647" priority="4">
      <formula>+IF($Q$47=0,1,0)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6">
    <tabColor rgb="FF0070C0"/>
  </sheetPr>
  <dimension ref="B1:AV113"/>
  <sheetViews>
    <sheetView topLeftCell="A43" zoomScale="90" zoomScaleNormal="90" workbookViewId="0">
      <selection activeCell="G79" sqref="G79"/>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11.42578125"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418</v>
      </c>
      <c r="O10" s="2"/>
    </row>
    <row r="11" spans="2:24" ht="3.95" customHeight="1" x14ac:dyDescent="0.25">
      <c r="B11" s="2"/>
      <c r="D11" s="6"/>
      <c r="O11" s="2"/>
    </row>
    <row r="12" spans="2:24" ht="36" customHeight="1" x14ac:dyDescent="0.25">
      <c r="B12" s="2"/>
      <c r="D12" s="338" t="s">
        <v>5</v>
      </c>
      <c r="E12" s="339"/>
      <c r="F12" s="340" t="s">
        <v>419</v>
      </c>
      <c r="G12" s="341"/>
      <c r="H12" s="341"/>
      <c r="I12" s="341"/>
      <c r="J12" s="341"/>
      <c r="K12" s="341"/>
      <c r="L12" s="341"/>
      <c r="M12" s="342"/>
      <c r="O12" s="2"/>
      <c r="W12" s="3" t="str">
        <f>+F23</f>
        <v>Trimestral</v>
      </c>
      <c r="X12" s="3" t="str">
        <f>+F71</f>
        <v>Marzo</v>
      </c>
    </row>
    <row r="13" spans="2:24" ht="3.95" customHeight="1" x14ac:dyDescent="0.25">
      <c r="B13" s="2"/>
      <c r="O13" s="2"/>
    </row>
    <row r="14" spans="2:24" ht="38.25" customHeight="1" x14ac:dyDescent="0.25">
      <c r="B14" s="2"/>
      <c r="D14" s="338" t="s">
        <v>6</v>
      </c>
      <c r="E14" s="339"/>
      <c r="F14" s="340" t="s">
        <v>1347</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8.75" customHeight="1" x14ac:dyDescent="0.25">
      <c r="B22" s="2"/>
      <c r="D22" s="337" t="s">
        <v>8</v>
      </c>
      <c r="E22" s="337"/>
      <c r="F22" s="31" t="s">
        <v>512</v>
      </c>
      <c r="G22" s="337" t="s">
        <v>9</v>
      </c>
      <c r="H22" s="337"/>
      <c r="I22" s="17">
        <v>0.6</v>
      </c>
      <c r="K22" s="337" t="s">
        <v>10</v>
      </c>
      <c r="L22" s="337"/>
      <c r="M22" s="9" t="s">
        <v>496</v>
      </c>
      <c r="O22" s="2"/>
    </row>
    <row r="23" spans="2:17" ht="19.5" customHeight="1" x14ac:dyDescent="0.25">
      <c r="B23" s="2"/>
      <c r="D23" s="337" t="s">
        <v>11</v>
      </c>
      <c r="E23" s="337"/>
      <c r="F23" s="4" t="s">
        <v>71</v>
      </c>
      <c r="G23" s="337" t="s">
        <v>12</v>
      </c>
      <c r="H23" s="337"/>
      <c r="I23" s="4" t="s">
        <v>497</v>
      </c>
      <c r="K23" s="337" t="s">
        <v>13</v>
      </c>
      <c r="L23" s="337"/>
      <c r="M23" s="9" t="s">
        <v>2</v>
      </c>
      <c r="O23" s="2"/>
    </row>
    <row r="24" spans="2:17" ht="20.100000000000001" customHeight="1" x14ac:dyDescent="0.25">
      <c r="B24" s="2"/>
      <c r="D24" s="337" t="s">
        <v>14</v>
      </c>
      <c r="E24" s="337"/>
      <c r="F24" s="4" t="s">
        <v>498</v>
      </c>
      <c r="G24" s="337" t="s">
        <v>15</v>
      </c>
      <c r="H24" s="337"/>
      <c r="I24" s="4" t="s">
        <v>533</v>
      </c>
      <c r="K24" s="337" t="s">
        <v>16</v>
      </c>
      <c r="L24" s="337"/>
      <c r="M24" s="9" t="s">
        <v>2</v>
      </c>
      <c r="O24" s="2"/>
    </row>
    <row r="25" spans="2:17" ht="20.100000000000001" customHeight="1" x14ac:dyDescent="0.25">
      <c r="B25" s="2"/>
      <c r="D25" s="337" t="s">
        <v>17</v>
      </c>
      <c r="E25" s="337"/>
      <c r="F25" s="4" t="s">
        <v>1335</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NA</v>
      </c>
    </row>
    <row r="31" spans="2:17" ht="24" customHeight="1" x14ac:dyDescent="0.25">
      <c r="B31" s="2"/>
      <c r="D31" s="347"/>
      <c r="E31" s="348"/>
      <c r="F31" s="4" t="s">
        <v>411</v>
      </c>
      <c r="G31" s="340" t="s">
        <v>412</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1025</v>
      </c>
      <c r="G33" s="340"/>
      <c r="H33" s="341"/>
      <c r="I33" s="341"/>
      <c r="J33" s="341"/>
      <c r="K33" s="341"/>
      <c r="L33" s="341"/>
      <c r="M33" s="342"/>
      <c r="O33" s="2"/>
      <c r="Q33" s="3" t="str">
        <f>+IFERROR(IF(VLOOKUP(G33,base!$A$26:$C$40,3,FALSE)=F31,1,0),"")</f>
        <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1716</v>
      </c>
      <c r="G35" s="340" t="s">
        <v>1592</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501</v>
      </c>
      <c r="G45" s="340" t="s">
        <v>515</v>
      </c>
      <c r="H45" s="341"/>
      <c r="I45" s="341"/>
      <c r="J45" s="341"/>
      <c r="K45" s="341"/>
      <c r="L45" s="341"/>
      <c r="M45" s="342"/>
      <c r="O45" s="2"/>
      <c r="Q45" s="3" t="str">
        <f>+IFERROR(VLOOKUP(G45,base!$A$41:$C$45,3,FALSE),"")</f>
        <v>misional</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503</v>
      </c>
      <c r="G47" s="340" t="s">
        <v>995</v>
      </c>
      <c r="H47" s="341"/>
      <c r="I47" s="341"/>
      <c r="J47" s="341"/>
      <c r="K47" s="341"/>
      <c r="L47" s="341"/>
      <c r="M47" s="342"/>
      <c r="O47" s="2"/>
      <c r="Q47" s="3">
        <f>+IF(VLOOKUP(G47,base!$A$46:$C$66,3,FALSE)=F45,1,0)</f>
        <v>1</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920</v>
      </c>
      <c r="G49" s="340" t="s">
        <v>899</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496</v>
      </c>
      <c r="G51" s="337" t="s">
        <v>32</v>
      </c>
      <c r="H51" s="337"/>
      <c r="I51" s="17">
        <v>1</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45.75" customHeight="1" x14ac:dyDescent="0.25">
      <c r="B59" s="2"/>
      <c r="D59" s="337" t="s">
        <v>34</v>
      </c>
      <c r="E59" s="337"/>
      <c r="F59" s="344" t="s">
        <v>1348</v>
      </c>
      <c r="G59" s="344"/>
      <c r="H59" s="344"/>
      <c r="I59" s="344"/>
      <c r="J59" s="344"/>
      <c r="K59" s="344"/>
      <c r="L59" s="344"/>
      <c r="M59" s="344"/>
      <c r="O59" s="2"/>
    </row>
    <row r="60" spans="2:15" ht="45.75" customHeight="1" x14ac:dyDescent="0.25">
      <c r="B60" s="2"/>
      <c r="D60" s="359" t="s">
        <v>35</v>
      </c>
      <c r="E60" s="359"/>
      <c r="F60" s="344" t="s">
        <v>1349</v>
      </c>
      <c r="G60" s="344"/>
      <c r="H60" s="344"/>
      <c r="I60" s="344"/>
      <c r="J60" s="344"/>
      <c r="K60" s="344"/>
      <c r="L60" s="344"/>
      <c r="M60" s="344"/>
      <c r="O60" s="2"/>
    </row>
    <row r="61" spans="2:15" ht="45.75" customHeight="1" x14ac:dyDescent="0.25">
      <c r="B61" s="2"/>
      <c r="D61" s="359" t="s">
        <v>36</v>
      </c>
      <c r="E61" s="359"/>
      <c r="F61" s="340" t="s">
        <v>1350</v>
      </c>
      <c r="G61" s="341"/>
      <c r="H61" s="341"/>
      <c r="I61" s="341"/>
      <c r="J61" s="341"/>
      <c r="K61" s="341"/>
      <c r="L61" s="341"/>
      <c r="M61" s="342"/>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43" t="s">
        <v>39</v>
      </c>
      <c r="E71" s="343"/>
      <c r="F71" s="4" t="s">
        <v>47</v>
      </c>
      <c r="G71" s="3" t="s">
        <v>500</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+IF(AE75&gt;=$G$71,1,0)</f>
        <v>1</v>
      </c>
      <c r="AH75" s="3">
        <v>1</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+IF(AE76&gt;=$G$71,1,0)</f>
        <v>1</v>
      </c>
      <c r="AH76" s="3">
        <v>2</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v>0.23899999999999999</v>
      </c>
      <c r="H77" s="16">
        <v>0.24</v>
      </c>
      <c r="I77" s="16">
        <v>0.26900000000000002</v>
      </c>
      <c r="J77" s="16">
        <v>0.27</v>
      </c>
      <c r="K77" s="16">
        <v>0.29899999999999999</v>
      </c>
      <c r="L77" s="16">
        <v>0.3</v>
      </c>
      <c r="M77" s="16" t="s">
        <v>500</v>
      </c>
      <c r="O77" s="2"/>
      <c r="AE77" s="3" t="s">
        <v>47</v>
      </c>
      <c r="AF77" s="3">
        <v>3</v>
      </c>
      <c r="AG77" s="3">
        <f t="shared" si="0"/>
        <v>1</v>
      </c>
      <c r="AH77" s="3">
        <v>3</v>
      </c>
      <c r="AI77" s="3">
        <f t="shared" si="1"/>
        <v>1</v>
      </c>
      <c r="AJ77" s="3">
        <f t="shared" si="2"/>
        <v>1</v>
      </c>
      <c r="AK77" s="3">
        <f t="shared" si="3"/>
        <v>1</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1</v>
      </c>
      <c r="AH78" s="3">
        <v>4</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1</v>
      </c>
      <c r="AH79" s="3">
        <v>5</v>
      </c>
      <c r="AI79" s="3">
        <f t="shared" si="1"/>
        <v>0</v>
      </c>
      <c r="AJ79" s="3">
        <f t="shared" si="2"/>
        <v>0</v>
      </c>
      <c r="AK79" s="3">
        <f t="shared" si="3"/>
        <v>0</v>
      </c>
    </row>
    <row r="80" spans="2:37" x14ac:dyDescent="0.25">
      <c r="B80" s="2"/>
      <c r="D80" s="360" t="s">
        <v>50</v>
      </c>
      <c r="E80" s="360"/>
      <c r="F80" s="16" t="s">
        <v>500</v>
      </c>
      <c r="G80" s="16">
        <v>0.439</v>
      </c>
      <c r="H80" s="16">
        <v>0.44</v>
      </c>
      <c r="I80" s="16">
        <v>0.46899999999999997</v>
      </c>
      <c r="J80" s="16">
        <v>0.47</v>
      </c>
      <c r="K80" s="16">
        <v>0.499</v>
      </c>
      <c r="L80" s="16">
        <v>0.5</v>
      </c>
      <c r="M80" s="16" t="s">
        <v>500</v>
      </c>
      <c r="O80" s="2"/>
      <c r="AE80" s="3" t="s">
        <v>50</v>
      </c>
      <c r="AF80" s="3">
        <v>6</v>
      </c>
      <c r="AG80" s="3">
        <f t="shared" si="0"/>
        <v>1</v>
      </c>
      <c r="AH80" s="3">
        <v>6</v>
      </c>
      <c r="AI80" s="3">
        <f t="shared" si="1"/>
        <v>1</v>
      </c>
      <c r="AJ80" s="3">
        <f t="shared" si="2"/>
        <v>0</v>
      </c>
      <c r="AK80" s="3">
        <f t="shared" si="3"/>
        <v>1</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1</v>
      </c>
      <c r="AH81" s="3">
        <v>7</v>
      </c>
      <c r="AI81" s="3">
        <f t="shared" si="1"/>
        <v>0</v>
      </c>
      <c r="AJ81" s="3">
        <f t="shared" si="2"/>
        <v>0</v>
      </c>
      <c r="AK81" s="3">
        <f t="shared" si="3"/>
        <v>0</v>
      </c>
    </row>
    <row r="82" spans="2:37" x14ac:dyDescent="0.25">
      <c r="B82" s="2"/>
      <c r="D82" s="360" t="s">
        <v>54</v>
      </c>
      <c r="E82" s="360"/>
      <c r="F82" s="16" t="s">
        <v>500</v>
      </c>
      <c r="G82" s="16" t="s">
        <v>500</v>
      </c>
      <c r="H82" s="16" t="s">
        <v>500</v>
      </c>
      <c r="I82" s="16" t="s">
        <v>500</v>
      </c>
      <c r="J82" s="16" t="s">
        <v>500</v>
      </c>
      <c r="K82" s="16" t="s">
        <v>500</v>
      </c>
      <c r="L82" s="16" t="s">
        <v>500</v>
      </c>
      <c r="M82" s="16" t="s">
        <v>500</v>
      </c>
      <c r="O82" s="2"/>
      <c r="AE82" s="3" t="s">
        <v>54</v>
      </c>
      <c r="AF82" s="3">
        <v>8</v>
      </c>
      <c r="AG82" s="3">
        <f t="shared" si="0"/>
        <v>1</v>
      </c>
      <c r="AH82" s="3">
        <v>8</v>
      </c>
      <c r="AI82" s="3">
        <f t="shared" si="1"/>
        <v>0</v>
      </c>
      <c r="AJ82" s="3">
        <f t="shared" si="2"/>
        <v>0</v>
      </c>
      <c r="AK82" s="3">
        <f t="shared" si="3"/>
        <v>0</v>
      </c>
    </row>
    <row r="83" spans="2:37" x14ac:dyDescent="0.25">
      <c r="B83" s="2"/>
      <c r="D83" s="360" t="s">
        <v>55</v>
      </c>
      <c r="E83" s="360"/>
      <c r="F83" s="16" t="s">
        <v>500</v>
      </c>
      <c r="G83" s="16">
        <v>0.48899999999999999</v>
      </c>
      <c r="H83" s="16">
        <v>0.49</v>
      </c>
      <c r="I83" s="16">
        <v>0.51900000000000002</v>
      </c>
      <c r="J83" s="16">
        <v>0.52</v>
      </c>
      <c r="K83" s="16">
        <v>0.54900000000000004</v>
      </c>
      <c r="L83" s="16">
        <v>0.55000000000000004</v>
      </c>
      <c r="M83" s="16" t="s">
        <v>500</v>
      </c>
      <c r="O83" s="2"/>
      <c r="AE83" s="3" t="s">
        <v>55</v>
      </c>
      <c r="AF83" s="3">
        <v>9</v>
      </c>
      <c r="AG83" s="3">
        <f t="shared" si="0"/>
        <v>1</v>
      </c>
      <c r="AH83" s="3">
        <v>9</v>
      </c>
      <c r="AI83" s="3">
        <f t="shared" si="1"/>
        <v>1</v>
      </c>
      <c r="AJ83" s="3">
        <f t="shared" si="2"/>
        <v>0</v>
      </c>
      <c r="AK83" s="3">
        <f t="shared" si="3"/>
        <v>1</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1</v>
      </c>
      <c r="AH84" s="3">
        <v>10</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v>11</v>
      </c>
      <c r="AI85" s="3">
        <f t="shared" si="1"/>
        <v>0</v>
      </c>
      <c r="AJ85" s="3">
        <f t="shared" si="2"/>
        <v>0</v>
      </c>
      <c r="AK85" s="3">
        <f t="shared" si="3"/>
        <v>0</v>
      </c>
    </row>
    <row r="86" spans="2:37" x14ac:dyDescent="0.25">
      <c r="B86" s="2"/>
      <c r="D86" s="360" t="s">
        <v>58</v>
      </c>
      <c r="E86" s="360"/>
      <c r="F86" s="16" t="s">
        <v>500</v>
      </c>
      <c r="G86" s="16">
        <v>0.53900000000000003</v>
      </c>
      <c r="H86" s="16">
        <v>0.54</v>
      </c>
      <c r="I86" s="16">
        <v>0.56899999999999995</v>
      </c>
      <c r="J86" s="16">
        <v>0.56999999999999995</v>
      </c>
      <c r="K86" s="16">
        <v>0.59899999999999998</v>
      </c>
      <c r="L86" s="16">
        <v>0.6</v>
      </c>
      <c r="M86" s="16" t="s">
        <v>500</v>
      </c>
      <c r="O86" s="2"/>
      <c r="AE86" s="3" t="s">
        <v>58</v>
      </c>
      <c r="AF86" s="65">
        <v>12</v>
      </c>
      <c r="AG86" s="3">
        <f t="shared" si="0"/>
        <v>1</v>
      </c>
      <c r="AH86" s="65">
        <v>12</v>
      </c>
      <c r="AI86" s="3">
        <f t="shared" si="1"/>
        <v>1</v>
      </c>
      <c r="AJ86" s="3">
        <f t="shared" si="2"/>
        <v>0</v>
      </c>
      <c r="AK86" s="3">
        <f t="shared" si="3"/>
        <v>1</v>
      </c>
    </row>
    <row r="87" spans="2:37" ht="3.75" customHeight="1" x14ac:dyDescent="0.25">
      <c r="B87" s="2"/>
      <c r="O87" s="2"/>
    </row>
    <row r="88" spans="2:37" ht="66" customHeight="1" x14ac:dyDescent="0.25">
      <c r="B88" s="2"/>
      <c r="D88" s="338" t="s">
        <v>59</v>
      </c>
      <c r="E88" s="339"/>
      <c r="F88" s="340"/>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2.75" customHeight="1" x14ac:dyDescent="0.25">
      <c r="B97" s="2"/>
      <c r="D97" s="359" t="s">
        <v>35</v>
      </c>
      <c r="E97" s="359"/>
      <c r="F97" s="344" t="s">
        <v>1855</v>
      </c>
      <c r="G97" s="344"/>
      <c r="H97" s="344"/>
      <c r="I97" s="344"/>
      <c r="J97" s="344"/>
      <c r="K97" s="344"/>
      <c r="L97" s="344"/>
      <c r="M97" s="344"/>
      <c r="O97" s="2"/>
    </row>
    <row r="98" spans="2:15" ht="42.75" customHeight="1" x14ac:dyDescent="0.25">
      <c r="B98" s="2"/>
      <c r="D98" s="359" t="s">
        <v>36</v>
      </c>
      <c r="E98" s="359"/>
      <c r="F98" s="344" t="s">
        <v>1856</v>
      </c>
      <c r="G98" s="344"/>
      <c r="H98" s="344"/>
      <c r="I98" s="344"/>
      <c r="J98" s="344"/>
      <c r="K98" s="344"/>
      <c r="L98" s="344"/>
      <c r="M98" s="344"/>
      <c r="O98" s="2"/>
    </row>
    <row r="99" spans="2:15" ht="3.95" customHeight="1" x14ac:dyDescent="0.25">
      <c r="B99" s="2"/>
      <c r="O99" s="2"/>
    </row>
    <row r="100" spans="2:15" ht="58.5" customHeight="1" x14ac:dyDescent="0.25">
      <c r="B100" s="2"/>
      <c r="D100" s="338" t="s">
        <v>62</v>
      </c>
      <c r="E100" s="339"/>
      <c r="F100" s="333"/>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2</v>
      </c>
      <c r="K102" s="20"/>
      <c r="O102" s="2"/>
    </row>
    <row r="103" spans="2:15" ht="19.5" customHeight="1" x14ac:dyDescent="0.25">
      <c r="B103" s="2"/>
      <c r="D103" s="331"/>
      <c r="E103" s="332"/>
      <c r="F103" s="19" t="s">
        <v>66</v>
      </c>
      <c r="G103" s="4"/>
      <c r="K103" s="21"/>
      <c r="O103" s="2"/>
    </row>
    <row r="104" spans="2:15" ht="27.75" customHeight="1" x14ac:dyDescent="0.25">
      <c r="B104" s="2"/>
      <c r="D104" s="331"/>
      <c r="E104" s="332"/>
      <c r="F104" s="19" t="s">
        <v>67</v>
      </c>
      <c r="G104" s="333"/>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Subdirector(a) Programación</v>
      </c>
      <c r="H108" s="334"/>
      <c r="I108" s="334"/>
      <c r="J108" s="334"/>
      <c r="K108" s="334"/>
      <c r="L108" s="334"/>
      <c r="M108" s="335"/>
      <c r="O108" s="2"/>
    </row>
    <row r="109" spans="2:15" ht="17.25" customHeight="1" x14ac:dyDescent="0.25">
      <c r="B109" s="2"/>
      <c r="D109" s="331"/>
      <c r="E109" s="332"/>
      <c r="F109" s="19" t="s">
        <v>2042</v>
      </c>
      <c r="G109" s="333" t="str">
        <f>+IF(M23="Si","Coordinador(a) Planeación y Sistemas","")</f>
        <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646" priority="31">
      <formula>+IF($F$43="no",1,0)</formula>
    </cfRule>
  </conditionalFormatting>
  <conditionalFormatting sqref="F32:M33">
    <cfRule type="expression" dxfId="645" priority="30">
      <formula>+IF($Q$30="NA",1,0)</formula>
    </cfRule>
  </conditionalFormatting>
  <conditionalFormatting sqref="F33:M33">
    <cfRule type="expression" dxfId="644" priority="29">
      <formula>+IF($Q$33=0,1,0)</formula>
    </cfRule>
  </conditionalFormatting>
  <conditionalFormatting sqref="F47:M47">
    <cfRule type="expression" dxfId="643" priority="28">
      <formula>+IF($Q$47=0,1,0)</formula>
    </cfRule>
  </conditionalFormatting>
  <conditionalFormatting sqref="F73:G73">
    <cfRule type="cellIs" dxfId="642" priority="14" operator="equal">
      <formula>"optimo"</formula>
    </cfRule>
    <cfRule type="cellIs" dxfId="641" priority="15" operator="equal">
      <formula>"critico"</formula>
    </cfRule>
  </conditionalFormatting>
  <conditionalFormatting sqref="H73:I73">
    <cfRule type="cellIs" dxfId="640" priority="12" operator="equal">
      <formula>"Adecuado"</formula>
    </cfRule>
    <cfRule type="cellIs" dxfId="639" priority="13" operator="equal">
      <formula>"en riesgo"</formula>
    </cfRule>
  </conditionalFormatting>
  <conditionalFormatting sqref="J73:K73">
    <cfRule type="cellIs" dxfId="638" priority="10" operator="equal">
      <formula>"Adecuado"</formula>
    </cfRule>
    <cfRule type="cellIs" dxfId="637" priority="11" operator="equal">
      <formula>"en riesgo"</formula>
    </cfRule>
  </conditionalFormatting>
  <conditionalFormatting sqref="L73:M73">
    <cfRule type="cellIs" dxfId="636" priority="8" operator="equal">
      <formula>"optimo"</formula>
    </cfRule>
    <cfRule type="cellIs" dxfId="635" priority="9" operator="equal">
      <formula>"critico"</formula>
    </cfRule>
  </conditionalFormatting>
  <conditionalFormatting sqref="F75:M86">
    <cfRule type="expression" dxfId="634" priority="7">
      <formula>+IF($AK75=0,1)</formula>
    </cfRule>
  </conditionalFormatting>
  <conditionalFormatting sqref="F103:G104">
    <cfRule type="expression" dxfId="633" priority="6">
      <formula>+IF($G$102="No",1,0)</formula>
    </cfRule>
  </conditionalFormatting>
  <conditionalFormatting sqref="F51">
    <cfRule type="expression" dxfId="632" priority="5">
      <formula>+IF($F$43="no",1,0)</formula>
    </cfRule>
  </conditionalFormatting>
  <conditionalFormatting sqref="I51">
    <cfRule type="expression" dxfId="631"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7">
    <tabColor rgb="FF0070C0"/>
  </sheetPr>
  <dimension ref="B1:AV113"/>
  <sheetViews>
    <sheetView topLeftCell="A46" zoomScale="90" zoomScaleNormal="90" workbookViewId="0">
      <selection activeCell="F108" sqref="F108:M11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420</v>
      </c>
      <c r="O10" s="2"/>
    </row>
    <row r="11" spans="2:24" ht="3.95" customHeight="1" x14ac:dyDescent="0.25">
      <c r="B11" s="2"/>
      <c r="D11" s="6"/>
      <c r="O11" s="2"/>
    </row>
    <row r="12" spans="2:24" ht="36" customHeight="1" x14ac:dyDescent="0.25">
      <c r="B12" s="2"/>
      <c r="D12" s="338" t="s">
        <v>5</v>
      </c>
      <c r="E12" s="339"/>
      <c r="F12" s="340" t="s">
        <v>1857</v>
      </c>
      <c r="G12" s="341"/>
      <c r="H12" s="341"/>
      <c r="I12" s="341"/>
      <c r="J12" s="341"/>
      <c r="K12" s="341"/>
      <c r="L12" s="341"/>
      <c r="M12" s="342"/>
      <c r="O12" s="2"/>
      <c r="W12" s="101" t="str">
        <f>+F23</f>
        <v>Anual</v>
      </c>
      <c r="X12" s="3" t="str">
        <f>+F71</f>
        <v>Diciembre</v>
      </c>
    </row>
    <row r="13" spans="2:24" ht="3.95" customHeight="1" x14ac:dyDescent="0.25">
      <c r="B13" s="2"/>
      <c r="O13" s="2"/>
    </row>
    <row r="14" spans="2:24" ht="38.25" customHeight="1" x14ac:dyDescent="0.25">
      <c r="B14" s="2"/>
      <c r="D14" s="338" t="s">
        <v>6</v>
      </c>
      <c r="E14" s="339"/>
      <c r="F14" s="340" t="s">
        <v>1343</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8.75" customHeight="1" x14ac:dyDescent="0.25">
      <c r="B22" s="2"/>
      <c r="D22" s="337" t="s">
        <v>8</v>
      </c>
      <c r="E22" s="337"/>
      <c r="F22" s="17">
        <v>1</v>
      </c>
      <c r="G22" s="337" t="s">
        <v>9</v>
      </c>
      <c r="H22" s="337"/>
      <c r="I22" s="17">
        <v>0.9</v>
      </c>
      <c r="K22" s="337" t="s">
        <v>10</v>
      </c>
      <c r="L22" s="337"/>
      <c r="M22" s="9" t="s">
        <v>496</v>
      </c>
      <c r="O22" s="2"/>
    </row>
    <row r="23" spans="2:17" ht="19.5" customHeight="1" x14ac:dyDescent="0.25">
      <c r="B23" s="2"/>
      <c r="D23" s="337" t="s">
        <v>11</v>
      </c>
      <c r="E23" s="337"/>
      <c r="F23" s="17" t="s">
        <v>1249</v>
      </c>
      <c r="G23" s="337" t="s">
        <v>12</v>
      </c>
      <c r="H23" s="337"/>
      <c r="I23" s="17" t="s">
        <v>497</v>
      </c>
      <c r="K23" s="337" t="s">
        <v>13</v>
      </c>
      <c r="L23" s="337"/>
      <c r="M23" s="9" t="s">
        <v>2</v>
      </c>
      <c r="O23" s="2"/>
    </row>
    <row r="24" spans="2:17" ht="20.100000000000001" customHeight="1" x14ac:dyDescent="0.25">
      <c r="B24" s="2"/>
      <c r="D24" s="337" t="s">
        <v>14</v>
      </c>
      <c r="E24" s="337"/>
      <c r="F24" s="17" t="s">
        <v>666</v>
      </c>
      <c r="G24" s="337" t="s">
        <v>15</v>
      </c>
      <c r="H24" s="337"/>
      <c r="I24" s="17" t="s">
        <v>533</v>
      </c>
      <c r="K24" s="337" t="s">
        <v>16</v>
      </c>
      <c r="L24" s="337"/>
      <c r="M24" s="9" t="s">
        <v>2</v>
      </c>
      <c r="O24" s="2"/>
    </row>
    <row r="25" spans="2:17" ht="20.100000000000001" customHeight="1" x14ac:dyDescent="0.25">
      <c r="B25" s="2"/>
      <c r="D25" s="337" t="s">
        <v>17</v>
      </c>
      <c r="E25" s="337"/>
      <c r="F25" s="17"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NA</v>
      </c>
    </row>
    <row r="31" spans="2:17" ht="24" customHeight="1" x14ac:dyDescent="0.25">
      <c r="B31" s="2"/>
      <c r="D31" s="347"/>
      <c r="E31" s="348"/>
      <c r="F31" s="4" t="s">
        <v>411</v>
      </c>
      <c r="G31" s="340" t="s">
        <v>412</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1025</v>
      </c>
      <c r="G33" s="340"/>
      <c r="H33" s="341"/>
      <c r="I33" s="341"/>
      <c r="J33" s="341"/>
      <c r="K33" s="341"/>
      <c r="L33" s="341"/>
      <c r="M33" s="342"/>
      <c r="O33" s="2"/>
      <c r="Q33" s="3" t="str">
        <f>+IFERROR(IF(VLOOKUP(G33,base!$A$26:$C$40,3,FALSE)=F31,1,0),"")</f>
        <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1716</v>
      </c>
      <c r="G35" s="340" t="s">
        <v>1592</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1328</v>
      </c>
      <c r="G45" s="340" t="s">
        <v>991</v>
      </c>
      <c r="H45" s="341"/>
      <c r="I45" s="341"/>
      <c r="J45" s="341"/>
      <c r="K45" s="341"/>
      <c r="L45" s="341"/>
      <c r="M45" s="342"/>
      <c r="O45" s="2"/>
      <c r="Q45" s="3" t="str">
        <f>+IFERROR(VLOOKUP(G45,base!$A$41:$C$45,3,FALSE),"")</f>
        <v>financiera</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1628</v>
      </c>
      <c r="G47" s="340" t="s">
        <v>1707</v>
      </c>
      <c r="H47" s="341"/>
      <c r="I47" s="341"/>
      <c r="J47" s="341"/>
      <c r="K47" s="341"/>
      <c r="L47" s="341"/>
      <c r="M47" s="342"/>
      <c r="O47" s="2"/>
      <c r="Q47" s="3">
        <f>+IF(VLOOKUP(G47,base!$A$46:$C$66,3,FALSE)=F45,1,0)</f>
        <v>1</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920</v>
      </c>
      <c r="G49" s="340" t="s">
        <v>899</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31"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 customHeight="1" x14ac:dyDescent="0.25">
      <c r="B59" s="2"/>
      <c r="D59" s="337" t="s">
        <v>34</v>
      </c>
      <c r="E59" s="337"/>
      <c r="F59" s="340" t="s">
        <v>1344</v>
      </c>
      <c r="G59" s="341"/>
      <c r="H59" s="341"/>
      <c r="I59" s="341"/>
      <c r="J59" s="341"/>
      <c r="K59" s="341"/>
      <c r="L59" s="341"/>
      <c r="M59" s="342"/>
      <c r="O59" s="2"/>
    </row>
    <row r="60" spans="2:15" ht="39" customHeight="1" x14ac:dyDescent="0.25">
      <c r="B60" s="2"/>
      <c r="D60" s="359" t="s">
        <v>35</v>
      </c>
      <c r="E60" s="359"/>
      <c r="F60" s="340" t="s">
        <v>1345</v>
      </c>
      <c r="G60" s="341"/>
      <c r="H60" s="341"/>
      <c r="I60" s="341"/>
      <c r="J60" s="341"/>
      <c r="K60" s="341"/>
      <c r="L60" s="341"/>
      <c r="M60" s="342"/>
      <c r="O60" s="2"/>
    </row>
    <row r="61" spans="2:15" ht="39" customHeight="1" x14ac:dyDescent="0.25">
      <c r="B61" s="2"/>
      <c r="D61" s="359" t="s">
        <v>36</v>
      </c>
      <c r="E61" s="359"/>
      <c r="F61" s="340" t="s">
        <v>1346</v>
      </c>
      <c r="G61" s="341"/>
      <c r="H61" s="341"/>
      <c r="I61" s="341"/>
      <c r="J61" s="341"/>
      <c r="K61" s="341"/>
      <c r="L61" s="341"/>
      <c r="M61" s="342"/>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12</v>
      </c>
    </row>
    <row r="70" spans="2:37" ht="3.95" customHeight="1" x14ac:dyDescent="0.25">
      <c r="B70" s="2"/>
      <c r="D70" s="7"/>
      <c r="E70" s="7"/>
      <c r="O70" s="2"/>
    </row>
    <row r="71" spans="2:37" ht="18.75" customHeight="1" x14ac:dyDescent="0.25">
      <c r="B71" s="2"/>
      <c r="D71" s="343" t="s">
        <v>39</v>
      </c>
      <c r="E71" s="343"/>
      <c r="F71" s="4" t="s">
        <v>58</v>
      </c>
      <c r="G71" s="3" t="s">
        <v>500</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52</v>
      </c>
      <c r="G74" s="15" t="s">
        <v>670</v>
      </c>
      <c r="H74" s="15" t="s">
        <v>52</v>
      </c>
      <c r="I74" s="15" t="s">
        <v>670</v>
      </c>
      <c r="J74" s="15" t="s">
        <v>52</v>
      </c>
      <c r="K74" s="15" t="s">
        <v>670</v>
      </c>
      <c r="L74" s="15" t="s">
        <v>52</v>
      </c>
      <c r="M74" s="15" t="s">
        <v>670</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60" t="s">
        <v>50</v>
      </c>
      <c r="E80" s="360"/>
      <c r="F80" s="16" t="s">
        <v>500</v>
      </c>
      <c r="G80" s="16" t="s">
        <v>500</v>
      </c>
      <c r="H80" s="16" t="s">
        <v>500</v>
      </c>
      <c r="I80" s="16" t="s">
        <v>500</v>
      </c>
      <c r="J80" s="16" t="s">
        <v>500</v>
      </c>
      <c r="K80" s="16" t="s">
        <v>500</v>
      </c>
      <c r="L80" s="16" t="s">
        <v>500</v>
      </c>
      <c r="M80" s="16" t="s">
        <v>500</v>
      </c>
      <c r="O80" s="2"/>
      <c r="AE80" s="3" t="s">
        <v>50</v>
      </c>
      <c r="AF80" s="3">
        <v>6</v>
      </c>
      <c r="AG80" s="3">
        <f t="shared" si="0"/>
        <v>0</v>
      </c>
      <c r="AH80" s="3">
        <f>+IF(AG80=0,0,IF(AG80=1,(SUM($AG$75:AG80)-1),1))</f>
        <v>0</v>
      </c>
      <c r="AI80" s="3">
        <f t="shared" si="1"/>
        <v>0</v>
      </c>
      <c r="AJ80" s="3">
        <f t="shared" si="2"/>
        <v>0</v>
      </c>
      <c r="AK80" s="3">
        <f t="shared" si="3"/>
        <v>0</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0</v>
      </c>
      <c r="AH81" s="3">
        <f>+IF(AG81=0,0,IF(AG81=1,(SUM($AG$75:AG81)-1),1))</f>
        <v>0</v>
      </c>
      <c r="AI81" s="3">
        <f t="shared" si="1"/>
        <v>0</v>
      </c>
      <c r="AJ81" s="3">
        <f t="shared" si="2"/>
        <v>0</v>
      </c>
      <c r="AK81" s="3">
        <f t="shared" si="3"/>
        <v>0</v>
      </c>
    </row>
    <row r="82" spans="2:37" x14ac:dyDescent="0.25">
      <c r="B82" s="2"/>
      <c r="D82" s="360" t="s">
        <v>54</v>
      </c>
      <c r="E82" s="360"/>
      <c r="F82" s="16" t="s">
        <v>500</v>
      </c>
      <c r="G82" s="16" t="s">
        <v>500</v>
      </c>
      <c r="H82" s="16" t="s">
        <v>500</v>
      </c>
      <c r="I82" s="16" t="s">
        <v>500</v>
      </c>
      <c r="J82" s="16" t="s">
        <v>500</v>
      </c>
      <c r="K82" s="16" t="s">
        <v>500</v>
      </c>
      <c r="L82" s="16" t="s">
        <v>500</v>
      </c>
      <c r="M82" s="16" t="s">
        <v>500</v>
      </c>
      <c r="O82" s="2"/>
      <c r="AE82" s="3" t="s">
        <v>54</v>
      </c>
      <c r="AF82" s="3">
        <v>8</v>
      </c>
      <c r="AG82" s="3">
        <f t="shared" si="0"/>
        <v>0</v>
      </c>
      <c r="AH82" s="3">
        <f>+IF(AG82=0,0,IF(AG82=1,(SUM($AG$75:AG82)-1),1))</f>
        <v>0</v>
      </c>
      <c r="AI82" s="3">
        <f t="shared" si="1"/>
        <v>0</v>
      </c>
      <c r="AJ82" s="3">
        <f t="shared" si="2"/>
        <v>0</v>
      </c>
      <c r="AK82" s="3">
        <f t="shared" si="3"/>
        <v>0</v>
      </c>
    </row>
    <row r="83" spans="2:37" x14ac:dyDescent="0.25">
      <c r="B83" s="2"/>
      <c r="D83" s="360" t="s">
        <v>55</v>
      </c>
      <c r="E83" s="360"/>
      <c r="F83" s="16" t="s">
        <v>500</v>
      </c>
      <c r="G83" s="16" t="s">
        <v>500</v>
      </c>
      <c r="H83" s="16" t="s">
        <v>500</v>
      </c>
      <c r="I83" s="16" t="s">
        <v>500</v>
      </c>
      <c r="J83" s="16" t="s">
        <v>500</v>
      </c>
      <c r="K83" s="16" t="s">
        <v>500</v>
      </c>
      <c r="L83" s="16" t="s">
        <v>500</v>
      </c>
      <c r="M83" s="16" t="s">
        <v>500</v>
      </c>
      <c r="O83" s="2"/>
      <c r="AE83" s="3" t="s">
        <v>55</v>
      </c>
      <c r="AF83" s="3">
        <v>9</v>
      </c>
      <c r="AG83" s="3">
        <f t="shared" si="0"/>
        <v>0</v>
      </c>
      <c r="AH83" s="3">
        <f>+IF(AG83=0,0,IF(AG83=1,(SUM($AG$75:AG83)-1),1))</f>
        <v>0</v>
      </c>
      <c r="AI83" s="3">
        <f t="shared" si="1"/>
        <v>0</v>
      </c>
      <c r="AJ83" s="3">
        <f t="shared" si="2"/>
        <v>0</v>
      </c>
      <c r="AK83" s="3">
        <f t="shared" si="3"/>
        <v>0</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0</v>
      </c>
      <c r="AH84" s="3">
        <f>+IF(AG84=0,0,IF(AG84=1,(SUM($AG$75:AG84)-1),1))</f>
        <v>0</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0</v>
      </c>
      <c r="AH85" s="3">
        <f>+IF(AG85=0,0,IF(AG85=1,(SUM($AG$75:AG85)-1),1))</f>
        <v>0</v>
      </c>
      <c r="AI85" s="3">
        <f t="shared" si="1"/>
        <v>0</v>
      </c>
      <c r="AJ85" s="3">
        <f t="shared" si="2"/>
        <v>0</v>
      </c>
      <c r="AK85" s="3">
        <f t="shared" si="3"/>
        <v>0</v>
      </c>
    </row>
    <row r="86" spans="2:37" x14ac:dyDescent="0.25">
      <c r="B86" s="2"/>
      <c r="D86" s="360" t="s">
        <v>58</v>
      </c>
      <c r="E86" s="360"/>
      <c r="F86" s="16" t="s">
        <v>500</v>
      </c>
      <c r="G86" s="16">
        <v>1</v>
      </c>
      <c r="H86" s="16">
        <v>0.999</v>
      </c>
      <c r="I86" s="16">
        <v>0.94</v>
      </c>
      <c r="J86" s="16">
        <v>0.93899999999999995</v>
      </c>
      <c r="K86" s="16">
        <v>0.90100000000000002</v>
      </c>
      <c r="L86" s="16">
        <v>0.9</v>
      </c>
      <c r="M86" s="16" t="s">
        <v>500</v>
      </c>
      <c r="O86" s="2"/>
      <c r="AE86" s="3" t="s">
        <v>58</v>
      </c>
      <c r="AF86" s="65">
        <v>12</v>
      </c>
      <c r="AG86" s="3">
        <f t="shared" si="0"/>
        <v>0</v>
      </c>
      <c r="AH86" s="3">
        <f>+IF(AG86=0,0,IF(AG86=1,(SUM($AG$75:AG86)-1),1))</f>
        <v>0</v>
      </c>
      <c r="AI86" s="3">
        <f t="shared" si="1"/>
        <v>0</v>
      </c>
      <c r="AJ86" s="3">
        <f t="shared" si="2"/>
        <v>1</v>
      </c>
      <c r="AK86" s="3">
        <f t="shared" si="3"/>
        <v>1</v>
      </c>
    </row>
    <row r="87" spans="2:37" ht="3.75" customHeight="1" x14ac:dyDescent="0.25">
      <c r="B87" s="2"/>
      <c r="O87" s="2"/>
    </row>
    <row r="88" spans="2:37" ht="66" customHeight="1" x14ac:dyDescent="0.25">
      <c r="B88" s="2"/>
      <c r="D88" s="338" t="s">
        <v>59</v>
      </c>
      <c r="E88" s="339"/>
      <c r="F88" s="340"/>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2.75" customHeight="1" x14ac:dyDescent="0.25">
      <c r="B97" s="2"/>
      <c r="D97" s="359" t="s">
        <v>35</v>
      </c>
      <c r="E97" s="359"/>
      <c r="F97" s="344" t="s">
        <v>1858</v>
      </c>
      <c r="G97" s="344"/>
      <c r="H97" s="344"/>
      <c r="I97" s="344"/>
      <c r="J97" s="344"/>
      <c r="K97" s="344"/>
      <c r="L97" s="344"/>
      <c r="M97" s="344"/>
      <c r="O97" s="2"/>
    </row>
    <row r="98" spans="2:15" ht="42.75" customHeight="1" x14ac:dyDescent="0.25">
      <c r="B98" s="2"/>
      <c r="D98" s="359" t="s">
        <v>36</v>
      </c>
      <c r="E98" s="359"/>
      <c r="F98" s="344" t="s">
        <v>1859</v>
      </c>
      <c r="G98" s="344"/>
      <c r="H98" s="344"/>
      <c r="I98" s="344"/>
      <c r="J98" s="344"/>
      <c r="K98" s="344"/>
      <c r="L98" s="344"/>
      <c r="M98" s="344"/>
      <c r="O98" s="2"/>
    </row>
    <row r="99" spans="2:15" ht="3.95" customHeight="1" x14ac:dyDescent="0.25">
      <c r="B99" s="2"/>
      <c r="O99" s="2"/>
    </row>
    <row r="100" spans="2:15" ht="58.5" customHeight="1" x14ac:dyDescent="0.25">
      <c r="B100" s="2"/>
      <c r="D100" s="338" t="s">
        <v>62</v>
      </c>
      <c r="E100" s="339"/>
      <c r="F100" s="333"/>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2</v>
      </c>
      <c r="K102" s="20"/>
      <c r="O102" s="2"/>
    </row>
    <row r="103" spans="2:15" ht="19.5" customHeight="1" x14ac:dyDescent="0.25">
      <c r="B103" s="2"/>
      <c r="D103" s="331"/>
      <c r="E103" s="332"/>
      <c r="F103" s="19" t="s">
        <v>66</v>
      </c>
      <c r="G103" s="4"/>
      <c r="K103" s="21"/>
      <c r="O103" s="2"/>
    </row>
    <row r="104" spans="2:15" ht="27.75" customHeight="1" x14ac:dyDescent="0.25">
      <c r="B104" s="2"/>
      <c r="D104" s="331"/>
      <c r="E104" s="332"/>
      <c r="F104" s="19" t="s">
        <v>67</v>
      </c>
      <c r="G104" s="333"/>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Subdirector(a) Programación</v>
      </c>
      <c r="H108" s="334"/>
      <c r="I108" s="334"/>
      <c r="J108" s="334"/>
      <c r="K108" s="334"/>
      <c r="L108" s="334"/>
      <c r="M108" s="335"/>
      <c r="O108" s="2"/>
    </row>
    <row r="109" spans="2:15" ht="17.25" customHeight="1" x14ac:dyDescent="0.25">
      <c r="B109" s="2"/>
      <c r="D109" s="331"/>
      <c r="E109" s="332"/>
      <c r="F109" s="19" t="s">
        <v>2042</v>
      </c>
      <c r="G109" s="333" t="str">
        <f>+IF(M23="Si","Coordinador(a) Planeación y Sistemas","")</f>
        <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6 F48:M49">
    <cfRule type="expression" dxfId="630" priority="33">
      <formula>+IF($F$43="no",1,0)</formula>
    </cfRule>
  </conditionalFormatting>
  <conditionalFormatting sqref="F32:M33">
    <cfRule type="expression" dxfId="629" priority="32">
      <formula>+IF($Q$30="NA",1,0)</formula>
    </cfRule>
  </conditionalFormatting>
  <conditionalFormatting sqref="F33:M33">
    <cfRule type="expression" dxfId="628" priority="31">
      <formula>+IF($Q$33=0,1,0)</formula>
    </cfRule>
  </conditionalFormatting>
  <conditionalFormatting sqref="F73:G73">
    <cfRule type="cellIs" dxfId="627" priority="16" operator="equal">
      <formula>"optimo"</formula>
    </cfRule>
    <cfRule type="cellIs" dxfId="626" priority="17" operator="equal">
      <formula>"critico"</formula>
    </cfRule>
  </conditionalFormatting>
  <conditionalFormatting sqref="H73:I73">
    <cfRule type="cellIs" dxfId="625" priority="14" operator="equal">
      <formula>"Adecuado"</formula>
    </cfRule>
    <cfRule type="cellIs" dxfId="624" priority="15" operator="equal">
      <formula>"en riesgo"</formula>
    </cfRule>
  </conditionalFormatting>
  <conditionalFormatting sqref="J73:K73">
    <cfRule type="cellIs" dxfId="623" priority="12" operator="equal">
      <formula>"Adecuado"</formula>
    </cfRule>
    <cfRule type="cellIs" dxfId="622" priority="13" operator="equal">
      <formula>"en riesgo"</formula>
    </cfRule>
  </conditionalFormatting>
  <conditionalFormatting sqref="L73:M73">
    <cfRule type="cellIs" dxfId="621" priority="10" operator="equal">
      <formula>"optimo"</formula>
    </cfRule>
    <cfRule type="cellIs" dxfId="620" priority="11" operator="equal">
      <formula>"critico"</formula>
    </cfRule>
  </conditionalFormatting>
  <conditionalFormatting sqref="F75:M86">
    <cfRule type="expression" dxfId="619" priority="9">
      <formula>+IF($AK75=0,1)</formula>
    </cfRule>
  </conditionalFormatting>
  <conditionalFormatting sqref="F103:G104">
    <cfRule type="expression" dxfId="618" priority="8">
      <formula>+IF($G$102="No",1,0)</formula>
    </cfRule>
  </conditionalFormatting>
  <conditionalFormatting sqref="F51">
    <cfRule type="expression" dxfId="617" priority="7">
      <formula>+IF($F$43="no",1,0)</formula>
    </cfRule>
  </conditionalFormatting>
  <conditionalFormatting sqref="I51">
    <cfRule type="expression" dxfId="616" priority="6">
      <formula>+IF($F$51="no",1,0)</formula>
    </cfRule>
  </conditionalFormatting>
  <conditionalFormatting sqref="F47:M47">
    <cfRule type="expression" dxfId="615" priority="5">
      <formula>+IF($F$43="no",1,0)</formula>
    </cfRule>
  </conditionalFormatting>
  <conditionalFormatting sqref="F47:M47">
    <cfRule type="expression" dxfId="614" priority="4">
      <formula>+IF($Q$47=0,1,0)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8">
    <tabColor rgb="FF0070C0"/>
  </sheetPr>
  <dimension ref="B1:AV113"/>
  <sheetViews>
    <sheetView topLeftCell="A46" zoomScale="90" zoomScaleNormal="90" workbookViewId="0">
      <selection activeCell="F108" sqref="F108:M11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11.42578125"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421</v>
      </c>
      <c r="O10" s="2"/>
    </row>
    <row r="11" spans="2:24" ht="3.95" customHeight="1" x14ac:dyDescent="0.25">
      <c r="B11" s="2"/>
      <c r="D11" s="6"/>
      <c r="O11" s="2"/>
    </row>
    <row r="12" spans="2:24" ht="36" customHeight="1" x14ac:dyDescent="0.25">
      <c r="B12" s="2"/>
      <c r="D12" s="338" t="s">
        <v>5</v>
      </c>
      <c r="E12" s="339"/>
      <c r="F12" s="340" t="s">
        <v>422</v>
      </c>
      <c r="G12" s="341"/>
      <c r="H12" s="341"/>
      <c r="I12" s="341"/>
      <c r="J12" s="341"/>
      <c r="K12" s="341"/>
      <c r="L12" s="341"/>
      <c r="M12" s="342"/>
      <c r="O12" s="2"/>
      <c r="W12" s="3" t="str">
        <f>+F23</f>
        <v>Trimestral</v>
      </c>
      <c r="X12" s="3" t="str">
        <f>+F71</f>
        <v>Marzo</v>
      </c>
    </row>
    <row r="13" spans="2:24" ht="3.95" customHeight="1" x14ac:dyDescent="0.25">
      <c r="B13" s="2"/>
      <c r="O13" s="2"/>
    </row>
    <row r="14" spans="2:24" ht="38.25" customHeight="1" x14ac:dyDescent="0.25">
      <c r="B14" s="2"/>
      <c r="D14" s="338" t="s">
        <v>6</v>
      </c>
      <c r="E14" s="339"/>
      <c r="F14" s="340" t="s">
        <v>1339</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8.75" customHeight="1" x14ac:dyDescent="0.25">
      <c r="B22" s="2"/>
      <c r="D22" s="337" t="s">
        <v>8</v>
      </c>
      <c r="E22" s="337"/>
      <c r="F22" s="17" t="s">
        <v>512</v>
      </c>
      <c r="G22" s="337" t="s">
        <v>9</v>
      </c>
      <c r="H22" s="337"/>
      <c r="I22" s="17">
        <v>0.15</v>
      </c>
      <c r="K22" s="337" t="s">
        <v>10</v>
      </c>
      <c r="L22" s="337"/>
      <c r="M22" s="9" t="s">
        <v>496</v>
      </c>
      <c r="O22" s="2"/>
    </row>
    <row r="23" spans="2:17" ht="19.5" customHeight="1" x14ac:dyDescent="0.25">
      <c r="B23" s="2"/>
      <c r="D23" s="337" t="s">
        <v>11</v>
      </c>
      <c r="E23" s="337"/>
      <c r="F23" s="4" t="s">
        <v>71</v>
      </c>
      <c r="G23" s="337" t="s">
        <v>12</v>
      </c>
      <c r="H23" s="337"/>
      <c r="I23" s="4" t="s">
        <v>497</v>
      </c>
      <c r="K23" s="337" t="s">
        <v>13</v>
      </c>
      <c r="L23" s="337"/>
      <c r="M23" s="9" t="s">
        <v>2</v>
      </c>
      <c r="O23" s="2"/>
    </row>
    <row r="24" spans="2:17" ht="20.100000000000001" customHeight="1" x14ac:dyDescent="0.25">
      <c r="B24" s="2"/>
      <c r="D24" s="337" t="s">
        <v>14</v>
      </c>
      <c r="E24" s="337"/>
      <c r="F24" s="4" t="s">
        <v>81</v>
      </c>
      <c r="G24" s="337" t="s">
        <v>15</v>
      </c>
      <c r="H24" s="337"/>
      <c r="I24" s="4" t="s">
        <v>103</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NA</v>
      </c>
    </row>
    <row r="31" spans="2:17" ht="24" customHeight="1" x14ac:dyDescent="0.25">
      <c r="B31" s="2"/>
      <c r="D31" s="347"/>
      <c r="E31" s="348"/>
      <c r="F31" s="4" t="s">
        <v>411</v>
      </c>
      <c r="G31" s="340" t="s">
        <v>412</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1025</v>
      </c>
      <c r="G33" s="340"/>
      <c r="H33" s="341"/>
      <c r="I33" s="341"/>
      <c r="J33" s="341"/>
      <c r="K33" s="341"/>
      <c r="L33" s="341"/>
      <c r="M33" s="342"/>
      <c r="O33" s="2"/>
      <c r="Q33" s="3" t="str">
        <f>+IFERROR(IF(VLOOKUP(G33,base!$A$26:$C$40,3,FALSE)=F31,1,0),"")</f>
        <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1716</v>
      </c>
      <c r="G35" s="340" t="s">
        <v>1592</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1328</v>
      </c>
      <c r="G45" s="340" t="s">
        <v>991</v>
      </c>
      <c r="H45" s="341"/>
      <c r="I45" s="341"/>
      <c r="J45" s="341"/>
      <c r="K45" s="341"/>
      <c r="L45" s="341"/>
      <c r="M45" s="342"/>
      <c r="O45" s="2"/>
      <c r="Q45" s="3" t="str">
        <f>+IFERROR(VLOOKUP(G45,base!$A$41:$C$45,3,FALSE),"")</f>
        <v>financiera</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1629</v>
      </c>
      <c r="G47" s="340" t="s">
        <v>1619</v>
      </c>
      <c r="H47" s="341"/>
      <c r="I47" s="341"/>
      <c r="J47" s="341"/>
      <c r="K47" s="341"/>
      <c r="L47" s="341"/>
      <c r="M47" s="342"/>
      <c r="O47" s="2"/>
      <c r="Q47" s="3">
        <f>+IF(VLOOKUP(G47,base!$A$46:$C$66,3,FALSE)=F45,1,0)</f>
        <v>1</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920</v>
      </c>
      <c r="G49" s="340" t="s">
        <v>899</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31"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49.5" customHeight="1" x14ac:dyDescent="0.25">
      <c r="B59" s="2"/>
      <c r="D59" s="337" t="s">
        <v>34</v>
      </c>
      <c r="E59" s="337"/>
      <c r="F59" s="344" t="s">
        <v>1340</v>
      </c>
      <c r="G59" s="344"/>
      <c r="H59" s="344"/>
      <c r="I59" s="344"/>
      <c r="J59" s="344"/>
      <c r="K59" s="344"/>
      <c r="L59" s="344"/>
      <c r="M59" s="344"/>
      <c r="O59" s="2"/>
    </row>
    <row r="60" spans="2:15" ht="49.5" customHeight="1" x14ac:dyDescent="0.25">
      <c r="B60" s="2"/>
      <c r="D60" s="359" t="s">
        <v>35</v>
      </c>
      <c r="E60" s="359"/>
      <c r="F60" s="344" t="s">
        <v>1341</v>
      </c>
      <c r="G60" s="344"/>
      <c r="H60" s="344"/>
      <c r="I60" s="344"/>
      <c r="J60" s="344"/>
      <c r="K60" s="344"/>
      <c r="L60" s="344"/>
      <c r="M60" s="344"/>
      <c r="O60" s="2"/>
    </row>
    <row r="61" spans="2:15" ht="49.5" customHeight="1" x14ac:dyDescent="0.25">
      <c r="B61" s="2"/>
      <c r="D61" s="359" t="s">
        <v>36</v>
      </c>
      <c r="E61" s="359"/>
      <c r="F61" s="340" t="s">
        <v>1342</v>
      </c>
      <c r="G61" s="341"/>
      <c r="H61" s="341"/>
      <c r="I61" s="341"/>
      <c r="J61" s="341"/>
      <c r="K61" s="341"/>
      <c r="L61" s="341"/>
      <c r="M61" s="342"/>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43" t="s">
        <v>39</v>
      </c>
      <c r="E71" s="343"/>
      <c r="F71" s="4" t="s">
        <v>47</v>
      </c>
      <c r="G71" s="3" t="s">
        <v>500</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52</v>
      </c>
      <c r="G74" s="15" t="s">
        <v>670</v>
      </c>
      <c r="H74" s="15" t="s">
        <v>52</v>
      </c>
      <c r="I74" s="15" t="s">
        <v>670</v>
      </c>
      <c r="J74" s="15" t="s">
        <v>52</v>
      </c>
      <c r="K74" s="15" t="s">
        <v>670</v>
      </c>
      <c r="L74" s="15" t="s">
        <v>52</v>
      </c>
      <c r="M74" s="15" t="s">
        <v>670</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+IF(AE75&gt;=$G$71,1,0)</f>
        <v>1</v>
      </c>
      <c r="AH75" s="3">
        <v>1</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+IF(AE76&gt;=$G$71,1,0)</f>
        <v>1</v>
      </c>
      <c r="AH76" s="3">
        <v>2</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v>0.96</v>
      </c>
      <c r="H77" s="16">
        <v>0.95899999999999996</v>
      </c>
      <c r="I77" s="16">
        <v>0.9</v>
      </c>
      <c r="J77" s="16">
        <v>0.89900000000000002</v>
      </c>
      <c r="K77" s="16">
        <v>0.85099999999999998</v>
      </c>
      <c r="L77" s="16">
        <v>0.85</v>
      </c>
      <c r="M77" s="16" t="s">
        <v>500</v>
      </c>
      <c r="O77" s="2"/>
      <c r="AE77" s="3" t="s">
        <v>47</v>
      </c>
      <c r="AF77" s="3">
        <v>3</v>
      </c>
      <c r="AG77" s="3">
        <f t="shared" si="0"/>
        <v>1</v>
      </c>
      <c r="AH77" s="3">
        <v>3</v>
      </c>
      <c r="AI77" s="3">
        <f t="shared" si="1"/>
        <v>1</v>
      </c>
      <c r="AJ77" s="3">
        <f t="shared" si="2"/>
        <v>1</v>
      </c>
      <c r="AK77" s="3">
        <f t="shared" si="3"/>
        <v>1</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1</v>
      </c>
      <c r="AH78" s="3">
        <v>4</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1</v>
      </c>
      <c r="AH79" s="3">
        <v>5</v>
      </c>
      <c r="AI79" s="3">
        <f t="shared" si="1"/>
        <v>0</v>
      </c>
      <c r="AJ79" s="3">
        <f t="shared" si="2"/>
        <v>0</v>
      </c>
      <c r="AK79" s="3">
        <f t="shared" si="3"/>
        <v>0</v>
      </c>
    </row>
    <row r="80" spans="2:37" x14ac:dyDescent="0.25">
      <c r="B80" s="2"/>
      <c r="D80" s="360" t="s">
        <v>50</v>
      </c>
      <c r="E80" s="360"/>
      <c r="F80" s="16" t="s">
        <v>500</v>
      </c>
      <c r="G80" s="16">
        <v>0.96</v>
      </c>
      <c r="H80" s="16">
        <v>0.95899999999999996</v>
      </c>
      <c r="I80" s="16">
        <v>0.9</v>
      </c>
      <c r="J80" s="16">
        <v>0.89900000000000002</v>
      </c>
      <c r="K80" s="16">
        <v>0.85099999999999998</v>
      </c>
      <c r="L80" s="16">
        <v>0.85</v>
      </c>
      <c r="M80" s="16" t="s">
        <v>500</v>
      </c>
      <c r="O80" s="2"/>
      <c r="AE80" s="3" t="s">
        <v>50</v>
      </c>
      <c r="AF80" s="3">
        <v>6</v>
      </c>
      <c r="AG80" s="3">
        <f t="shared" si="0"/>
        <v>1</v>
      </c>
      <c r="AH80" s="3">
        <v>6</v>
      </c>
      <c r="AI80" s="3">
        <f t="shared" si="1"/>
        <v>1</v>
      </c>
      <c r="AJ80" s="3">
        <f t="shared" si="2"/>
        <v>0</v>
      </c>
      <c r="AK80" s="3">
        <f t="shared" si="3"/>
        <v>1</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1</v>
      </c>
      <c r="AH81" s="3">
        <v>7</v>
      </c>
      <c r="AI81" s="3">
        <f t="shared" si="1"/>
        <v>0</v>
      </c>
      <c r="AJ81" s="3">
        <f t="shared" si="2"/>
        <v>0</v>
      </c>
      <c r="AK81" s="3">
        <f t="shared" si="3"/>
        <v>0</v>
      </c>
    </row>
    <row r="82" spans="2:37" x14ac:dyDescent="0.25">
      <c r="B82" s="2"/>
      <c r="D82" s="360" t="s">
        <v>54</v>
      </c>
      <c r="E82" s="360"/>
      <c r="F82" s="16" t="s">
        <v>500</v>
      </c>
      <c r="G82" s="16" t="s">
        <v>500</v>
      </c>
      <c r="H82" s="16" t="s">
        <v>500</v>
      </c>
      <c r="I82" s="16" t="s">
        <v>500</v>
      </c>
      <c r="J82" s="16" t="s">
        <v>500</v>
      </c>
      <c r="K82" s="16" t="s">
        <v>500</v>
      </c>
      <c r="L82" s="16" t="s">
        <v>500</v>
      </c>
      <c r="M82" s="16" t="s">
        <v>500</v>
      </c>
      <c r="O82" s="2"/>
      <c r="AE82" s="3" t="s">
        <v>54</v>
      </c>
      <c r="AF82" s="3">
        <v>8</v>
      </c>
      <c r="AG82" s="3">
        <f t="shared" si="0"/>
        <v>1</v>
      </c>
      <c r="AH82" s="3">
        <v>8</v>
      </c>
      <c r="AI82" s="3">
        <f t="shared" si="1"/>
        <v>0</v>
      </c>
      <c r="AJ82" s="3">
        <f t="shared" si="2"/>
        <v>0</v>
      </c>
      <c r="AK82" s="3">
        <f t="shared" si="3"/>
        <v>0</v>
      </c>
    </row>
    <row r="83" spans="2:37" x14ac:dyDescent="0.25">
      <c r="B83" s="2"/>
      <c r="D83" s="360" t="s">
        <v>55</v>
      </c>
      <c r="E83" s="360"/>
      <c r="F83" s="16" t="s">
        <v>500</v>
      </c>
      <c r="G83" s="16">
        <v>0.96</v>
      </c>
      <c r="H83" s="16">
        <v>0.95899999999999996</v>
      </c>
      <c r="I83" s="16">
        <v>0.9</v>
      </c>
      <c r="J83" s="16">
        <v>0.89900000000000002</v>
      </c>
      <c r="K83" s="16">
        <v>0.85099999999999998</v>
      </c>
      <c r="L83" s="16">
        <v>0.85</v>
      </c>
      <c r="M83" s="16" t="s">
        <v>500</v>
      </c>
      <c r="O83" s="2"/>
      <c r="AE83" s="3" t="s">
        <v>55</v>
      </c>
      <c r="AF83" s="3">
        <v>9</v>
      </c>
      <c r="AG83" s="3">
        <f t="shared" si="0"/>
        <v>1</v>
      </c>
      <c r="AH83" s="3">
        <v>9</v>
      </c>
      <c r="AI83" s="3">
        <f t="shared" si="1"/>
        <v>1</v>
      </c>
      <c r="AJ83" s="3">
        <f t="shared" si="2"/>
        <v>0</v>
      </c>
      <c r="AK83" s="3">
        <f t="shared" si="3"/>
        <v>1</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1</v>
      </c>
      <c r="AH84" s="3">
        <v>10</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v>11</v>
      </c>
      <c r="AI85" s="3">
        <f t="shared" si="1"/>
        <v>0</v>
      </c>
      <c r="AJ85" s="3">
        <f t="shared" si="2"/>
        <v>0</v>
      </c>
      <c r="AK85" s="3">
        <f t="shared" si="3"/>
        <v>0</v>
      </c>
    </row>
    <row r="86" spans="2:37" x14ac:dyDescent="0.25">
      <c r="B86" s="2"/>
      <c r="D86" s="360" t="s">
        <v>58</v>
      </c>
      <c r="E86" s="360"/>
      <c r="F86" s="16" t="s">
        <v>500</v>
      </c>
      <c r="G86" s="16">
        <v>0.96</v>
      </c>
      <c r="H86" s="16">
        <v>0.95899999999999996</v>
      </c>
      <c r="I86" s="16">
        <v>0.9</v>
      </c>
      <c r="J86" s="16">
        <v>0.89900000000000002</v>
      </c>
      <c r="K86" s="16">
        <v>0.85099999999999998</v>
      </c>
      <c r="L86" s="16">
        <v>0.85</v>
      </c>
      <c r="M86" s="16" t="s">
        <v>500</v>
      </c>
      <c r="O86" s="2"/>
      <c r="AE86" s="3" t="s">
        <v>58</v>
      </c>
      <c r="AF86" s="65">
        <v>12</v>
      </c>
      <c r="AG86" s="3">
        <f t="shared" si="0"/>
        <v>1</v>
      </c>
      <c r="AH86" s="65">
        <v>12</v>
      </c>
      <c r="AI86" s="3">
        <f t="shared" si="1"/>
        <v>1</v>
      </c>
      <c r="AJ86" s="3">
        <f t="shared" si="2"/>
        <v>0</v>
      </c>
      <c r="AK86" s="3">
        <f t="shared" si="3"/>
        <v>1</v>
      </c>
    </row>
    <row r="87" spans="2:37" ht="3.75" customHeight="1" x14ac:dyDescent="0.25">
      <c r="B87" s="2"/>
      <c r="O87" s="2"/>
    </row>
    <row r="88" spans="2:37" ht="66" customHeight="1" x14ac:dyDescent="0.25">
      <c r="B88" s="2"/>
      <c r="D88" s="338" t="s">
        <v>59</v>
      </c>
      <c r="E88" s="339"/>
      <c r="F88" s="425" t="s">
        <v>1860</v>
      </c>
      <c r="G88" s="426"/>
      <c r="H88" s="426"/>
      <c r="I88" s="426"/>
      <c r="J88" s="426"/>
      <c r="K88" s="426"/>
      <c r="L88" s="426"/>
      <c r="M88" s="427"/>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2.75" customHeight="1" x14ac:dyDescent="0.25">
      <c r="B97" s="2"/>
      <c r="D97" s="359" t="s">
        <v>35</v>
      </c>
      <c r="E97" s="359"/>
      <c r="F97" s="344" t="s">
        <v>1861</v>
      </c>
      <c r="G97" s="344"/>
      <c r="H97" s="344"/>
      <c r="I97" s="344"/>
      <c r="J97" s="344"/>
      <c r="K97" s="344"/>
      <c r="L97" s="344"/>
      <c r="M97" s="344"/>
      <c r="O97" s="2"/>
    </row>
    <row r="98" spans="2:15" ht="42.75" customHeight="1" x14ac:dyDescent="0.25">
      <c r="B98" s="2"/>
      <c r="D98" s="359" t="s">
        <v>36</v>
      </c>
      <c r="E98" s="359"/>
      <c r="F98" s="344" t="s">
        <v>1862</v>
      </c>
      <c r="G98" s="344"/>
      <c r="H98" s="344"/>
      <c r="I98" s="344"/>
      <c r="J98" s="344"/>
      <c r="K98" s="344"/>
      <c r="L98" s="344"/>
      <c r="M98" s="344"/>
      <c r="O98" s="2"/>
    </row>
    <row r="99" spans="2:15" ht="3.95" customHeight="1" x14ac:dyDescent="0.25">
      <c r="B99" s="2"/>
      <c r="O99" s="2"/>
    </row>
    <row r="100" spans="2:15" ht="58.5" customHeight="1" x14ac:dyDescent="0.25">
      <c r="B100" s="2"/>
      <c r="D100" s="338" t="s">
        <v>62</v>
      </c>
      <c r="E100" s="339"/>
      <c r="F100" s="333"/>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496</v>
      </c>
      <c r="K102" s="20"/>
      <c r="O102" s="2"/>
    </row>
    <row r="103" spans="2:15" ht="19.5" customHeight="1" x14ac:dyDescent="0.25">
      <c r="B103" s="2"/>
      <c r="D103" s="331"/>
      <c r="E103" s="332"/>
      <c r="F103" s="19" t="s">
        <v>66</v>
      </c>
      <c r="G103" s="4" t="s">
        <v>1864</v>
      </c>
      <c r="K103" s="21"/>
      <c r="O103" s="2"/>
    </row>
    <row r="104" spans="2:15" ht="27.75" customHeight="1" x14ac:dyDescent="0.25">
      <c r="B104" s="2"/>
      <c r="D104" s="331"/>
      <c r="E104" s="332"/>
      <c r="F104" s="19" t="s">
        <v>67</v>
      </c>
      <c r="G104" s="333" t="s">
        <v>1863</v>
      </c>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Subdirector(a) Programación</v>
      </c>
      <c r="H108" s="334"/>
      <c r="I108" s="334"/>
      <c r="J108" s="334"/>
      <c r="K108" s="334"/>
      <c r="L108" s="334"/>
      <c r="M108" s="335"/>
      <c r="O108" s="2"/>
    </row>
    <row r="109" spans="2:15" ht="17.25" customHeight="1" x14ac:dyDescent="0.25">
      <c r="B109" s="2"/>
      <c r="D109" s="331"/>
      <c r="E109" s="332"/>
      <c r="F109" s="19" t="s">
        <v>2042</v>
      </c>
      <c r="G109" s="333" t="str">
        <f>+IF(M23="Si","Coordinador(a) Planeación y Sistemas","")</f>
        <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613" priority="31">
      <formula>+IF($F$43="no",1,0)</formula>
    </cfRule>
  </conditionalFormatting>
  <conditionalFormatting sqref="F32:M33">
    <cfRule type="expression" dxfId="612" priority="30">
      <formula>+IF($Q$30="NA",1,0)</formula>
    </cfRule>
  </conditionalFormatting>
  <conditionalFormatting sqref="F33:M33">
    <cfRule type="expression" dxfId="611" priority="29">
      <formula>+IF($Q$33=0,1,0)</formula>
    </cfRule>
  </conditionalFormatting>
  <conditionalFormatting sqref="F47:M47">
    <cfRule type="expression" dxfId="610" priority="28">
      <formula>+IF($Q$47=0,1,0)</formula>
    </cfRule>
  </conditionalFormatting>
  <conditionalFormatting sqref="F73:G73">
    <cfRule type="cellIs" dxfId="609" priority="14" operator="equal">
      <formula>"optimo"</formula>
    </cfRule>
    <cfRule type="cellIs" dxfId="608" priority="15" operator="equal">
      <formula>"critico"</formula>
    </cfRule>
  </conditionalFormatting>
  <conditionalFormatting sqref="H73:I73">
    <cfRule type="cellIs" dxfId="607" priority="12" operator="equal">
      <formula>"Adecuado"</formula>
    </cfRule>
    <cfRule type="cellIs" dxfId="606" priority="13" operator="equal">
      <formula>"en riesgo"</formula>
    </cfRule>
  </conditionalFormatting>
  <conditionalFormatting sqref="J73:K73">
    <cfRule type="cellIs" dxfId="605" priority="10" operator="equal">
      <formula>"Adecuado"</formula>
    </cfRule>
    <cfRule type="cellIs" dxfId="604" priority="11" operator="equal">
      <formula>"en riesgo"</formula>
    </cfRule>
  </conditionalFormatting>
  <conditionalFormatting sqref="L73:M73">
    <cfRule type="cellIs" dxfId="603" priority="8" operator="equal">
      <formula>"optimo"</formula>
    </cfRule>
    <cfRule type="cellIs" dxfId="602" priority="9" operator="equal">
      <formula>"critico"</formula>
    </cfRule>
  </conditionalFormatting>
  <conditionalFormatting sqref="F75:M86">
    <cfRule type="expression" dxfId="601" priority="7">
      <formula>+IF($AK75=0,1)</formula>
    </cfRule>
  </conditionalFormatting>
  <conditionalFormatting sqref="F103:G104">
    <cfRule type="expression" dxfId="600" priority="6">
      <formula>+IF($G$102="No",1,0)</formula>
    </cfRule>
  </conditionalFormatting>
  <conditionalFormatting sqref="F51">
    <cfRule type="expression" dxfId="599" priority="5">
      <formula>+IF($F$43="no",1,0)</formula>
    </cfRule>
  </conditionalFormatting>
  <conditionalFormatting sqref="I51">
    <cfRule type="expression" dxfId="598"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9">
    <tabColor rgb="FF0070C0"/>
  </sheetPr>
  <dimension ref="B1:AV113"/>
  <sheetViews>
    <sheetView zoomScale="90" zoomScaleNormal="90" workbookViewId="0">
      <selection activeCell="F108" sqref="F108:M11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11.42578125"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423</v>
      </c>
      <c r="O10" s="2"/>
    </row>
    <row r="11" spans="2:24" ht="3.95" customHeight="1" x14ac:dyDescent="0.25">
      <c r="B11" s="2"/>
      <c r="D11" s="6"/>
      <c r="O11" s="2"/>
    </row>
    <row r="12" spans="2:24" ht="36" customHeight="1" x14ac:dyDescent="0.25">
      <c r="B12" s="2"/>
      <c r="D12" s="338" t="s">
        <v>5</v>
      </c>
      <c r="E12" s="339"/>
      <c r="F12" s="340" t="s">
        <v>424</v>
      </c>
      <c r="G12" s="341"/>
      <c r="H12" s="341"/>
      <c r="I12" s="341"/>
      <c r="J12" s="341"/>
      <c r="K12" s="341"/>
      <c r="L12" s="341"/>
      <c r="M12" s="342"/>
      <c r="O12" s="2"/>
      <c r="W12" s="3" t="str">
        <f>+F23</f>
        <v>Trimestral</v>
      </c>
      <c r="X12" s="3" t="str">
        <f>+F71</f>
        <v>Marzo</v>
      </c>
    </row>
    <row r="13" spans="2:24" ht="3.95" customHeight="1" x14ac:dyDescent="0.25">
      <c r="B13" s="2"/>
      <c r="O13" s="2"/>
    </row>
    <row r="14" spans="2:24" ht="38.25" customHeight="1" x14ac:dyDescent="0.25">
      <c r="B14" s="2"/>
      <c r="D14" s="338" t="s">
        <v>6</v>
      </c>
      <c r="E14" s="339"/>
      <c r="F14" s="340" t="s">
        <v>1334</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8.75" customHeight="1" x14ac:dyDescent="0.25">
      <c r="B22" s="2"/>
      <c r="D22" s="337" t="s">
        <v>8</v>
      </c>
      <c r="E22" s="337"/>
      <c r="F22" s="17" t="s">
        <v>512</v>
      </c>
      <c r="G22" s="337" t="s">
        <v>9</v>
      </c>
      <c r="H22" s="337"/>
      <c r="I22" s="17">
        <v>0.6</v>
      </c>
      <c r="K22" s="337" t="s">
        <v>10</v>
      </c>
      <c r="L22" s="337"/>
      <c r="M22" s="9" t="s">
        <v>496</v>
      </c>
      <c r="O22" s="2"/>
    </row>
    <row r="23" spans="2:17" ht="19.5" customHeight="1" x14ac:dyDescent="0.25">
      <c r="B23" s="2"/>
      <c r="D23" s="337" t="s">
        <v>11</v>
      </c>
      <c r="E23" s="337"/>
      <c r="F23" s="4" t="s">
        <v>71</v>
      </c>
      <c r="G23" s="337" t="s">
        <v>12</v>
      </c>
      <c r="H23" s="337"/>
      <c r="I23" s="4" t="s">
        <v>497</v>
      </c>
      <c r="K23" s="337" t="s">
        <v>13</v>
      </c>
      <c r="L23" s="337"/>
      <c r="M23" s="9" t="s">
        <v>2</v>
      </c>
      <c r="O23" s="2"/>
    </row>
    <row r="24" spans="2:17" ht="20.100000000000001" customHeight="1" x14ac:dyDescent="0.25">
      <c r="B24" s="2"/>
      <c r="D24" s="337" t="s">
        <v>14</v>
      </c>
      <c r="E24" s="337"/>
      <c r="F24" s="4" t="s">
        <v>498</v>
      </c>
      <c r="G24" s="337" t="s">
        <v>15</v>
      </c>
      <c r="H24" s="337"/>
      <c r="I24" s="4" t="s">
        <v>533</v>
      </c>
      <c r="K24" s="337" t="s">
        <v>16</v>
      </c>
      <c r="L24" s="337"/>
      <c r="M24" s="9" t="s">
        <v>2</v>
      </c>
      <c r="O24" s="2"/>
    </row>
    <row r="25" spans="2:17" ht="20.100000000000001" customHeight="1" x14ac:dyDescent="0.25">
      <c r="B25" s="2"/>
      <c r="D25" s="337" t="s">
        <v>17</v>
      </c>
      <c r="E25" s="337"/>
      <c r="F25" s="4" t="s">
        <v>1335</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NA</v>
      </c>
    </row>
    <row r="31" spans="2:17" ht="24" customHeight="1" x14ac:dyDescent="0.25">
      <c r="B31" s="2"/>
      <c r="D31" s="347"/>
      <c r="E31" s="348"/>
      <c r="F31" s="4" t="s">
        <v>411</v>
      </c>
      <c r="G31" s="340" t="s">
        <v>412</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1025</v>
      </c>
      <c r="G33" s="340"/>
      <c r="H33" s="341"/>
      <c r="I33" s="341"/>
      <c r="J33" s="341"/>
      <c r="K33" s="341"/>
      <c r="L33" s="341"/>
      <c r="M33" s="342"/>
      <c r="O33" s="2"/>
      <c r="Q33" s="3" t="str">
        <f>+IFERROR(IF(VLOOKUP(G33,base!$A$26:$C$40,3,FALSE)=F31,1,0),"")</f>
        <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1716</v>
      </c>
      <c r="G35" s="340" t="s">
        <v>1592</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501</v>
      </c>
      <c r="G45" s="340" t="s">
        <v>515</v>
      </c>
      <c r="H45" s="341"/>
      <c r="I45" s="341"/>
      <c r="J45" s="341"/>
      <c r="K45" s="341"/>
      <c r="L45" s="341"/>
      <c r="M45" s="342"/>
      <c r="O45" s="2"/>
      <c r="Q45" s="3" t="str">
        <f>+IFERROR(VLOOKUP(G45,base!$A$41:$C$45,3,FALSE),"")</f>
        <v>misional</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503</v>
      </c>
      <c r="G47" s="340" t="s">
        <v>995</v>
      </c>
      <c r="H47" s="341"/>
      <c r="I47" s="341"/>
      <c r="J47" s="341"/>
      <c r="K47" s="341"/>
      <c r="L47" s="341"/>
      <c r="M47" s="342"/>
      <c r="O47" s="2"/>
      <c r="Q47" s="3">
        <f>+IF(VLOOKUP(G47,base!$A$46:$C$66,3,FALSE)=F45,1,0)</f>
        <v>1</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920</v>
      </c>
      <c r="G49" s="340" t="s">
        <v>899</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496</v>
      </c>
      <c r="G51" s="337" t="s">
        <v>32</v>
      </c>
      <c r="H51" s="337"/>
      <c r="I51" s="17">
        <v>1</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8.25" customHeight="1" x14ac:dyDescent="0.25">
      <c r="B59" s="2"/>
      <c r="D59" s="337" t="s">
        <v>34</v>
      </c>
      <c r="E59" s="337"/>
      <c r="F59" s="344" t="s">
        <v>1336</v>
      </c>
      <c r="G59" s="344"/>
      <c r="H59" s="344"/>
      <c r="I59" s="344"/>
      <c r="J59" s="344"/>
      <c r="K59" s="344"/>
      <c r="L59" s="344"/>
      <c r="M59" s="344"/>
      <c r="O59" s="2"/>
    </row>
    <row r="60" spans="2:15" ht="38.25" customHeight="1" x14ac:dyDescent="0.25">
      <c r="B60" s="2"/>
      <c r="D60" s="359" t="s">
        <v>35</v>
      </c>
      <c r="E60" s="359"/>
      <c r="F60" s="344" t="s">
        <v>1337</v>
      </c>
      <c r="G60" s="344"/>
      <c r="H60" s="344"/>
      <c r="I60" s="344"/>
      <c r="J60" s="344"/>
      <c r="K60" s="344"/>
      <c r="L60" s="344"/>
      <c r="M60" s="344"/>
      <c r="O60" s="2"/>
    </row>
    <row r="61" spans="2:15" ht="38.25" customHeight="1" x14ac:dyDescent="0.25">
      <c r="B61" s="2"/>
      <c r="D61" s="359" t="s">
        <v>36</v>
      </c>
      <c r="E61" s="359"/>
      <c r="F61" s="340" t="s">
        <v>1338</v>
      </c>
      <c r="G61" s="341"/>
      <c r="H61" s="341"/>
      <c r="I61" s="341"/>
      <c r="J61" s="341"/>
      <c r="K61" s="341"/>
      <c r="L61" s="341"/>
      <c r="M61" s="342"/>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43" t="s">
        <v>39</v>
      </c>
      <c r="E71" s="343"/>
      <c r="F71" s="4" t="s">
        <v>47</v>
      </c>
      <c r="G71" s="3" t="s">
        <v>500</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+IF(AE75&gt;=$G$71,1,0)</f>
        <v>1</v>
      </c>
      <c r="AH75" s="3">
        <v>1</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+IF(AE76&gt;=$G$71,1,0)</f>
        <v>1</v>
      </c>
      <c r="AH76" s="3">
        <v>2</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v>0.23899999999999999</v>
      </c>
      <c r="H77" s="16">
        <v>0.24</v>
      </c>
      <c r="I77" s="16">
        <v>0.26900000000000002</v>
      </c>
      <c r="J77" s="16">
        <v>0.27</v>
      </c>
      <c r="K77" s="16">
        <v>0.29899999999999999</v>
      </c>
      <c r="L77" s="16">
        <v>0.3</v>
      </c>
      <c r="M77" s="16" t="s">
        <v>500</v>
      </c>
      <c r="O77" s="2"/>
      <c r="AE77" s="3" t="s">
        <v>47</v>
      </c>
      <c r="AF77" s="3">
        <v>3</v>
      </c>
      <c r="AG77" s="3">
        <f t="shared" si="0"/>
        <v>1</v>
      </c>
      <c r="AH77" s="3">
        <v>3</v>
      </c>
      <c r="AI77" s="3">
        <f t="shared" si="1"/>
        <v>1</v>
      </c>
      <c r="AJ77" s="3">
        <f t="shared" si="2"/>
        <v>1</v>
      </c>
      <c r="AK77" s="3">
        <f t="shared" si="3"/>
        <v>1</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1</v>
      </c>
      <c r="AH78" s="3">
        <v>4</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1</v>
      </c>
      <c r="AH79" s="3">
        <v>5</v>
      </c>
      <c r="AI79" s="3">
        <f t="shared" si="1"/>
        <v>0</v>
      </c>
      <c r="AJ79" s="3">
        <f t="shared" si="2"/>
        <v>0</v>
      </c>
      <c r="AK79" s="3">
        <f t="shared" si="3"/>
        <v>0</v>
      </c>
    </row>
    <row r="80" spans="2:37" x14ac:dyDescent="0.25">
      <c r="B80" s="2"/>
      <c r="D80" s="360" t="s">
        <v>50</v>
      </c>
      <c r="E80" s="360"/>
      <c r="F80" s="16" t="s">
        <v>500</v>
      </c>
      <c r="G80" s="16">
        <v>0.439</v>
      </c>
      <c r="H80" s="16">
        <v>0.44</v>
      </c>
      <c r="I80" s="16">
        <v>0.46899999999999997</v>
      </c>
      <c r="J80" s="16">
        <v>0.47</v>
      </c>
      <c r="K80" s="16">
        <v>0.499</v>
      </c>
      <c r="L80" s="16">
        <v>0.5</v>
      </c>
      <c r="M80" s="16" t="s">
        <v>500</v>
      </c>
      <c r="O80" s="2"/>
      <c r="AE80" s="3" t="s">
        <v>50</v>
      </c>
      <c r="AF80" s="3">
        <v>6</v>
      </c>
      <c r="AG80" s="3">
        <f t="shared" si="0"/>
        <v>1</v>
      </c>
      <c r="AH80" s="3">
        <v>6</v>
      </c>
      <c r="AI80" s="3">
        <f t="shared" si="1"/>
        <v>1</v>
      </c>
      <c r="AJ80" s="3">
        <f t="shared" si="2"/>
        <v>0</v>
      </c>
      <c r="AK80" s="3">
        <f t="shared" si="3"/>
        <v>1</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1</v>
      </c>
      <c r="AH81" s="3">
        <v>7</v>
      </c>
      <c r="AI81" s="3">
        <f t="shared" si="1"/>
        <v>0</v>
      </c>
      <c r="AJ81" s="3">
        <f t="shared" si="2"/>
        <v>0</v>
      </c>
      <c r="AK81" s="3">
        <f t="shared" si="3"/>
        <v>0</v>
      </c>
    </row>
    <row r="82" spans="2:37" x14ac:dyDescent="0.25">
      <c r="B82" s="2"/>
      <c r="D82" s="360" t="s">
        <v>54</v>
      </c>
      <c r="E82" s="360"/>
      <c r="F82" s="16" t="s">
        <v>500</v>
      </c>
      <c r="G82" s="16" t="s">
        <v>500</v>
      </c>
      <c r="H82" s="16" t="s">
        <v>500</v>
      </c>
      <c r="I82" s="16" t="s">
        <v>500</v>
      </c>
      <c r="J82" s="16" t="s">
        <v>500</v>
      </c>
      <c r="K82" s="16" t="s">
        <v>500</v>
      </c>
      <c r="L82" s="16" t="s">
        <v>500</v>
      </c>
      <c r="M82" s="16" t="s">
        <v>500</v>
      </c>
      <c r="O82" s="2"/>
      <c r="AE82" s="3" t="s">
        <v>54</v>
      </c>
      <c r="AF82" s="3">
        <v>8</v>
      </c>
      <c r="AG82" s="3">
        <f t="shared" si="0"/>
        <v>1</v>
      </c>
      <c r="AH82" s="3">
        <v>8</v>
      </c>
      <c r="AI82" s="3">
        <f t="shared" si="1"/>
        <v>0</v>
      </c>
      <c r="AJ82" s="3">
        <f t="shared" si="2"/>
        <v>0</v>
      </c>
      <c r="AK82" s="3">
        <f t="shared" si="3"/>
        <v>0</v>
      </c>
    </row>
    <row r="83" spans="2:37" x14ac:dyDescent="0.25">
      <c r="B83" s="2"/>
      <c r="D83" s="360" t="s">
        <v>55</v>
      </c>
      <c r="E83" s="360"/>
      <c r="F83" s="16" t="s">
        <v>500</v>
      </c>
      <c r="G83" s="16">
        <v>0.48899999999999999</v>
      </c>
      <c r="H83" s="16">
        <v>0.49</v>
      </c>
      <c r="I83" s="16">
        <v>0.51900000000000002</v>
      </c>
      <c r="J83" s="16">
        <v>0.52</v>
      </c>
      <c r="K83" s="16">
        <v>0.54900000000000004</v>
      </c>
      <c r="L83" s="16">
        <v>0.55000000000000004</v>
      </c>
      <c r="M83" s="16" t="s">
        <v>500</v>
      </c>
      <c r="O83" s="2"/>
      <c r="AE83" s="3" t="s">
        <v>55</v>
      </c>
      <c r="AF83" s="3">
        <v>9</v>
      </c>
      <c r="AG83" s="3">
        <f t="shared" si="0"/>
        <v>1</v>
      </c>
      <c r="AH83" s="3">
        <v>9</v>
      </c>
      <c r="AI83" s="3">
        <f t="shared" si="1"/>
        <v>1</v>
      </c>
      <c r="AJ83" s="3">
        <f t="shared" si="2"/>
        <v>0</v>
      </c>
      <c r="AK83" s="3">
        <f t="shared" si="3"/>
        <v>1</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1</v>
      </c>
      <c r="AH84" s="3">
        <v>10</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v>11</v>
      </c>
      <c r="AI85" s="3">
        <f t="shared" si="1"/>
        <v>0</v>
      </c>
      <c r="AJ85" s="3">
        <f t="shared" si="2"/>
        <v>0</v>
      </c>
      <c r="AK85" s="3">
        <f t="shared" si="3"/>
        <v>0</v>
      </c>
    </row>
    <row r="86" spans="2:37" x14ac:dyDescent="0.25">
      <c r="B86" s="2"/>
      <c r="D86" s="360" t="s">
        <v>58</v>
      </c>
      <c r="E86" s="360"/>
      <c r="F86" s="16" t="s">
        <v>500</v>
      </c>
      <c r="G86" s="16">
        <v>0.53900000000000003</v>
      </c>
      <c r="H86" s="16">
        <v>0.54</v>
      </c>
      <c r="I86" s="16">
        <v>0.56899999999999995</v>
      </c>
      <c r="J86" s="16">
        <v>0.56999999999999995</v>
      </c>
      <c r="K86" s="16">
        <v>0.59899999999999998</v>
      </c>
      <c r="L86" s="16" t="s">
        <v>500</v>
      </c>
      <c r="M86" s="16">
        <v>0.6</v>
      </c>
      <c r="O86" s="2"/>
      <c r="AE86" s="3" t="s">
        <v>58</v>
      </c>
      <c r="AF86" s="65">
        <v>12</v>
      </c>
      <c r="AG86" s="3">
        <f t="shared" si="0"/>
        <v>1</v>
      </c>
      <c r="AH86" s="65">
        <v>12</v>
      </c>
      <c r="AI86" s="3">
        <f t="shared" si="1"/>
        <v>1</v>
      </c>
      <c r="AJ86" s="3">
        <f t="shared" si="2"/>
        <v>0</v>
      </c>
      <c r="AK86" s="3">
        <f t="shared" si="3"/>
        <v>1</v>
      </c>
    </row>
    <row r="87" spans="2:37" ht="3.75" customHeight="1" x14ac:dyDescent="0.25">
      <c r="B87" s="2"/>
      <c r="O87" s="2"/>
    </row>
    <row r="88" spans="2:37" ht="66" customHeight="1" x14ac:dyDescent="0.25">
      <c r="B88" s="2"/>
      <c r="D88" s="338" t="s">
        <v>59</v>
      </c>
      <c r="E88" s="339"/>
      <c r="F88" s="340"/>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6.5" customHeight="1" x14ac:dyDescent="0.25">
      <c r="B97" s="2"/>
      <c r="D97" s="359" t="s">
        <v>35</v>
      </c>
      <c r="E97" s="359"/>
      <c r="F97" s="344" t="s">
        <v>1865</v>
      </c>
      <c r="G97" s="344"/>
      <c r="H97" s="344"/>
      <c r="I97" s="344"/>
      <c r="J97" s="344"/>
      <c r="K97" s="344"/>
      <c r="L97" s="344"/>
      <c r="M97" s="344"/>
      <c r="O97" s="2"/>
    </row>
    <row r="98" spans="2:15" ht="46.5" customHeight="1" x14ac:dyDescent="0.25">
      <c r="B98" s="2"/>
      <c r="D98" s="359" t="s">
        <v>36</v>
      </c>
      <c r="E98" s="359"/>
      <c r="F98" s="344" t="s">
        <v>1866</v>
      </c>
      <c r="G98" s="344"/>
      <c r="H98" s="344"/>
      <c r="I98" s="344"/>
      <c r="J98" s="344"/>
      <c r="K98" s="344"/>
      <c r="L98" s="344"/>
      <c r="M98" s="344"/>
      <c r="O98" s="2"/>
    </row>
    <row r="99" spans="2:15" ht="3.95" customHeight="1" x14ac:dyDescent="0.25">
      <c r="B99" s="2"/>
      <c r="O99" s="2"/>
    </row>
    <row r="100" spans="2:15" ht="58.5" customHeight="1" x14ac:dyDescent="0.25">
      <c r="B100" s="2"/>
      <c r="D100" s="338" t="s">
        <v>62</v>
      </c>
      <c r="E100" s="339"/>
      <c r="F100" s="333"/>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2</v>
      </c>
      <c r="K102" s="20"/>
      <c r="O102" s="2"/>
    </row>
    <row r="103" spans="2:15" ht="19.5" customHeight="1" x14ac:dyDescent="0.25">
      <c r="B103" s="2"/>
      <c r="D103" s="331"/>
      <c r="E103" s="332"/>
      <c r="F103" s="19" t="s">
        <v>66</v>
      </c>
      <c r="G103" s="4"/>
      <c r="K103" s="21"/>
      <c r="O103" s="2"/>
    </row>
    <row r="104" spans="2:15" ht="27.75" customHeight="1" x14ac:dyDescent="0.25">
      <c r="B104" s="2"/>
      <c r="D104" s="331"/>
      <c r="E104" s="332"/>
      <c r="F104" s="19" t="s">
        <v>67</v>
      </c>
      <c r="G104" s="333"/>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Subdirector(a) Programación</v>
      </c>
      <c r="H108" s="334"/>
      <c r="I108" s="334"/>
      <c r="J108" s="334"/>
      <c r="K108" s="334"/>
      <c r="L108" s="334"/>
      <c r="M108" s="335"/>
      <c r="O108" s="2"/>
    </row>
    <row r="109" spans="2:15" ht="17.25" customHeight="1" x14ac:dyDescent="0.25">
      <c r="B109" s="2"/>
      <c r="D109" s="331"/>
      <c r="E109" s="332"/>
      <c r="F109" s="19" t="s">
        <v>2042</v>
      </c>
      <c r="G109" s="333" t="str">
        <f>+IF(M23="Si","Coordinador(a) Planeación y Sistemas","")</f>
        <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597" priority="31">
      <formula>+IF($F$43="no",1,0)</formula>
    </cfRule>
  </conditionalFormatting>
  <conditionalFormatting sqref="F32:M33">
    <cfRule type="expression" dxfId="596" priority="30">
      <formula>+IF($Q$30="NA",1,0)</formula>
    </cfRule>
  </conditionalFormatting>
  <conditionalFormatting sqref="F33:M33">
    <cfRule type="expression" dxfId="595" priority="29">
      <formula>+IF($Q$33=0,1,0)</formula>
    </cfRule>
  </conditionalFormatting>
  <conditionalFormatting sqref="F47:M47">
    <cfRule type="expression" dxfId="594" priority="28">
      <formula>+IF($Q$47=0,1,0)</formula>
    </cfRule>
  </conditionalFormatting>
  <conditionalFormatting sqref="F73:G73">
    <cfRule type="cellIs" dxfId="593" priority="14" operator="equal">
      <formula>"optimo"</formula>
    </cfRule>
    <cfRule type="cellIs" dxfId="592" priority="15" operator="equal">
      <formula>"critico"</formula>
    </cfRule>
  </conditionalFormatting>
  <conditionalFormatting sqref="H73:I73">
    <cfRule type="cellIs" dxfId="591" priority="12" operator="equal">
      <formula>"Adecuado"</formula>
    </cfRule>
    <cfRule type="cellIs" dxfId="590" priority="13" operator="equal">
      <formula>"en riesgo"</formula>
    </cfRule>
  </conditionalFormatting>
  <conditionalFormatting sqref="J73:K73">
    <cfRule type="cellIs" dxfId="589" priority="10" operator="equal">
      <formula>"Adecuado"</formula>
    </cfRule>
    <cfRule type="cellIs" dxfId="588" priority="11" operator="equal">
      <formula>"en riesgo"</formula>
    </cfRule>
  </conditionalFormatting>
  <conditionalFormatting sqref="L73:M73">
    <cfRule type="cellIs" dxfId="587" priority="8" operator="equal">
      <formula>"optimo"</formula>
    </cfRule>
    <cfRule type="cellIs" dxfId="586" priority="9" operator="equal">
      <formula>"critico"</formula>
    </cfRule>
  </conditionalFormatting>
  <conditionalFormatting sqref="F75:M86">
    <cfRule type="expression" dxfId="585" priority="7">
      <formula>+IF($AK75=0,1)</formula>
    </cfRule>
  </conditionalFormatting>
  <conditionalFormatting sqref="F103:G104">
    <cfRule type="expression" dxfId="584" priority="6">
      <formula>+IF($G$102="No",1,0)</formula>
    </cfRule>
  </conditionalFormatting>
  <conditionalFormatting sqref="F51">
    <cfRule type="expression" dxfId="583" priority="5">
      <formula>+IF($F$43="no",1,0)</formula>
    </cfRule>
  </conditionalFormatting>
  <conditionalFormatting sqref="I51">
    <cfRule type="expression" dxfId="582"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3">
    <tabColor rgb="FF0070C0"/>
  </sheetPr>
  <dimension ref="B1:AV113"/>
  <sheetViews>
    <sheetView zoomScaleNormal="100" workbookViewId="0">
      <selection activeCell="R3" sqref="R3"/>
    </sheetView>
  </sheetViews>
  <sheetFormatPr baseColWidth="10" defaultRowHeight="12.75" x14ac:dyDescent="0.25"/>
  <cols>
    <col min="1" max="1" width="1.140625" style="104" customWidth="1"/>
    <col min="2" max="2" width="0.5703125" style="104" customWidth="1"/>
    <col min="3" max="3" width="1.42578125" style="104" customWidth="1"/>
    <col min="4" max="4" width="11" style="104" customWidth="1"/>
    <col min="5" max="13" width="11.42578125" style="104" customWidth="1"/>
    <col min="14" max="14" width="1.42578125" style="104" customWidth="1"/>
    <col min="15" max="15" width="0.5703125" style="104" customWidth="1"/>
    <col min="16" max="16" width="11.42578125" style="105"/>
    <col min="17" max="18" width="11.42578125" style="105" customWidth="1"/>
    <col min="19" max="19" width="11.42578125" style="105"/>
    <col min="20" max="20" width="2.7109375" style="105" customWidth="1"/>
    <col min="21" max="21" width="11.42578125" style="105"/>
    <col min="22" max="22" width="2.7109375" style="105" customWidth="1"/>
    <col min="23" max="23" width="11.42578125" style="105"/>
    <col min="24" max="24" width="2.7109375" style="105" customWidth="1"/>
    <col min="25" max="25" width="11.42578125" style="105"/>
    <col min="26" max="26" width="2.7109375" style="105" customWidth="1"/>
    <col min="27" max="27" width="11.42578125" style="105"/>
    <col min="28" max="28" width="2.7109375" style="105" customWidth="1"/>
    <col min="29" max="31" width="11.42578125" style="105"/>
    <col min="32" max="37" width="3.140625" style="105" customWidth="1"/>
    <col min="38" max="45" width="7.42578125" style="105" customWidth="1"/>
    <col min="46" max="48" width="11.42578125" style="105"/>
    <col min="49" max="16384" width="11.42578125" style="104"/>
  </cols>
  <sheetData>
    <row r="1" spans="2:19" ht="3.95" customHeight="1" x14ac:dyDescent="0.25"/>
    <row r="2" spans="2:19" ht="3.95" customHeight="1" x14ac:dyDescent="0.25">
      <c r="B2" s="106"/>
      <c r="C2" s="106"/>
      <c r="D2" s="106"/>
      <c r="E2" s="106"/>
      <c r="F2" s="106"/>
      <c r="G2" s="106"/>
      <c r="H2" s="106"/>
      <c r="I2" s="106"/>
      <c r="J2" s="106"/>
      <c r="K2" s="106"/>
      <c r="L2" s="106"/>
      <c r="M2" s="106"/>
      <c r="N2" s="106"/>
      <c r="O2" s="106"/>
    </row>
    <row r="3" spans="2:19" ht="20.25" customHeight="1" x14ac:dyDescent="0.25">
      <c r="B3" s="106"/>
      <c r="C3" s="411" t="s">
        <v>0</v>
      </c>
      <c r="D3" s="411"/>
      <c r="E3" s="411"/>
      <c r="F3" s="411"/>
      <c r="G3" s="411"/>
      <c r="H3" s="411"/>
      <c r="I3" s="411"/>
      <c r="J3" s="411"/>
      <c r="K3" s="411"/>
      <c r="L3" s="411"/>
      <c r="M3" s="411"/>
      <c r="N3" s="411"/>
      <c r="O3" s="106"/>
    </row>
    <row r="4" spans="2:19" ht="20.25" customHeight="1" x14ac:dyDescent="0.25">
      <c r="B4" s="106"/>
      <c r="C4" s="411"/>
      <c r="D4" s="411"/>
      <c r="E4" s="411"/>
      <c r="F4" s="411"/>
      <c r="G4" s="411"/>
      <c r="H4" s="411"/>
      <c r="I4" s="411"/>
      <c r="J4" s="411"/>
      <c r="K4" s="411"/>
      <c r="L4" s="411"/>
      <c r="M4" s="411"/>
      <c r="N4" s="411"/>
      <c r="O4" s="106"/>
      <c r="Q4" s="3"/>
      <c r="R4" s="3"/>
      <c r="S4" s="105" t="s">
        <v>1</v>
      </c>
    </row>
    <row r="5" spans="2:19" ht="20.25" customHeight="1" x14ac:dyDescent="0.25">
      <c r="B5" s="106"/>
      <c r="C5" s="411"/>
      <c r="D5" s="411"/>
      <c r="E5" s="411"/>
      <c r="F5" s="411"/>
      <c r="G5" s="411"/>
      <c r="H5" s="411"/>
      <c r="I5" s="411"/>
      <c r="J5" s="411"/>
      <c r="K5" s="411"/>
      <c r="L5" s="411"/>
      <c r="M5" s="411"/>
      <c r="N5" s="411"/>
      <c r="O5" s="106"/>
      <c r="S5" s="105" t="s">
        <v>2</v>
      </c>
    </row>
    <row r="6" spans="2:19" ht="3" customHeight="1" x14ac:dyDescent="0.25">
      <c r="B6" s="106"/>
      <c r="C6" s="106"/>
      <c r="D6" s="106"/>
      <c r="E6" s="106"/>
      <c r="F6" s="106"/>
      <c r="G6" s="106"/>
      <c r="H6" s="106"/>
      <c r="I6" s="106"/>
      <c r="J6" s="106"/>
      <c r="K6" s="106"/>
      <c r="L6" s="106"/>
      <c r="M6" s="106"/>
      <c r="N6" s="106"/>
      <c r="O6" s="106"/>
    </row>
    <row r="7" spans="2:19" ht="3" customHeight="1" x14ac:dyDescent="0.25"/>
    <row r="8" spans="2:19" ht="3.95" customHeight="1" x14ac:dyDescent="0.25">
      <c r="B8" s="106"/>
      <c r="C8" s="106"/>
      <c r="D8" s="106"/>
      <c r="E8" s="106"/>
      <c r="F8" s="106"/>
      <c r="G8" s="106"/>
      <c r="H8" s="106"/>
      <c r="I8" s="106"/>
      <c r="J8" s="106"/>
      <c r="K8" s="106"/>
      <c r="L8" s="106"/>
      <c r="M8" s="106"/>
      <c r="N8" s="106"/>
      <c r="O8" s="106"/>
    </row>
    <row r="9" spans="2:19" ht="3.95" customHeight="1" x14ac:dyDescent="0.25">
      <c r="B9" s="106"/>
      <c r="O9" s="106"/>
    </row>
    <row r="10" spans="2:19" ht="15.75" customHeight="1" x14ac:dyDescent="0.25">
      <c r="B10" s="106"/>
      <c r="D10" s="387" t="s">
        <v>3</v>
      </c>
      <c r="E10" s="387"/>
      <c r="F10" s="107">
        <v>2015</v>
      </c>
      <c r="G10" s="108" t="s">
        <v>4</v>
      </c>
      <c r="H10" s="107" t="s">
        <v>1367</v>
      </c>
      <c r="O10" s="106"/>
    </row>
    <row r="11" spans="2:19" ht="3.95" customHeight="1" x14ac:dyDescent="0.25">
      <c r="B11" s="106"/>
      <c r="D11" s="109"/>
      <c r="O11" s="106"/>
    </row>
    <row r="12" spans="2:19" ht="36" customHeight="1" x14ac:dyDescent="0.25">
      <c r="B12" s="106"/>
      <c r="D12" s="378" t="s">
        <v>5</v>
      </c>
      <c r="E12" s="379"/>
      <c r="F12" s="389" t="s">
        <v>1355</v>
      </c>
      <c r="G12" s="390"/>
      <c r="H12" s="390"/>
      <c r="I12" s="390"/>
      <c r="J12" s="390"/>
      <c r="K12" s="390"/>
      <c r="L12" s="390"/>
      <c r="M12" s="391"/>
      <c r="O12" s="106"/>
      <c r="Q12" s="110" t="s">
        <v>1977</v>
      </c>
      <c r="S12" s="111">
        <v>154</v>
      </c>
    </row>
    <row r="13" spans="2:19" ht="3.95" customHeight="1" x14ac:dyDescent="0.25">
      <c r="B13" s="106"/>
      <c r="O13" s="106"/>
    </row>
    <row r="14" spans="2:19" ht="38.25" customHeight="1" x14ac:dyDescent="0.25">
      <c r="B14" s="106"/>
      <c r="D14" s="378" t="s">
        <v>6</v>
      </c>
      <c r="E14" s="379"/>
      <c r="F14" s="389" t="s">
        <v>1327</v>
      </c>
      <c r="G14" s="390"/>
      <c r="H14" s="390"/>
      <c r="I14" s="390"/>
      <c r="J14" s="390"/>
      <c r="K14" s="390"/>
      <c r="L14" s="390"/>
      <c r="M14" s="391"/>
      <c r="O14" s="106"/>
    </row>
    <row r="15" spans="2:19" ht="3.95" customHeight="1" x14ac:dyDescent="0.25">
      <c r="B15" s="106"/>
      <c r="O15" s="106"/>
    </row>
    <row r="16" spans="2:19" ht="3" customHeight="1" x14ac:dyDescent="0.25">
      <c r="B16" s="106"/>
      <c r="C16" s="106"/>
      <c r="D16" s="106"/>
      <c r="E16" s="106"/>
      <c r="F16" s="106"/>
      <c r="G16" s="106"/>
      <c r="H16" s="106"/>
      <c r="I16" s="106"/>
      <c r="J16" s="106"/>
      <c r="K16" s="106"/>
      <c r="L16" s="106"/>
      <c r="M16" s="106"/>
      <c r="N16" s="106"/>
      <c r="O16" s="106"/>
    </row>
    <row r="17" spans="2:17" ht="3" customHeight="1" x14ac:dyDescent="0.25"/>
    <row r="18" spans="2:17" ht="3" customHeight="1" x14ac:dyDescent="0.25">
      <c r="B18" s="106"/>
      <c r="C18" s="106"/>
      <c r="D18" s="106"/>
      <c r="E18" s="106"/>
      <c r="F18" s="106"/>
      <c r="G18" s="106"/>
      <c r="H18" s="106"/>
      <c r="I18" s="106"/>
      <c r="J18" s="106"/>
      <c r="K18" s="106"/>
      <c r="L18" s="106"/>
      <c r="M18" s="106"/>
      <c r="N18" s="106"/>
      <c r="O18" s="106"/>
    </row>
    <row r="19" spans="2:17" ht="3.95" customHeight="1" x14ac:dyDescent="0.25">
      <c r="B19" s="106"/>
      <c r="O19" s="106"/>
    </row>
    <row r="20" spans="2:17" x14ac:dyDescent="0.25">
      <c r="B20" s="106"/>
      <c r="D20" s="112" t="s">
        <v>7</v>
      </c>
      <c r="O20" s="106"/>
    </row>
    <row r="21" spans="2:17" ht="3.95" customHeight="1" x14ac:dyDescent="0.25">
      <c r="B21" s="106"/>
      <c r="O21" s="106"/>
    </row>
    <row r="22" spans="2:17" ht="18.75" customHeight="1" x14ac:dyDescent="0.25">
      <c r="B22" s="106"/>
      <c r="D22" s="387" t="s">
        <v>8</v>
      </c>
      <c r="E22" s="387"/>
      <c r="F22" s="113" t="s">
        <v>1978</v>
      </c>
      <c r="G22" s="387" t="s">
        <v>9</v>
      </c>
      <c r="H22" s="387"/>
      <c r="I22" s="114">
        <f>+IFERROR(VLOOKUP($S$12,[1]Hoja1!$B$5:$AT$190,19,FALSE),"")</f>
        <v>1</v>
      </c>
      <c r="K22" s="387" t="s">
        <v>10</v>
      </c>
      <c r="L22" s="387"/>
      <c r="M22" s="115" t="str">
        <f>+IFERROR(VLOOKUP($S$12,[1]Hoja1!$B$5:$AT$190,22,FALSE),"")</f>
        <v>Si</v>
      </c>
      <c r="O22" s="106"/>
    </row>
    <row r="23" spans="2:17" ht="19.5" customHeight="1" x14ac:dyDescent="0.25">
      <c r="B23" s="106"/>
      <c r="D23" s="387" t="s">
        <v>11</v>
      </c>
      <c r="E23" s="387"/>
      <c r="F23" s="107" t="str">
        <f>+IFERROR(VLOOKUP($S$12,[1]Hoja1!$B$5:$AT$190,33,FALSE),"")</f>
        <v>Mensual</v>
      </c>
      <c r="G23" s="387" t="s">
        <v>12</v>
      </c>
      <c r="H23" s="387"/>
      <c r="I23" s="107" t="str">
        <f>+IFERROR(VLOOKUP($S$12,[1]Hoja1!$B$5:$AT$190,21,FALSE),"")</f>
        <v>Porcentaje</v>
      </c>
      <c r="K23" s="387" t="s">
        <v>13</v>
      </c>
      <c r="L23" s="387"/>
      <c r="M23" s="115" t="str">
        <f>+IFERROR(VLOOKUP($S$12,[1]Hoja1!$B$5:$AT$190,23,FALSE),"")</f>
        <v>No</v>
      </c>
      <c r="O23" s="106"/>
    </row>
    <row r="24" spans="2:17" ht="20.100000000000001" customHeight="1" x14ac:dyDescent="0.25">
      <c r="B24" s="106"/>
      <c r="D24" s="387" t="s">
        <v>14</v>
      </c>
      <c r="E24" s="387"/>
      <c r="F24" s="107" t="s">
        <v>498</v>
      </c>
      <c r="G24" s="387" t="s">
        <v>15</v>
      </c>
      <c r="H24" s="387"/>
      <c r="I24" s="107" t="s">
        <v>103</v>
      </c>
      <c r="K24" s="387" t="s">
        <v>16</v>
      </c>
      <c r="L24" s="387"/>
      <c r="M24" s="115" t="str">
        <f>+IFERROR(VLOOKUP($S$12,[1]Hoja1!$B$5:$AT$190,24,FALSE),"")</f>
        <v>No</v>
      </c>
      <c r="O24" s="106"/>
    </row>
    <row r="25" spans="2:17" ht="20.100000000000001" customHeight="1" x14ac:dyDescent="0.25">
      <c r="B25" s="106"/>
      <c r="D25" s="387" t="s">
        <v>17</v>
      </c>
      <c r="E25" s="387"/>
      <c r="F25" s="107" t="str">
        <f>+IFERROR(VLOOKUP($S$12,[1]Hoja1!$B$5:$AT$190,18,FALSE),"")</f>
        <v>Eficiencia</v>
      </c>
      <c r="O25" s="106"/>
    </row>
    <row r="26" spans="2:17" ht="3.95" customHeight="1" x14ac:dyDescent="0.25">
      <c r="B26" s="106"/>
      <c r="O26" s="106"/>
    </row>
    <row r="27" spans="2:17" x14ac:dyDescent="0.25">
      <c r="B27" s="106"/>
      <c r="D27" s="112" t="s">
        <v>18</v>
      </c>
      <c r="O27" s="106"/>
    </row>
    <row r="28" spans="2:17" ht="3.95" customHeight="1" x14ac:dyDescent="0.25">
      <c r="B28" s="106"/>
      <c r="O28" s="106"/>
    </row>
    <row r="29" spans="2:17" ht="36" customHeight="1" x14ac:dyDescent="0.25">
      <c r="B29" s="106"/>
      <c r="D29" s="393" t="s">
        <v>19</v>
      </c>
      <c r="E29" s="393"/>
      <c r="F29" s="370" t="s">
        <v>891</v>
      </c>
      <c r="G29" s="370"/>
      <c r="H29" s="370"/>
      <c r="I29" s="370"/>
      <c r="J29" s="370"/>
      <c r="K29" s="370"/>
      <c r="L29" s="370"/>
      <c r="M29" s="370"/>
      <c r="O29" s="106"/>
      <c r="P29" s="105" t="s">
        <v>1986</v>
      </c>
    </row>
    <row r="30" spans="2:17" ht="18" customHeight="1" x14ac:dyDescent="0.25">
      <c r="B30" s="106"/>
      <c r="D30" s="404" t="s">
        <v>21</v>
      </c>
      <c r="E30" s="405"/>
      <c r="F30" s="116" t="s">
        <v>22</v>
      </c>
      <c r="G30" s="408" t="s">
        <v>5</v>
      </c>
      <c r="H30" s="409"/>
      <c r="I30" s="409"/>
      <c r="J30" s="409"/>
      <c r="K30" s="409"/>
      <c r="L30" s="409"/>
      <c r="M30" s="410"/>
      <c r="O30" s="106"/>
      <c r="Q30" s="105" t="str">
        <f>+IFERROR(VLOOKUP(G31,[1]base!$A$9:$C$25,3,FALSE),"")</f>
        <v>NA</v>
      </c>
    </row>
    <row r="31" spans="2:17" ht="24" customHeight="1" x14ac:dyDescent="0.25">
      <c r="B31" s="106"/>
      <c r="D31" s="406"/>
      <c r="E31" s="407"/>
      <c r="F31" s="107" t="str">
        <f>+IFERROR(VLOOKUP(G31,[1]base!$A$9:$B$25,2,FALSE),"")</f>
        <v>MPE1</v>
      </c>
      <c r="G31" s="389" t="str">
        <f>+IFERROR(VLOOKUP($S$12,[1]Hoja1!$B$5:$AT$190,3,FALSE),"")</f>
        <v>Direccionamiento Estratégico</v>
      </c>
      <c r="H31" s="390"/>
      <c r="I31" s="390"/>
      <c r="J31" s="390"/>
      <c r="K31" s="390"/>
      <c r="L31" s="390"/>
      <c r="M31" s="391"/>
      <c r="O31" s="106"/>
    </row>
    <row r="32" spans="2:17" ht="18" customHeight="1" x14ac:dyDescent="0.25">
      <c r="B32" s="106"/>
      <c r="D32" s="404" t="s">
        <v>23</v>
      </c>
      <c r="E32" s="405"/>
      <c r="F32" s="116" t="s">
        <v>22</v>
      </c>
      <c r="G32" s="408" t="s">
        <v>5</v>
      </c>
      <c r="H32" s="409"/>
      <c r="I32" s="409"/>
      <c r="J32" s="409"/>
      <c r="K32" s="409"/>
      <c r="L32" s="409"/>
      <c r="M32" s="410"/>
      <c r="O32" s="106"/>
    </row>
    <row r="33" spans="2:17" ht="24" customHeight="1" x14ac:dyDescent="0.25">
      <c r="B33" s="106"/>
      <c r="D33" s="406"/>
      <c r="E33" s="407"/>
      <c r="F33" s="117" t="str">
        <f>+IFERROR(VLOOKUP(G33,[1]base!$A$26:$B$40,2,FALSE),"")</f>
        <v/>
      </c>
      <c r="G33" s="389"/>
      <c r="H33" s="390"/>
      <c r="I33" s="390"/>
      <c r="J33" s="390"/>
      <c r="K33" s="390"/>
      <c r="L33" s="390"/>
      <c r="M33" s="391"/>
      <c r="O33" s="106"/>
      <c r="Q33" s="105" t="str">
        <f>+IFERROR(IF(VLOOKUP(G33,[1]base!$A$26:$C$40,3,FALSE)=F31,1,0),"")</f>
        <v/>
      </c>
    </row>
    <row r="34" spans="2:17" ht="18" customHeight="1" x14ac:dyDescent="0.25">
      <c r="B34" s="106"/>
      <c r="D34" s="404" t="s">
        <v>24</v>
      </c>
      <c r="E34" s="405"/>
      <c r="F34" s="116" t="s">
        <v>22</v>
      </c>
      <c r="G34" s="408" t="s">
        <v>5</v>
      </c>
      <c r="H34" s="409"/>
      <c r="I34" s="409"/>
      <c r="J34" s="409"/>
      <c r="K34" s="409"/>
      <c r="L34" s="409"/>
      <c r="M34" s="410"/>
      <c r="O34" s="106"/>
    </row>
    <row r="35" spans="2:17" ht="44.25" customHeight="1" x14ac:dyDescent="0.25">
      <c r="B35" s="106"/>
      <c r="D35" s="406"/>
      <c r="E35" s="407"/>
      <c r="F35" s="4" t="s">
        <v>1716</v>
      </c>
      <c r="G35" s="340" t="s">
        <v>1592</v>
      </c>
      <c r="H35" s="341"/>
      <c r="I35" s="341"/>
      <c r="J35" s="341"/>
      <c r="K35" s="341"/>
      <c r="L35" s="341"/>
      <c r="M35" s="342"/>
      <c r="O35" s="106"/>
    </row>
    <row r="36" spans="2:17" ht="3.95" customHeight="1" x14ac:dyDescent="0.25">
      <c r="B36" s="106"/>
      <c r="O36" s="106"/>
    </row>
    <row r="37" spans="2:17" ht="3" customHeight="1" x14ac:dyDescent="0.25">
      <c r="B37" s="106"/>
      <c r="C37" s="106"/>
      <c r="D37" s="106"/>
      <c r="E37" s="106"/>
      <c r="F37" s="106"/>
      <c r="G37" s="106"/>
      <c r="H37" s="106"/>
      <c r="I37" s="106"/>
      <c r="J37" s="106"/>
      <c r="K37" s="106"/>
      <c r="L37" s="106"/>
      <c r="M37" s="106"/>
      <c r="N37" s="106"/>
      <c r="O37" s="106"/>
    </row>
    <row r="38" spans="2:17" ht="3" customHeight="1" x14ac:dyDescent="0.25"/>
    <row r="39" spans="2:17" ht="3" customHeight="1" x14ac:dyDescent="0.25">
      <c r="B39" s="106"/>
      <c r="C39" s="106"/>
      <c r="D39" s="106"/>
      <c r="E39" s="106"/>
      <c r="F39" s="106"/>
      <c r="G39" s="106"/>
      <c r="H39" s="106"/>
      <c r="I39" s="106"/>
      <c r="J39" s="106"/>
      <c r="K39" s="106"/>
      <c r="L39" s="106"/>
      <c r="M39" s="106"/>
      <c r="N39" s="106"/>
      <c r="O39" s="106"/>
    </row>
    <row r="40" spans="2:17" ht="3.95" customHeight="1" x14ac:dyDescent="0.25">
      <c r="B40" s="106"/>
      <c r="D40" s="112"/>
      <c r="O40" s="106"/>
    </row>
    <row r="41" spans="2:17" x14ac:dyDescent="0.25">
      <c r="B41" s="106"/>
      <c r="D41" s="112" t="s">
        <v>25</v>
      </c>
      <c r="O41" s="106"/>
    </row>
    <row r="42" spans="2:17" ht="3.95" customHeight="1" x14ac:dyDescent="0.25">
      <c r="B42" s="106"/>
      <c r="O42" s="106"/>
    </row>
    <row r="43" spans="2:17" ht="20.100000000000001" customHeight="1" x14ac:dyDescent="0.25">
      <c r="B43" s="106"/>
      <c r="D43" s="387" t="s">
        <v>26</v>
      </c>
      <c r="E43" s="387"/>
      <c r="F43" s="107" t="s">
        <v>2</v>
      </c>
      <c r="O43" s="106"/>
    </row>
    <row r="44" spans="2:17" ht="18" customHeight="1" x14ac:dyDescent="0.25">
      <c r="B44" s="106"/>
      <c r="D44" s="397" t="s">
        <v>27</v>
      </c>
      <c r="E44" s="398"/>
      <c r="F44" s="118" t="s">
        <v>22</v>
      </c>
      <c r="G44" s="401" t="s">
        <v>5</v>
      </c>
      <c r="H44" s="402"/>
      <c r="I44" s="402"/>
      <c r="J44" s="402"/>
      <c r="K44" s="402"/>
      <c r="L44" s="402"/>
      <c r="M44" s="403"/>
      <c r="O44" s="106"/>
    </row>
    <row r="45" spans="2:17" ht="18" customHeight="1" x14ac:dyDescent="0.25">
      <c r="B45" s="106"/>
      <c r="D45" s="399"/>
      <c r="E45" s="400"/>
      <c r="F45" s="107" t="str">
        <f>+IFERROR(VLOOKUP(G45,[1]base!$A$41:$B$45,2,FALSE),"")</f>
        <v>LP5</v>
      </c>
      <c r="G45" s="389" t="str">
        <f>+IFERROR(VLOOKUP($S$12,[1]Hoja1!$B$5:$AT$190,6,FALSE),"")</f>
        <v>Gestión Financiera</v>
      </c>
      <c r="H45" s="390"/>
      <c r="I45" s="390"/>
      <c r="J45" s="390"/>
      <c r="K45" s="390"/>
      <c r="L45" s="390"/>
      <c r="M45" s="391"/>
      <c r="O45" s="106"/>
      <c r="Q45" s="105" t="str">
        <f>+IFERROR(VLOOKUP(G45,[1]base!$A$41:$C$45,3,FALSE),"")</f>
        <v>financiera</v>
      </c>
    </row>
    <row r="46" spans="2:17" ht="18" customHeight="1" x14ac:dyDescent="0.25">
      <c r="B46" s="106"/>
      <c r="D46" s="397" t="s">
        <v>28</v>
      </c>
      <c r="E46" s="398"/>
      <c r="F46" s="118" t="s">
        <v>22</v>
      </c>
      <c r="G46" s="401" t="s">
        <v>5</v>
      </c>
      <c r="H46" s="402"/>
      <c r="I46" s="402"/>
      <c r="J46" s="402"/>
      <c r="K46" s="402"/>
      <c r="L46" s="402"/>
      <c r="M46" s="403"/>
      <c r="O46" s="106"/>
    </row>
    <row r="47" spans="2:17" ht="18" customHeight="1" x14ac:dyDescent="0.25">
      <c r="B47" s="106"/>
      <c r="D47" s="399"/>
      <c r="E47" s="400"/>
      <c r="F47" s="107" t="str">
        <f>+IFERROR(VLOOKUP(G47,[1]base!$A$46:$B$66,2,FALSE),"")</f>
        <v/>
      </c>
      <c r="G47" s="389"/>
      <c r="H47" s="390"/>
      <c r="I47" s="390"/>
      <c r="J47" s="390"/>
      <c r="K47" s="390"/>
      <c r="L47" s="390"/>
      <c r="M47" s="391"/>
      <c r="O47" s="106"/>
      <c r="Q47" s="105" t="e">
        <f>+IF(VLOOKUP(G47,[1]base!$A$46:$C$66,3,FALSE)=F45,1,0)</f>
        <v>#N/A</v>
      </c>
    </row>
    <row r="48" spans="2:17" ht="18" customHeight="1" x14ac:dyDescent="0.25">
      <c r="B48" s="106"/>
      <c r="D48" s="397" t="s">
        <v>29</v>
      </c>
      <c r="E48" s="398"/>
      <c r="F48" s="118" t="s">
        <v>22</v>
      </c>
      <c r="G48" s="401" t="s">
        <v>5</v>
      </c>
      <c r="H48" s="402"/>
      <c r="I48" s="402"/>
      <c r="J48" s="402"/>
      <c r="K48" s="402"/>
      <c r="L48" s="402"/>
      <c r="M48" s="403"/>
      <c r="O48" s="106"/>
    </row>
    <row r="49" spans="2:15" ht="29.25" customHeight="1" x14ac:dyDescent="0.25">
      <c r="B49" s="106"/>
      <c r="D49" s="399"/>
      <c r="E49" s="400"/>
      <c r="F49" s="119" t="str">
        <f>+IFERROR(VLOOKUP(G49,[1]base!$G$37:$H$47,2,FALSE),"")</f>
        <v>C-310-300-2</v>
      </c>
      <c r="G49" s="389" t="s">
        <v>899</v>
      </c>
      <c r="H49" s="390"/>
      <c r="I49" s="390"/>
      <c r="J49" s="390"/>
      <c r="K49" s="390"/>
      <c r="L49" s="390"/>
      <c r="M49" s="391"/>
      <c r="O49" s="106"/>
    </row>
    <row r="50" spans="2:15" ht="3.95" customHeight="1" x14ac:dyDescent="0.25">
      <c r="B50" s="106"/>
      <c r="O50" s="106"/>
    </row>
    <row r="51" spans="2:15" ht="20.100000000000001" customHeight="1" x14ac:dyDescent="0.25">
      <c r="B51" s="106"/>
      <c r="D51" s="387" t="s">
        <v>31</v>
      </c>
      <c r="E51" s="387"/>
      <c r="F51" s="107" t="str">
        <f>+IFERROR(VLOOKUP($S$12,[1]Hoja1!$B$5:$AT$190,26,FALSE),"")</f>
        <v>No</v>
      </c>
      <c r="G51" s="387" t="s">
        <v>32</v>
      </c>
      <c r="H51" s="387"/>
      <c r="I51" s="120" t="str">
        <f>+IFERROR(IF(F51="No","",VLOOKUP($S$12,[1]Hoja1!$B$5:$AT$190,20,FALSE)),"")</f>
        <v/>
      </c>
      <c r="O51" s="106"/>
    </row>
    <row r="52" spans="2:15" ht="3.95" customHeight="1" x14ac:dyDescent="0.25">
      <c r="B52" s="106"/>
      <c r="O52" s="106"/>
    </row>
    <row r="53" spans="2:15" ht="3" customHeight="1" x14ac:dyDescent="0.25">
      <c r="B53" s="106"/>
      <c r="C53" s="106"/>
      <c r="D53" s="106"/>
      <c r="E53" s="106"/>
      <c r="F53" s="106"/>
      <c r="G53" s="106"/>
      <c r="H53" s="106"/>
      <c r="I53" s="106"/>
      <c r="J53" s="106"/>
      <c r="K53" s="106"/>
      <c r="L53" s="106"/>
      <c r="M53" s="106"/>
      <c r="N53" s="106"/>
      <c r="O53" s="106"/>
    </row>
    <row r="54" spans="2:15" ht="3" customHeight="1" x14ac:dyDescent="0.25"/>
    <row r="55" spans="2:15" ht="3.95" customHeight="1" x14ac:dyDescent="0.25">
      <c r="B55" s="106"/>
      <c r="C55" s="106"/>
      <c r="D55" s="106"/>
      <c r="E55" s="106"/>
      <c r="F55" s="106"/>
      <c r="G55" s="106"/>
      <c r="H55" s="106"/>
      <c r="I55" s="106"/>
      <c r="J55" s="106"/>
      <c r="K55" s="106"/>
      <c r="L55" s="106"/>
      <c r="M55" s="106"/>
      <c r="N55" s="106"/>
      <c r="O55" s="106"/>
    </row>
    <row r="56" spans="2:15" ht="3.95" customHeight="1" x14ac:dyDescent="0.25">
      <c r="B56" s="106"/>
      <c r="O56" s="106"/>
    </row>
    <row r="57" spans="2:15" x14ac:dyDescent="0.25">
      <c r="B57" s="106"/>
      <c r="D57" s="112" t="s">
        <v>33</v>
      </c>
      <c r="O57" s="106"/>
    </row>
    <row r="58" spans="2:15" ht="3.95" customHeight="1" x14ac:dyDescent="0.25">
      <c r="B58" s="106"/>
      <c r="O58" s="106"/>
    </row>
    <row r="59" spans="2:15" ht="30" customHeight="1" x14ac:dyDescent="0.25">
      <c r="B59" s="106"/>
      <c r="D59" s="387" t="s">
        <v>34</v>
      </c>
      <c r="E59" s="387"/>
      <c r="F59" s="370" t="str">
        <f>+IF(F60="","",F60&amp;" / "&amp;F61)</f>
        <v>Recursos Comprometidos / Meta Mensual de Compromisos</v>
      </c>
      <c r="G59" s="370"/>
      <c r="H59" s="370"/>
      <c r="I59" s="370"/>
      <c r="J59" s="370"/>
      <c r="K59" s="370"/>
      <c r="L59" s="370"/>
      <c r="M59" s="370"/>
      <c r="O59" s="106"/>
    </row>
    <row r="60" spans="2:15" ht="30" customHeight="1" x14ac:dyDescent="0.25">
      <c r="B60" s="106"/>
      <c r="D60" s="369" t="s">
        <v>35</v>
      </c>
      <c r="E60" s="369"/>
      <c r="F60" s="370" t="str">
        <f>+IFERROR(VLOOKUP($S$12,[1]Hoja1!$B$5:$AT$190,28,FALSE),"")</f>
        <v>Recursos Comprometidos</v>
      </c>
      <c r="G60" s="370"/>
      <c r="H60" s="370"/>
      <c r="I60" s="370"/>
      <c r="J60" s="370"/>
      <c r="K60" s="370"/>
      <c r="L60" s="370"/>
      <c r="M60" s="370"/>
      <c r="O60" s="106"/>
    </row>
    <row r="61" spans="2:15" ht="30" customHeight="1" x14ac:dyDescent="0.25">
      <c r="B61" s="106"/>
      <c r="D61" s="369" t="s">
        <v>36</v>
      </c>
      <c r="E61" s="369"/>
      <c r="F61" s="389" t="str">
        <f>+IFERROR(VLOOKUP($S$12,[1]Hoja1!$B$5:$AT$190,30,FALSE),"")</f>
        <v>Meta Mensual de Compromisos</v>
      </c>
      <c r="G61" s="390"/>
      <c r="H61" s="390"/>
      <c r="I61" s="390"/>
      <c r="J61" s="390"/>
      <c r="K61" s="390"/>
      <c r="L61" s="390"/>
      <c r="M61" s="391"/>
      <c r="O61" s="106"/>
    </row>
    <row r="62" spans="2:15" ht="3.95" customHeight="1" x14ac:dyDescent="0.25">
      <c r="B62" s="106"/>
      <c r="O62" s="106"/>
    </row>
    <row r="63" spans="2:15" ht="3" customHeight="1" x14ac:dyDescent="0.25">
      <c r="B63" s="106"/>
      <c r="C63" s="106"/>
      <c r="D63" s="106"/>
      <c r="E63" s="106"/>
      <c r="F63" s="106"/>
      <c r="G63" s="106"/>
      <c r="H63" s="106"/>
      <c r="I63" s="106"/>
      <c r="J63" s="106"/>
      <c r="K63" s="106"/>
      <c r="L63" s="106"/>
      <c r="M63" s="106"/>
      <c r="N63" s="106"/>
      <c r="O63" s="106"/>
    </row>
    <row r="64" spans="2:15" x14ac:dyDescent="0.25">
      <c r="M64" s="121" t="s">
        <v>37</v>
      </c>
    </row>
    <row r="65" spans="2:45" ht="3" customHeight="1" x14ac:dyDescent="0.25">
      <c r="B65" s="106"/>
      <c r="C65" s="106"/>
      <c r="D65" s="106"/>
      <c r="E65" s="106"/>
      <c r="F65" s="106"/>
      <c r="G65" s="106"/>
      <c r="H65" s="106"/>
      <c r="I65" s="106"/>
      <c r="J65" s="106"/>
      <c r="K65" s="106"/>
      <c r="L65" s="106"/>
      <c r="M65" s="106"/>
      <c r="N65" s="106"/>
      <c r="O65" s="106"/>
    </row>
    <row r="66" spans="2:45" ht="3.95" customHeight="1" x14ac:dyDescent="0.25">
      <c r="B66" s="106"/>
      <c r="O66" s="106"/>
    </row>
    <row r="67" spans="2:45" x14ac:dyDescent="0.25">
      <c r="B67" s="106"/>
      <c r="D67" s="392" t="s">
        <v>38</v>
      </c>
      <c r="E67" s="392"/>
      <c r="O67" s="106"/>
    </row>
    <row r="68" spans="2:45" ht="3.95" customHeight="1" x14ac:dyDescent="0.25">
      <c r="B68" s="106"/>
      <c r="D68" s="112"/>
      <c r="E68" s="112"/>
      <c r="O68" s="106"/>
    </row>
    <row r="69" spans="2:45" ht="18.75" customHeight="1" x14ac:dyDescent="0.25">
      <c r="B69" s="106"/>
      <c r="O69" s="106"/>
      <c r="Q69" s="122" t="s">
        <v>11</v>
      </c>
      <c r="S69" s="105" t="str">
        <f>+IF(F23=0,"",F23)</f>
        <v>Mensual</v>
      </c>
      <c r="U69" s="105">
        <f>+IFERROR(VLOOKUP(S69,[1]base!$H$23:$I$28,2,FALSE),"")</f>
        <v>1</v>
      </c>
    </row>
    <row r="70" spans="2:45" ht="3.95" customHeight="1" x14ac:dyDescent="0.25">
      <c r="B70" s="106"/>
      <c r="D70" s="112"/>
      <c r="E70" s="112"/>
      <c r="O70" s="106"/>
    </row>
    <row r="71" spans="2:45" ht="18.75" customHeight="1" x14ac:dyDescent="0.25">
      <c r="B71" s="106"/>
      <c r="D71" s="393" t="s">
        <v>39</v>
      </c>
      <c r="E71" s="393"/>
      <c r="F71" s="107" t="s">
        <v>47</v>
      </c>
      <c r="G71" s="105">
        <f>+IFERROR(VLOOKUP(F71,$AE$75:$AF$86,2,FALSE),"")</f>
        <v>3</v>
      </c>
      <c r="O71" s="106"/>
      <c r="Q71" s="122" t="s">
        <v>14</v>
      </c>
      <c r="S71" s="105" t="str">
        <f>+IF(F24=0,"",F24)</f>
        <v>Creciente</v>
      </c>
    </row>
    <row r="72" spans="2:45" ht="3.95" customHeight="1" x14ac:dyDescent="0.25">
      <c r="B72" s="106"/>
      <c r="D72" s="112"/>
      <c r="E72" s="112"/>
      <c r="O72" s="106"/>
    </row>
    <row r="73" spans="2:45" x14ac:dyDescent="0.25">
      <c r="B73" s="106"/>
      <c r="D73" s="394" t="s">
        <v>41</v>
      </c>
      <c r="E73" s="394"/>
      <c r="F73" s="395" t="s">
        <v>42</v>
      </c>
      <c r="G73" s="396"/>
      <c r="H73" s="395" t="s">
        <v>43</v>
      </c>
      <c r="I73" s="396"/>
      <c r="J73" s="395" t="s">
        <v>44</v>
      </c>
      <c r="K73" s="396"/>
      <c r="L73" s="395" t="s">
        <v>45</v>
      </c>
      <c r="M73" s="396"/>
      <c r="O73" s="106"/>
      <c r="S73" s="111">
        <f>+IFERROR(VLOOKUP(S74,$AE$75:$AK$86,7,FALSE),"")</f>
        <v>0</v>
      </c>
      <c r="U73" s="111">
        <f>+IFERROR(VLOOKUP(U74,$AE$75:$AK$86,7,FALSE),"")</f>
        <v>0</v>
      </c>
      <c r="W73" s="111">
        <f>+IFERROR(VLOOKUP(W74,$AE$75:$AK$86,7,FALSE),"")</f>
        <v>1</v>
      </c>
      <c r="Y73" s="111">
        <f>+IFERROR(VLOOKUP(Y74,$AE$75:$AK$86,7,FALSE),"")</f>
        <v>1</v>
      </c>
      <c r="AA73" s="111">
        <f>+IFERROR(VLOOKUP(AA74,$AE$75:$AK$86,7,FALSE),"")</f>
        <v>1</v>
      </c>
      <c r="AC73" s="111">
        <f>+IFERROR(VLOOKUP(AC74,$AE$75:$AK$86,7,FALSE),"")</f>
        <v>1</v>
      </c>
      <c r="AL73" s="388" t="s">
        <v>42</v>
      </c>
      <c r="AM73" s="388"/>
      <c r="AN73" s="388" t="s">
        <v>43</v>
      </c>
      <c r="AO73" s="388"/>
      <c r="AP73" s="388" t="s">
        <v>44</v>
      </c>
      <c r="AQ73" s="388"/>
      <c r="AR73" s="388" t="s">
        <v>45</v>
      </c>
      <c r="AS73" s="388"/>
    </row>
    <row r="74" spans="2:45" x14ac:dyDescent="0.25">
      <c r="B74" s="106"/>
      <c r="D74" s="394"/>
      <c r="E74" s="394"/>
      <c r="F74" s="123" t="str">
        <f>+IF($F$24="Decreciente","Max","Min")</f>
        <v>Min</v>
      </c>
      <c r="G74" s="123" t="str">
        <f>+IF($F$24="Decreciente","MIn","Max")</f>
        <v>Max</v>
      </c>
      <c r="H74" s="123" t="str">
        <f>+IF($F$24="Decreciente","Max","Min")</f>
        <v>Min</v>
      </c>
      <c r="I74" s="123" t="str">
        <f>+IF($F$24="Decreciente","MIn","Max")</f>
        <v>Max</v>
      </c>
      <c r="J74" s="123" t="str">
        <f>+IF($F$24="Decreciente","Max","Min")</f>
        <v>Min</v>
      </c>
      <c r="K74" s="123" t="str">
        <f>+IF($F$24="Decreciente","MIn","Max")</f>
        <v>Max</v>
      </c>
      <c r="L74" s="123" t="str">
        <f>+IF($F$24="Decreciente","Max","Min")</f>
        <v>Min</v>
      </c>
      <c r="M74" s="123" t="str">
        <f>+IF($F$24="Decreciente","MIn","Max")</f>
        <v>Max</v>
      </c>
      <c r="O74" s="106"/>
      <c r="S74" s="124" t="s">
        <v>46</v>
      </c>
      <c r="T74" s="124"/>
      <c r="U74" s="124" t="s">
        <v>40</v>
      </c>
      <c r="V74" s="124"/>
      <c r="W74" s="124" t="s">
        <v>47</v>
      </c>
      <c r="X74" s="124"/>
      <c r="Y74" s="124" t="s">
        <v>48</v>
      </c>
      <c r="Z74" s="124"/>
      <c r="AA74" s="124" t="s">
        <v>49</v>
      </c>
      <c r="AB74" s="124"/>
      <c r="AC74" s="124" t="s">
        <v>50</v>
      </c>
      <c r="AL74" s="125" t="s">
        <v>51</v>
      </c>
      <c r="AM74" s="125" t="s">
        <v>52</v>
      </c>
      <c r="AN74" s="125" t="s">
        <v>51</v>
      </c>
      <c r="AO74" s="125" t="s">
        <v>52</v>
      </c>
      <c r="AP74" s="125" t="s">
        <v>51</v>
      </c>
      <c r="AQ74" s="125" t="s">
        <v>52</v>
      </c>
      <c r="AR74" s="125" t="s">
        <v>51</v>
      </c>
      <c r="AS74" s="125" t="s">
        <v>52</v>
      </c>
    </row>
    <row r="75" spans="2:45" x14ac:dyDescent="0.25">
      <c r="B75" s="106"/>
      <c r="D75" s="386" t="s">
        <v>46</v>
      </c>
      <c r="E75" s="386"/>
      <c r="F75" s="126"/>
      <c r="G75" s="126"/>
      <c r="H75" s="126"/>
      <c r="I75" s="126"/>
      <c r="J75" s="126"/>
      <c r="K75" s="126"/>
      <c r="L75" s="126"/>
      <c r="M75" s="126"/>
      <c r="O75" s="106"/>
      <c r="Q75" s="122" t="s">
        <v>1980</v>
      </c>
      <c r="R75" s="111"/>
      <c r="S75" s="127"/>
      <c r="T75" s="111"/>
      <c r="U75" s="127"/>
      <c r="V75" s="111"/>
      <c r="W75" s="127"/>
      <c r="X75" s="111"/>
      <c r="Y75" s="127"/>
      <c r="Z75" s="111"/>
      <c r="AA75" s="127"/>
      <c r="AB75" s="111"/>
      <c r="AC75" s="127"/>
      <c r="AE75" s="105" t="s">
        <v>46</v>
      </c>
      <c r="AF75" s="105">
        <v>1</v>
      </c>
      <c r="AG75" s="105">
        <f>+IF(AF75&gt;=$G$71,1,0)</f>
        <v>0</v>
      </c>
      <c r="AH75" s="105">
        <f>+IF(AG75=0,0,IF(AG75=1,(SUM($AG$75:AG75)-1),1))</f>
        <v>0</v>
      </c>
      <c r="AI75" s="105">
        <f>+IF(AH75=0,0,IF(MOD(AH75,$U$69)=0,1,0))</f>
        <v>0</v>
      </c>
      <c r="AJ75" s="105">
        <f>+IF(AE75=$F$71,1,0)</f>
        <v>0</v>
      </c>
      <c r="AK75" s="105">
        <f>+MAX(AI75:AJ75)</f>
        <v>0</v>
      </c>
      <c r="AL75" s="128" t="str">
        <f>+""</f>
        <v/>
      </c>
      <c r="AM75" s="128" t="str">
        <f>+IF(AK75=0,"",IF(R78="&gt;",S78+0.001,IF(R78="&lt;",S78-0.001,S78)))</f>
        <v/>
      </c>
      <c r="AN75" s="128" t="str">
        <f>+IF(R77="NA","",IF(AK75=0,"",IF(R78="≥",S78-0.001,IF(R78="≤",S78+0.001,S78))))</f>
        <v/>
      </c>
      <c r="AO75" s="128" t="str">
        <f>IF(R77="NA","",IF(AK75=0,"",IF(R77="&gt;",S77+0.001,IF(R77="&lt;",S77-0.001,S77))))</f>
        <v/>
      </c>
      <c r="AP75" s="128" t="str">
        <f>+IF(R76="NA","",IF(AK75=0,"",IF(R77="≥",S77-0.001,IF(R77="≤",S77+0.001,S77))))</f>
        <v/>
      </c>
      <c r="AQ75" s="128" t="str">
        <f>+IF(R76="NA","",IF(AK75=0,"",IF(R76="&gt;",S76+0.001,IF(R76="&lt;",S76-0.001,S76))))</f>
        <v/>
      </c>
      <c r="AR75" s="128" t="str">
        <f>IF(AK75=0,"",IF(R76="≥",S75-0.001,IF(R76="≤",S75+0.001,"")))</f>
        <v/>
      </c>
      <c r="AS75" s="128" t="str">
        <f>+IF(AK75=0,"",IF(R75="=",S75,""))</f>
        <v/>
      </c>
    </row>
    <row r="76" spans="2:45" x14ac:dyDescent="0.25">
      <c r="B76" s="106"/>
      <c r="D76" s="386" t="s">
        <v>40</v>
      </c>
      <c r="E76" s="386"/>
      <c r="F76" s="126"/>
      <c r="G76" s="126"/>
      <c r="H76" s="126"/>
      <c r="I76" s="126"/>
      <c r="J76" s="126"/>
      <c r="K76" s="126"/>
      <c r="L76" s="126"/>
      <c r="M76" s="126"/>
      <c r="O76" s="106"/>
      <c r="Q76" s="122" t="s">
        <v>1981</v>
      </c>
      <c r="R76" s="111"/>
      <c r="S76" s="127"/>
      <c r="T76" s="111"/>
      <c r="U76" s="127"/>
      <c r="V76" s="111"/>
      <c r="W76" s="127"/>
      <c r="X76" s="111"/>
      <c r="Y76" s="127"/>
      <c r="Z76" s="111"/>
      <c r="AA76" s="127"/>
      <c r="AB76" s="111"/>
      <c r="AC76" s="127"/>
      <c r="AE76" s="105" t="s">
        <v>40</v>
      </c>
      <c r="AF76" s="105">
        <v>2</v>
      </c>
      <c r="AG76" s="105">
        <f t="shared" ref="AG76:AG86" si="0">+IF(AF76&gt;=$G$71,1,0)</f>
        <v>0</v>
      </c>
      <c r="AH76" s="105">
        <f>+IF(AG76=0,0,IF(AG76=1,(SUM($AG$75:AG76)-1),1))</f>
        <v>0</v>
      </c>
      <c r="AI76" s="105">
        <f t="shared" ref="AI76:AI86" si="1">+IF(AH76=0,0,IF(MOD(AH76,$U$69)=0,1,0))</f>
        <v>0</v>
      </c>
      <c r="AJ76" s="105">
        <f t="shared" ref="AJ76:AJ86" si="2">+IF(AE76=$F$71,1,0)</f>
        <v>0</v>
      </c>
      <c r="AK76" s="105">
        <f t="shared" ref="AK76:AK86" si="3">+MAX(AI76:AJ76)</f>
        <v>0</v>
      </c>
      <c r="AL76" s="128" t="str">
        <f>+""</f>
        <v/>
      </c>
      <c r="AM76" s="128" t="str">
        <f>+IF(AK76=0,"",IF(T78="&gt;",U78+0.001,IF(T78="&lt;",U78-0.001,U78)))</f>
        <v/>
      </c>
      <c r="AN76" s="128" t="str">
        <f>+IF(T77="NA","",IF(AK76=0,"",IF(T78="≥",U78-0.001,IF(T78="≤",U78+0.001,U78))))</f>
        <v/>
      </c>
      <c r="AO76" s="128" t="str">
        <f>IF(T77="NA","",IF(AK76=0,"",IF(T77="&gt;",U77+0.001,IF(T77="&lt;",U77-0.001,U77))))</f>
        <v/>
      </c>
      <c r="AP76" s="128" t="str">
        <f>+IF(T76="NA","",IF(AK76=0,"",IF(T77="≥",U77-0.001,IF(T77="≤",U77+0.001,U77))))</f>
        <v/>
      </c>
      <c r="AQ76" s="128" t="str">
        <f>+IF(T76="NA","",IF(AK76=0,"",IF(T76="&gt;",U76+0.001,IF(T76="&lt;",U76-0.001,U76))))</f>
        <v/>
      </c>
      <c r="AR76" s="128" t="str">
        <f>IF(AK76=0,"",IF(T76="≥",U75-0.001,IF(T76="≤",U75+0.001,"")))</f>
        <v/>
      </c>
      <c r="AS76" s="128" t="str">
        <f>+IF(AK76=0,"",IF(T75="=",U75,""))</f>
        <v/>
      </c>
    </row>
    <row r="77" spans="2:45" x14ac:dyDescent="0.25">
      <c r="B77" s="106"/>
      <c r="D77" s="386" t="s">
        <v>47</v>
      </c>
      <c r="E77" s="386"/>
      <c r="F77" s="126"/>
      <c r="G77" s="126">
        <v>0.94</v>
      </c>
      <c r="H77" s="126">
        <v>0.94099999999999995</v>
      </c>
      <c r="I77" s="126">
        <v>0.96899999999999997</v>
      </c>
      <c r="J77" s="126">
        <v>0.97</v>
      </c>
      <c r="K77" s="126">
        <v>0.999</v>
      </c>
      <c r="L77" s="126">
        <v>1</v>
      </c>
      <c r="M77" s="126"/>
      <c r="O77" s="106"/>
      <c r="Q77" s="122" t="s">
        <v>1982</v>
      </c>
      <c r="R77" s="111"/>
      <c r="S77" s="127"/>
      <c r="T77" s="111"/>
      <c r="U77" s="127"/>
      <c r="V77" s="111"/>
      <c r="W77" s="127"/>
      <c r="X77" s="111"/>
      <c r="Y77" s="127"/>
      <c r="Z77" s="111"/>
      <c r="AA77" s="127"/>
      <c r="AB77" s="111"/>
      <c r="AC77" s="127"/>
      <c r="AE77" s="105" t="s">
        <v>47</v>
      </c>
      <c r="AF77" s="105">
        <v>3</v>
      </c>
      <c r="AG77" s="105">
        <f t="shared" si="0"/>
        <v>1</v>
      </c>
      <c r="AH77" s="105">
        <f>+IF(AG77=0,0,IF(AG77=1,(SUM($AG$75:AG77)-1),1))</f>
        <v>0</v>
      </c>
      <c r="AI77" s="105">
        <f t="shared" si="1"/>
        <v>0</v>
      </c>
      <c r="AJ77" s="105">
        <f t="shared" si="2"/>
        <v>1</v>
      </c>
      <c r="AK77" s="105">
        <f t="shared" si="3"/>
        <v>1</v>
      </c>
      <c r="AL77" s="128" t="str">
        <f>+""</f>
        <v/>
      </c>
      <c r="AM77" s="128">
        <f>+IF(AK77=0,"",IF(V78="&gt;",W78+0.001,IF(V78="&lt;",W78-0.001,W78)))</f>
        <v>0</v>
      </c>
      <c r="AN77" s="128">
        <f>+IF(V77="NA","",IF(AK77=0,"",IF(V78="≥",W78-0.001,IF(V78="≤",W78+0.001,W78))))</f>
        <v>0</v>
      </c>
      <c r="AO77" s="128">
        <f>IF(V77="NA","",IF(AK77=0,"",IF(V77="&gt;",W77+0.001,IF(V77="&lt;",W77-0.001,W77))))</f>
        <v>0</v>
      </c>
      <c r="AP77" s="128">
        <f>+IF(V76="NA","",IF(AK77=0,"",IF(V77="≥",W77-0.001,IF(V77="≤",W77+0.001,W77))))</f>
        <v>0</v>
      </c>
      <c r="AQ77" s="128">
        <f>+IF(V76="NA","",IF(AK77=0,"",IF(V76="&gt;",W76+0.001,IF(V76="&lt;",W76-0.001,W76))))</f>
        <v>0</v>
      </c>
      <c r="AR77" s="128" t="str">
        <f>IF(AK77=0,"",IF(V76="≥",W75-0.001,IF(V76="≤",W75+0.001,"")))</f>
        <v/>
      </c>
      <c r="AS77" s="128" t="str">
        <f>+IF(AK77=0,"",IF(V75="=",W75,""))</f>
        <v/>
      </c>
    </row>
    <row r="78" spans="2:45" x14ac:dyDescent="0.25">
      <c r="B78" s="106"/>
      <c r="D78" s="386" t="s">
        <v>48</v>
      </c>
      <c r="E78" s="386"/>
      <c r="F78" s="126"/>
      <c r="G78" s="126">
        <v>0.94</v>
      </c>
      <c r="H78" s="126">
        <v>0.94099999999999995</v>
      </c>
      <c r="I78" s="126">
        <v>0.96899999999999997</v>
      </c>
      <c r="J78" s="126">
        <v>0.97</v>
      </c>
      <c r="K78" s="126">
        <v>0.999</v>
      </c>
      <c r="L78" s="126">
        <v>1</v>
      </c>
      <c r="M78" s="126"/>
      <c r="O78" s="106"/>
      <c r="Q78" s="122" t="s">
        <v>1983</v>
      </c>
      <c r="R78" s="111"/>
      <c r="S78" s="127"/>
      <c r="T78" s="111"/>
      <c r="U78" s="127"/>
      <c r="V78" s="111"/>
      <c r="W78" s="127"/>
      <c r="X78" s="111"/>
      <c r="Y78" s="127"/>
      <c r="Z78" s="111"/>
      <c r="AA78" s="127"/>
      <c r="AB78" s="111"/>
      <c r="AC78" s="127"/>
      <c r="AE78" s="105" t="s">
        <v>48</v>
      </c>
      <c r="AF78" s="105">
        <v>4</v>
      </c>
      <c r="AG78" s="105">
        <f t="shared" si="0"/>
        <v>1</v>
      </c>
      <c r="AH78" s="105">
        <f>+IF(AG78=0,0,IF(AG78=1,(SUM($AG$75:AG78)-1),1))</f>
        <v>1</v>
      </c>
      <c r="AI78" s="105">
        <f t="shared" si="1"/>
        <v>1</v>
      </c>
      <c r="AJ78" s="105">
        <f t="shared" si="2"/>
        <v>0</v>
      </c>
      <c r="AK78" s="105">
        <f t="shared" si="3"/>
        <v>1</v>
      </c>
      <c r="AL78" s="128" t="str">
        <f>+""</f>
        <v/>
      </c>
      <c r="AM78" s="128">
        <f>+IF(AK78=0,"",IF(X78="&gt;",Y78+0.001,IF(X78="&lt;",Y78-0.001,Y78)))</f>
        <v>0</v>
      </c>
      <c r="AN78" s="128">
        <f>+IF(X77="NA","",IF(AK78=0,"",IF(X78="≥",Y78-0.001,IF(X78="≤",Y78+0.001,Y78))))</f>
        <v>0</v>
      </c>
      <c r="AO78" s="128">
        <f>IF(X77="NA","",IF(AK78=0,"",IF(X77="&gt;",Y77+0.001,IF(X77="&lt;",Y77-0.001,Y77))))</f>
        <v>0</v>
      </c>
      <c r="AP78" s="128">
        <f>+IF(X76="NA","",IF(AK78=0,"",IF(X77="≥",Y77-0.001,IF(X77="≤",Y77+0.001,Y77))))</f>
        <v>0</v>
      </c>
      <c r="AQ78" s="128">
        <f>+IF(X76="NA","",IF(AK78=0,"",IF(X76="&gt;",Y76+0.001,IF(X76="&lt;",Y76-0.001,Y76))))</f>
        <v>0</v>
      </c>
      <c r="AR78" s="128" t="str">
        <f>IF(AK78=0,"",IF(X76="≥",Y75-0.001,IF(X76="≤",Y75+0.001,"")))</f>
        <v/>
      </c>
      <c r="AS78" s="128" t="str">
        <f>+IF(AK78=0,"",IF(X75="=",Y75,""))</f>
        <v/>
      </c>
    </row>
    <row r="79" spans="2:45" x14ac:dyDescent="0.25">
      <c r="B79" s="106"/>
      <c r="D79" s="386" t="s">
        <v>49</v>
      </c>
      <c r="E79" s="386"/>
      <c r="F79" s="126"/>
      <c r="G79" s="126">
        <v>0.94</v>
      </c>
      <c r="H79" s="126">
        <v>0.94099999999999995</v>
      </c>
      <c r="I79" s="126">
        <v>0.96899999999999997</v>
      </c>
      <c r="J79" s="126">
        <v>0.97</v>
      </c>
      <c r="K79" s="126">
        <v>0.999</v>
      </c>
      <c r="L79" s="126">
        <v>1</v>
      </c>
      <c r="M79" s="126"/>
      <c r="O79" s="106"/>
      <c r="R79" s="111"/>
      <c r="S79" s="111">
        <f>+IFERROR(VLOOKUP(S80,$AE$75:$AK$86,7,FALSE),"")</f>
        <v>1</v>
      </c>
      <c r="U79" s="111">
        <f>+IFERROR(VLOOKUP(U80,$AE$75:$AK$86,7,FALSE),"")</f>
        <v>1</v>
      </c>
      <c r="W79" s="111">
        <f>+IFERROR(VLOOKUP(W80,$AE$75:$AK$86,7,FALSE),"")</f>
        <v>1</v>
      </c>
      <c r="Y79" s="111">
        <f>+IFERROR(VLOOKUP(Y80,$AE$75:$AK$86,7,FALSE),"")</f>
        <v>1</v>
      </c>
      <c r="AA79" s="111">
        <f>+IFERROR(VLOOKUP(AA80,$AE$75:$AK$86,7,FALSE),"")</f>
        <v>1</v>
      </c>
      <c r="AC79" s="111">
        <f>+IFERROR(VLOOKUP(AC80,$AE$75:$AK$86,7,FALSE),"")</f>
        <v>1</v>
      </c>
      <c r="AE79" s="105" t="s">
        <v>49</v>
      </c>
      <c r="AF79" s="105">
        <v>5</v>
      </c>
      <c r="AG79" s="105">
        <f t="shared" si="0"/>
        <v>1</v>
      </c>
      <c r="AH79" s="105">
        <f>+IF(AG79=0,0,IF(AG79=1,(SUM($AG$75:AG79)-1),1))</f>
        <v>2</v>
      </c>
      <c r="AI79" s="105">
        <f t="shared" si="1"/>
        <v>1</v>
      </c>
      <c r="AJ79" s="105">
        <f t="shared" si="2"/>
        <v>0</v>
      </c>
      <c r="AK79" s="105">
        <f t="shared" si="3"/>
        <v>1</v>
      </c>
      <c r="AL79" s="128" t="str">
        <f>+""</f>
        <v/>
      </c>
      <c r="AM79" s="128">
        <f>+IF(AK79=0,"",IF(Z78="&gt;",AA78+0.001,IF(Z78="&lt;",AA78-0.001,AA78)))</f>
        <v>0</v>
      </c>
      <c r="AN79" s="128">
        <f>+IF(Z77="NA","",IF(AK79=0,"",IF(Z78="≥",AA78-0.001,IF(Z78="≤",AA78+0.001,AA78))))</f>
        <v>0</v>
      </c>
      <c r="AO79" s="128">
        <f>IF(Z77="NA","",IF(AK79=0,"",IF(Z77="&gt;",AA77+0.001,IF(Z77="&lt;",AA77-0.001,AA77))))</f>
        <v>0</v>
      </c>
      <c r="AP79" s="128">
        <f>+IF(Z76="NA","",IF(AK79=0,"",IF(Z77="≥",AA77-0.001,IF(Z77="≤",AA77+0.001,AA77))))</f>
        <v>0</v>
      </c>
      <c r="AQ79" s="128">
        <f>+IF(Z76="NA","",IF(AK79=0,"",IF(Z76="&gt;",AA76+0.001,IF(Z76="&lt;",AA76-0.001,AA76))))</f>
        <v>0</v>
      </c>
      <c r="AR79" s="128" t="str">
        <f>IF(AK79=0,"",IF(Z76="≥",AA75-0.001,IF(Z76="≤",AA75+0.001,"")))</f>
        <v/>
      </c>
      <c r="AS79" s="128" t="str">
        <f>+IF(AK79=0,"",IF(Z75="=",AA75,""))</f>
        <v/>
      </c>
    </row>
    <row r="80" spans="2:45" x14ac:dyDescent="0.25">
      <c r="B80" s="106"/>
      <c r="D80" s="386" t="s">
        <v>50</v>
      </c>
      <c r="E80" s="386"/>
      <c r="F80" s="126"/>
      <c r="G80" s="126">
        <v>0.94</v>
      </c>
      <c r="H80" s="126">
        <v>0.94099999999999995</v>
      </c>
      <c r="I80" s="126">
        <v>0.96899999999999997</v>
      </c>
      <c r="J80" s="126">
        <v>0.97</v>
      </c>
      <c r="K80" s="126">
        <v>0.999</v>
      </c>
      <c r="L80" s="126">
        <v>1</v>
      </c>
      <c r="M80" s="126"/>
      <c r="O80" s="106"/>
      <c r="R80" s="111"/>
      <c r="S80" s="124" t="s">
        <v>53</v>
      </c>
      <c r="T80" s="124"/>
      <c r="U80" s="124" t="s">
        <v>54</v>
      </c>
      <c r="V80" s="124"/>
      <c r="W80" s="124" t="s">
        <v>55</v>
      </c>
      <c r="X80" s="124"/>
      <c r="Y80" s="124" t="s">
        <v>56</v>
      </c>
      <c r="Z80" s="124"/>
      <c r="AA80" s="124" t="s">
        <v>57</v>
      </c>
      <c r="AB80" s="124"/>
      <c r="AC80" s="124" t="s">
        <v>58</v>
      </c>
      <c r="AE80" s="105" t="s">
        <v>50</v>
      </c>
      <c r="AF80" s="105">
        <v>6</v>
      </c>
      <c r="AG80" s="105">
        <f t="shared" si="0"/>
        <v>1</v>
      </c>
      <c r="AH80" s="105">
        <f>+IF(AG80=0,0,IF(AG80=1,(SUM($AG$75:AG80)-1),1))</f>
        <v>3</v>
      </c>
      <c r="AI80" s="105">
        <f t="shared" si="1"/>
        <v>1</v>
      </c>
      <c r="AJ80" s="105">
        <f t="shared" si="2"/>
        <v>0</v>
      </c>
      <c r="AK80" s="105">
        <f t="shared" si="3"/>
        <v>1</v>
      </c>
      <c r="AL80" s="128" t="str">
        <f>+""</f>
        <v/>
      </c>
      <c r="AM80" s="128">
        <f>+IF(AK80=0,"",IF(AB78="&gt;",AC78+0.001,IF(AB78="&lt;",AC78-0.001,AC78)))</f>
        <v>0</v>
      </c>
      <c r="AN80" s="128">
        <f>+IF(AB77="NA","",IF(AK80=0,"",IF(AB78="≥",AC78-0.001,IF(AB78="≤",AC78+0.001,AC78))))</f>
        <v>0</v>
      </c>
      <c r="AO80" s="128">
        <f>IF(AB77="NA","",IF(AK80=0,"",IF(AB77="&gt;",AC77+0.001,IF(AB77="&lt;",AC77-0.001,AC77))))</f>
        <v>0</v>
      </c>
      <c r="AP80" s="128">
        <f>+IF(AB76="NA","",IF(AK80=0,"",IF(AB77="≥",AC77-0.001,IF(AB77="≤",AC77+0.001,AC77))))</f>
        <v>0</v>
      </c>
      <c r="AQ80" s="128">
        <f>+IF(AB76="NA","",IF(AK80=0,"",IF(AB76="&gt;",AC76+0.001,IF(AB76="&lt;",AC76-0.001,AC76))))</f>
        <v>0</v>
      </c>
      <c r="AR80" s="128" t="str">
        <f>IF(AK80=0,"",IF(AB76="≥",AC75-0.001,IF(AB76="≤",AC75+0.001,"")))</f>
        <v/>
      </c>
      <c r="AS80" s="128" t="str">
        <f>+IF(AK80=0,"",IF(AB75="=",AC75,""))</f>
        <v/>
      </c>
    </row>
    <row r="81" spans="2:45" x14ac:dyDescent="0.25">
      <c r="B81" s="106"/>
      <c r="D81" s="386" t="s">
        <v>53</v>
      </c>
      <c r="E81" s="386"/>
      <c r="F81" s="126"/>
      <c r="G81" s="126">
        <v>0.94</v>
      </c>
      <c r="H81" s="126">
        <v>0.94099999999999995</v>
      </c>
      <c r="I81" s="126">
        <v>0.96899999999999997</v>
      </c>
      <c r="J81" s="126">
        <v>0.97</v>
      </c>
      <c r="K81" s="126">
        <v>0.999</v>
      </c>
      <c r="L81" s="126">
        <v>1</v>
      </c>
      <c r="M81" s="126"/>
      <c r="O81" s="106"/>
      <c r="Q81" s="122" t="s">
        <v>1980</v>
      </c>
      <c r="R81" s="111"/>
      <c r="S81" s="127"/>
      <c r="T81" s="111"/>
      <c r="U81" s="127"/>
      <c r="V81" s="111"/>
      <c r="W81" s="127"/>
      <c r="X81" s="111"/>
      <c r="Y81" s="127"/>
      <c r="Z81" s="111"/>
      <c r="AA81" s="127"/>
      <c r="AB81" s="111"/>
      <c r="AC81" s="127"/>
      <c r="AE81" s="105" t="s">
        <v>53</v>
      </c>
      <c r="AF81" s="105">
        <v>7</v>
      </c>
      <c r="AG81" s="105">
        <f t="shared" si="0"/>
        <v>1</v>
      </c>
      <c r="AH81" s="105">
        <f>+IF(AG81=0,0,IF(AG81=1,(SUM($AG$75:AG81)-1),1))</f>
        <v>4</v>
      </c>
      <c r="AI81" s="105">
        <f t="shared" si="1"/>
        <v>1</v>
      </c>
      <c r="AJ81" s="105">
        <f t="shared" si="2"/>
        <v>0</v>
      </c>
      <c r="AK81" s="105">
        <f t="shared" si="3"/>
        <v>1</v>
      </c>
      <c r="AL81" s="128" t="str">
        <f>+""</f>
        <v/>
      </c>
      <c r="AM81" s="128">
        <f>+IF(AK81=0,"",IF(R84="&gt;",S84+0.001,IF(R84="&lt;",S84-0.001,S84)))</f>
        <v>0</v>
      </c>
      <c r="AN81" s="128">
        <f>+IF(R83="NA","",IF(AK81=0,"",IF(R84="≥",S84-0.001,IF(R84="≤",S84+0.001,S84))))</f>
        <v>0</v>
      </c>
      <c r="AO81" s="128">
        <f>IF(R83="NA","",IF(AK81=0,"",IF(R83="&gt;",S83+0.001,IF(R83="&lt;",S83-0.001,S83))))</f>
        <v>0</v>
      </c>
      <c r="AP81" s="128">
        <f>+IF(R82="NA","",IF(AK81=0,"",IF(R83="≥",S83-0.001,IF(R83="≤",S83+0.001,S83))))</f>
        <v>0</v>
      </c>
      <c r="AQ81" s="128">
        <f>+IF(R82="NA","",IF(AK81=0,"",IF(R82="&gt;",S82+0.001,IF(R82="&lt;",S82-0.001,S82))))</f>
        <v>0</v>
      </c>
      <c r="AR81" s="128" t="str">
        <f>IF(AK81=0,"",IF(R82="≥",S81-0.001,IF(R82="≤",S81+0.001,"")))</f>
        <v/>
      </c>
      <c r="AS81" s="128" t="str">
        <f>+IF(AK81=0,"",IF(R81="=",S81,""))</f>
        <v/>
      </c>
    </row>
    <row r="82" spans="2:45" x14ac:dyDescent="0.25">
      <c r="B82" s="106"/>
      <c r="D82" s="386" t="s">
        <v>54</v>
      </c>
      <c r="E82" s="386"/>
      <c r="F82" s="126"/>
      <c r="G82" s="126">
        <v>0.94</v>
      </c>
      <c r="H82" s="126">
        <v>0.94099999999999995</v>
      </c>
      <c r="I82" s="126">
        <v>0.96899999999999997</v>
      </c>
      <c r="J82" s="126">
        <v>0.97</v>
      </c>
      <c r="K82" s="126">
        <v>0.999</v>
      </c>
      <c r="L82" s="126">
        <v>1</v>
      </c>
      <c r="M82" s="126"/>
      <c r="O82" s="106"/>
      <c r="Q82" s="122" t="s">
        <v>1981</v>
      </c>
      <c r="R82" s="111"/>
      <c r="S82" s="127"/>
      <c r="T82" s="111"/>
      <c r="U82" s="127"/>
      <c r="V82" s="111"/>
      <c r="W82" s="127"/>
      <c r="X82" s="111"/>
      <c r="Y82" s="127"/>
      <c r="Z82" s="111"/>
      <c r="AA82" s="127"/>
      <c r="AB82" s="111"/>
      <c r="AC82" s="127"/>
      <c r="AE82" s="105" t="s">
        <v>54</v>
      </c>
      <c r="AF82" s="105">
        <v>8</v>
      </c>
      <c r="AG82" s="105">
        <f t="shared" si="0"/>
        <v>1</v>
      </c>
      <c r="AH82" s="105">
        <f>+IF(AG82=0,0,IF(AG82=1,(SUM($AG$75:AG82)-1),1))</f>
        <v>5</v>
      </c>
      <c r="AI82" s="105">
        <f t="shared" si="1"/>
        <v>1</v>
      </c>
      <c r="AJ82" s="105">
        <f t="shared" si="2"/>
        <v>0</v>
      </c>
      <c r="AK82" s="105">
        <f t="shared" si="3"/>
        <v>1</v>
      </c>
      <c r="AL82" s="128" t="str">
        <f>+""</f>
        <v/>
      </c>
      <c r="AM82" s="128">
        <f>+IF(AK82=0,"",IF(T84="&gt;",U84+0.001,IF(T84="&lt;",U84-0.001,U84)))</f>
        <v>0</v>
      </c>
      <c r="AN82" s="128">
        <f>+IF(T83="NA","",IF(AK82=0,"",IF(T84="≥",U84-0.001,IF(T84="≤",U84+0.001,U84))))</f>
        <v>0</v>
      </c>
      <c r="AO82" s="128">
        <f>IF(T83="NA","",IF(AK82=0,"",IF(T83="&gt;",U83+0.001,IF(T83="&lt;",U83-0.001,U83))))</f>
        <v>0</v>
      </c>
      <c r="AP82" s="128">
        <f>+IF(T82="NA","",IF(AK82=0,"",IF(T83="≥",U83-0.001,IF(T83="≤",U83+0.001,U83))))</f>
        <v>0</v>
      </c>
      <c r="AQ82" s="128">
        <f>+IF(T82="NA","",IF(AK82=0,"",IF(T82="&gt;",U82+0.001,IF(T82="&lt;",U82-0.001,U82))))</f>
        <v>0</v>
      </c>
      <c r="AR82" s="128" t="str">
        <f>IF(AK82=0,"",IF(T82="≥",U81-0.001,IF(T82="≤",U81+0.001,"")))</f>
        <v/>
      </c>
      <c r="AS82" s="128" t="str">
        <f>+IF(AK82=0,"",IF(T81="=",U81,""))</f>
        <v/>
      </c>
    </row>
    <row r="83" spans="2:45" x14ac:dyDescent="0.25">
      <c r="B83" s="106"/>
      <c r="D83" s="386" t="s">
        <v>55</v>
      </c>
      <c r="E83" s="386"/>
      <c r="F83" s="126"/>
      <c r="G83" s="126">
        <v>0.94</v>
      </c>
      <c r="H83" s="126">
        <v>0.94099999999999995</v>
      </c>
      <c r="I83" s="126">
        <v>0.96899999999999997</v>
      </c>
      <c r="J83" s="126">
        <v>0.97</v>
      </c>
      <c r="K83" s="126">
        <v>0.999</v>
      </c>
      <c r="L83" s="126">
        <v>1</v>
      </c>
      <c r="M83" s="126"/>
      <c r="O83" s="106"/>
      <c r="Q83" s="122" t="s">
        <v>1982</v>
      </c>
      <c r="R83" s="111"/>
      <c r="S83" s="127"/>
      <c r="T83" s="111"/>
      <c r="U83" s="127"/>
      <c r="V83" s="111"/>
      <c r="W83" s="127"/>
      <c r="X83" s="111"/>
      <c r="Y83" s="127"/>
      <c r="Z83" s="111"/>
      <c r="AA83" s="127"/>
      <c r="AB83" s="111"/>
      <c r="AC83" s="127"/>
      <c r="AE83" s="105" t="s">
        <v>55</v>
      </c>
      <c r="AF83" s="105">
        <v>9</v>
      </c>
      <c r="AG83" s="105">
        <f t="shared" si="0"/>
        <v>1</v>
      </c>
      <c r="AH83" s="105">
        <f>+IF(AG83=0,0,IF(AG83=1,(SUM($AG$75:AG83)-1),1))</f>
        <v>6</v>
      </c>
      <c r="AI83" s="105">
        <f t="shared" si="1"/>
        <v>1</v>
      </c>
      <c r="AJ83" s="105">
        <f t="shared" si="2"/>
        <v>0</v>
      </c>
      <c r="AK83" s="105">
        <f t="shared" si="3"/>
        <v>1</v>
      </c>
      <c r="AL83" s="128" t="str">
        <f>+""</f>
        <v/>
      </c>
      <c r="AM83" s="128">
        <f>+IF(AK83=0,"",IF(V84="&gt;",W84+0.001,IF(V84="&lt;",W84-0.001,W84)))</f>
        <v>0</v>
      </c>
      <c r="AN83" s="128">
        <f>+IF(V83="NA","",IF(AK83=0,"",IF(V84="≥",W84-0.001,IF(V84="≤",W84+0.001,W84))))</f>
        <v>0</v>
      </c>
      <c r="AO83" s="128">
        <f>IF(V83="NA","",IF(AK83=0,"",IF(V83="&gt;",W83+0.001,IF(V83="&lt;",W83-0.001,W83))))</f>
        <v>0</v>
      </c>
      <c r="AP83" s="128">
        <f>+IF(V82="NA","",IF(AK83=0,"",IF(V83="≥",W83-0.001,IF(V83="≤",W83+0.001,W83))))</f>
        <v>0</v>
      </c>
      <c r="AQ83" s="128">
        <f>+IF(V82="NA","",IF(AK83=0,"",IF(V82="&gt;",W82+0.001,IF(V82="&lt;",W82-0.001,W82))))</f>
        <v>0</v>
      </c>
      <c r="AR83" s="128" t="str">
        <f>IF(AK83=0,"",IF(V82="≥",W81-0.001,IF(V82="≤",W81+0.001,"")))</f>
        <v/>
      </c>
      <c r="AS83" s="128" t="str">
        <f>+IF(AK83=0,"",IF(V81="=",W81,""))</f>
        <v/>
      </c>
    </row>
    <row r="84" spans="2:45" x14ac:dyDescent="0.25">
      <c r="B84" s="106"/>
      <c r="D84" s="386" t="s">
        <v>56</v>
      </c>
      <c r="E84" s="386"/>
      <c r="F84" s="126"/>
      <c r="G84" s="126">
        <v>0.94</v>
      </c>
      <c r="H84" s="126">
        <v>0.94099999999999995</v>
      </c>
      <c r="I84" s="126">
        <v>0.96899999999999997</v>
      </c>
      <c r="J84" s="126">
        <v>0.97</v>
      </c>
      <c r="K84" s="126">
        <v>0.999</v>
      </c>
      <c r="L84" s="126">
        <v>1</v>
      </c>
      <c r="M84" s="126"/>
      <c r="O84" s="106"/>
      <c r="Q84" s="122" t="s">
        <v>1983</v>
      </c>
      <c r="R84" s="111"/>
      <c r="S84" s="127"/>
      <c r="T84" s="111"/>
      <c r="U84" s="127"/>
      <c r="V84" s="111"/>
      <c r="W84" s="127"/>
      <c r="X84" s="111"/>
      <c r="Y84" s="127"/>
      <c r="Z84" s="111"/>
      <c r="AA84" s="127"/>
      <c r="AB84" s="111"/>
      <c r="AC84" s="127"/>
      <c r="AE84" s="105" t="s">
        <v>56</v>
      </c>
      <c r="AF84" s="105">
        <v>10</v>
      </c>
      <c r="AG84" s="105">
        <f t="shared" si="0"/>
        <v>1</v>
      </c>
      <c r="AH84" s="105">
        <f>+IF(AG84=0,0,IF(AG84=1,(SUM($AG$75:AG84)-1),1))</f>
        <v>7</v>
      </c>
      <c r="AI84" s="105">
        <f t="shared" si="1"/>
        <v>1</v>
      </c>
      <c r="AJ84" s="105">
        <f t="shared" si="2"/>
        <v>0</v>
      </c>
      <c r="AK84" s="105">
        <f t="shared" si="3"/>
        <v>1</v>
      </c>
      <c r="AL84" s="128" t="str">
        <f>+""</f>
        <v/>
      </c>
      <c r="AM84" s="128">
        <f>+IF(AK84=0,"",IF(X84="&gt;",Y84+0.001,IF(X84="&lt;",Y84-0.001,Y84)))</f>
        <v>0</v>
      </c>
      <c r="AN84" s="128">
        <f>+IF(X83="NA","",IF(AK84=0,"",IF(X84="≥",Y84-0.001,IF(X84="≤",Y84+0.001,Y84))))</f>
        <v>0</v>
      </c>
      <c r="AO84" s="128">
        <f>IF(X83="NA","",IF(AK84=0,"",IF(X83="&gt;",Y83+0.001,IF(X83="&lt;",Y83-0.001,Y83))))</f>
        <v>0</v>
      </c>
      <c r="AP84" s="128">
        <f>+IF(X82="NA","",IF(AK84=0,"",IF(X83="≥",Y83-0.001,IF(X83="≤",Y83+0.001,Y83))))</f>
        <v>0</v>
      </c>
      <c r="AQ84" s="128">
        <f>+IF(X82="NA","",IF(AK84=0,"",IF(X82="&gt;",Y82+0.001,IF(X82="&lt;",Y82-0.001,Y82))))</f>
        <v>0</v>
      </c>
      <c r="AR84" s="128" t="str">
        <f>IF(AK84=0,"",IF(X82="≥",Y81-0.001,IF(X82="≤",Y81+0.001,"")))</f>
        <v/>
      </c>
      <c r="AS84" s="128" t="str">
        <f>+IF(AK84=0,"",IF(X81="=",Y81,""))</f>
        <v/>
      </c>
    </row>
    <row r="85" spans="2:45" x14ac:dyDescent="0.25">
      <c r="B85" s="106"/>
      <c r="D85" s="386" t="s">
        <v>57</v>
      </c>
      <c r="E85" s="386"/>
      <c r="F85" s="126"/>
      <c r="G85" s="126">
        <v>0.94</v>
      </c>
      <c r="H85" s="126">
        <v>0.94099999999999995</v>
      </c>
      <c r="I85" s="126">
        <v>0.96899999999999997</v>
      </c>
      <c r="J85" s="126">
        <v>0.97</v>
      </c>
      <c r="K85" s="126">
        <v>0.999</v>
      </c>
      <c r="L85" s="126">
        <v>1</v>
      </c>
      <c r="M85" s="126"/>
      <c r="O85" s="106"/>
      <c r="AE85" s="105" t="s">
        <v>57</v>
      </c>
      <c r="AF85" s="105">
        <v>11</v>
      </c>
      <c r="AG85" s="105">
        <f t="shared" si="0"/>
        <v>1</v>
      </c>
      <c r="AH85" s="105">
        <f>+IF(AG85=0,0,IF(AG85=1,(SUM($AG$75:AG85)-1),1))</f>
        <v>8</v>
      </c>
      <c r="AI85" s="105">
        <f t="shared" si="1"/>
        <v>1</v>
      </c>
      <c r="AJ85" s="105">
        <f t="shared" si="2"/>
        <v>0</v>
      </c>
      <c r="AK85" s="105">
        <f t="shared" si="3"/>
        <v>1</v>
      </c>
      <c r="AL85" s="128" t="str">
        <f>+""</f>
        <v/>
      </c>
      <c r="AM85" s="128">
        <f>+IF(AK85=0,"",IF(Z84="&gt;",AA84+0.001,IF(Z84="&lt;",AA84-0.001,AA84)))</f>
        <v>0</v>
      </c>
      <c r="AN85" s="128">
        <f>+IF(Z83="NA","",IF(AK85=0,"",IF(Z84="≥",AA84-0.001,IF(Z84="≤",AA84+0.001,AA84))))</f>
        <v>0</v>
      </c>
      <c r="AO85" s="128">
        <f>IF(Z83="NA","",IF(AK85=0,"",IF(Z83="&gt;",AA83+0.001,IF(Z83="&lt;",AA83-0.001,AA83))))</f>
        <v>0</v>
      </c>
      <c r="AP85" s="128">
        <f>+IF(Z82="NA","",IF(AK85=0,"",IF(Z83="≥",AA83-0.001,IF(Z83="≤",AA83+0.001,AA83))))</f>
        <v>0</v>
      </c>
      <c r="AQ85" s="128">
        <f>+IF(Z82="NA","",IF(AK85=0,"",IF(Z82="&gt;",AA82+0.001,IF(Z82="&lt;",AA82-0.001,AA82))))</f>
        <v>0</v>
      </c>
      <c r="AR85" s="128" t="str">
        <f>IF(AK85=0,"",IF(Z82="≥",AA81-0.001,IF(Z82="≤",AA81+0.001,"")))</f>
        <v/>
      </c>
      <c r="AS85" s="128" t="str">
        <f>+IF(AK85=0,"",IF(Z81="=",AA81,""))</f>
        <v/>
      </c>
    </row>
    <row r="86" spans="2:45" x14ac:dyDescent="0.25">
      <c r="B86" s="106"/>
      <c r="D86" s="386" t="s">
        <v>58</v>
      </c>
      <c r="E86" s="386"/>
      <c r="F86" s="126"/>
      <c r="G86" s="126">
        <v>0.94</v>
      </c>
      <c r="H86" s="126">
        <v>0.94099999999999995</v>
      </c>
      <c r="I86" s="126">
        <v>0.96899999999999997</v>
      </c>
      <c r="J86" s="126">
        <v>0.97</v>
      </c>
      <c r="K86" s="126">
        <v>0.999</v>
      </c>
      <c r="L86" s="126">
        <v>1</v>
      </c>
      <c r="M86" s="126"/>
      <c r="O86" s="106"/>
      <c r="AE86" s="105" t="s">
        <v>58</v>
      </c>
      <c r="AF86" s="129">
        <v>12</v>
      </c>
      <c r="AG86" s="105">
        <f t="shared" si="0"/>
        <v>1</v>
      </c>
      <c r="AH86" s="105">
        <f>+IF(AG86=0,0,IF(AG86=1,(SUM($AG$75:AG86)-1),1))</f>
        <v>9</v>
      </c>
      <c r="AI86" s="105">
        <f t="shared" si="1"/>
        <v>1</v>
      </c>
      <c r="AJ86" s="105">
        <f t="shared" si="2"/>
        <v>0</v>
      </c>
      <c r="AK86" s="105">
        <f t="shared" si="3"/>
        <v>1</v>
      </c>
      <c r="AL86" s="128" t="str">
        <f>+""</f>
        <v/>
      </c>
      <c r="AM86" s="128">
        <f>+IF(AK86=0,"",IF(AB84="&gt;",AC84+0.001,IF(AB84="&lt;",AC84-0.001,AC84)))</f>
        <v>0</v>
      </c>
      <c r="AN86" s="128">
        <f>+IF(AB83="NA","",IF(AK86=0,"",IF(AB84="≥",AC84-0.001,IF(AB84="≤",AC84+0.001,AC84))))</f>
        <v>0</v>
      </c>
      <c r="AO86" s="128">
        <f>IF(AB83="NA","",IF(AK86=0,"",IF(AB83="&gt;",AC83+0.001,IF(AB83="&lt;",AC83-0.001,AC83))))</f>
        <v>0</v>
      </c>
      <c r="AP86" s="128">
        <f>+IF(AB82="NA","",IF(AK86=0,"",IF(AB83="≥",AC83-0.001,IF(AB83="≤",AC83+0.001,AC83))))</f>
        <v>0</v>
      </c>
      <c r="AQ86" s="128">
        <f>+IF(AB82="NA","",IF(AK86=0,"",IF(AB82="&gt;",AC82+0.001,IF(AB82="&lt;",AC82-0.001,AC82))))</f>
        <v>0</v>
      </c>
      <c r="AR86" s="128" t="str">
        <f>IF(AK86=0,"",IF(AB82="≥",AC81-0.001,IF(AB82="≤",AC81+0.001,"")))</f>
        <v/>
      </c>
      <c r="AS86" s="128" t="str">
        <f>+IF(AK86=0,"",IF(AB81="=",AC81,""))</f>
        <v/>
      </c>
    </row>
    <row r="87" spans="2:45" ht="3.75" customHeight="1" x14ac:dyDescent="0.25">
      <c r="B87" s="106"/>
      <c r="G87" s="126">
        <v>0.94</v>
      </c>
      <c r="H87" s="126">
        <v>0.94099999999999995</v>
      </c>
      <c r="I87" s="126">
        <v>0.96899999999999997</v>
      </c>
      <c r="J87" s="126">
        <v>0.97</v>
      </c>
      <c r="K87" s="126">
        <v>0.999</v>
      </c>
      <c r="L87" s="126">
        <v>1</v>
      </c>
      <c r="O87" s="106"/>
      <c r="AR87" s="128" t="str">
        <f>IF(AK87=0,"",IF(S83="Creciente",IF(R88="≥",S88-0.001,""),IF(R88="≤",S88+0.001,"")))</f>
        <v/>
      </c>
    </row>
    <row r="88" spans="2:45" ht="66" customHeight="1" x14ac:dyDescent="0.25">
      <c r="B88" s="106"/>
      <c r="D88" s="378" t="s">
        <v>59</v>
      </c>
      <c r="E88" s="379"/>
      <c r="F88" s="380" t="s">
        <v>2079</v>
      </c>
      <c r="G88" s="381"/>
      <c r="H88" s="381"/>
      <c r="I88" s="381"/>
      <c r="J88" s="381"/>
      <c r="K88" s="381"/>
      <c r="L88" s="381"/>
      <c r="M88" s="382"/>
      <c r="O88" s="106"/>
    </row>
    <row r="89" spans="2:45" ht="3.95" customHeight="1" x14ac:dyDescent="0.25">
      <c r="B89" s="106"/>
      <c r="O89" s="106"/>
    </row>
    <row r="90" spans="2:45" ht="3" customHeight="1" x14ac:dyDescent="0.25">
      <c r="B90" s="106"/>
      <c r="C90" s="106"/>
      <c r="D90" s="106"/>
      <c r="E90" s="106"/>
      <c r="F90" s="106"/>
      <c r="G90" s="106"/>
      <c r="H90" s="106"/>
      <c r="I90" s="106"/>
      <c r="J90" s="106"/>
      <c r="K90" s="106"/>
      <c r="L90" s="106"/>
      <c r="M90" s="106"/>
      <c r="N90" s="106"/>
      <c r="O90" s="106"/>
    </row>
    <row r="91" spans="2:45" ht="3" customHeight="1" x14ac:dyDescent="0.25"/>
    <row r="92" spans="2:45" ht="3" customHeight="1" x14ac:dyDescent="0.25">
      <c r="B92" s="106"/>
      <c r="C92" s="106"/>
      <c r="D92" s="106"/>
      <c r="E92" s="106"/>
      <c r="F92" s="106"/>
      <c r="G92" s="106"/>
      <c r="H92" s="106"/>
      <c r="I92" s="106"/>
      <c r="J92" s="106"/>
      <c r="K92" s="106"/>
      <c r="L92" s="106"/>
      <c r="M92" s="106"/>
      <c r="N92" s="106"/>
      <c r="O92" s="106"/>
    </row>
    <row r="93" spans="2:45" ht="3.95" customHeight="1" x14ac:dyDescent="0.25">
      <c r="B93" s="106"/>
      <c r="O93" s="106"/>
    </row>
    <row r="94" spans="2:45" x14ac:dyDescent="0.25">
      <c r="B94" s="106"/>
      <c r="D94" s="112" t="s">
        <v>60</v>
      </c>
      <c r="O94" s="106"/>
    </row>
    <row r="95" spans="2:45" ht="3.95" customHeight="1" x14ac:dyDescent="0.25">
      <c r="B95" s="106"/>
      <c r="O95" s="106"/>
    </row>
    <row r="96" spans="2:45" ht="20.100000000000001" customHeight="1" x14ac:dyDescent="0.25">
      <c r="B96" s="106"/>
      <c r="D96" s="387" t="s">
        <v>61</v>
      </c>
      <c r="E96" s="387"/>
      <c r="O96" s="106"/>
    </row>
    <row r="97" spans="2:15" ht="30" customHeight="1" x14ac:dyDescent="0.25">
      <c r="B97" s="106"/>
      <c r="D97" s="369" t="s">
        <v>35</v>
      </c>
      <c r="E97" s="369"/>
      <c r="F97" s="370" t="str">
        <f>+IFERROR(VLOOKUP($S$12,[1]Hoja1!$B$5:$AT$190,29,FALSE),"")</f>
        <v>Reportes de Ejecucion Presupuestal SIIF</v>
      </c>
      <c r="G97" s="370"/>
      <c r="H97" s="370"/>
      <c r="I97" s="370"/>
      <c r="J97" s="370"/>
      <c r="K97" s="370"/>
      <c r="L97" s="370"/>
      <c r="M97" s="370"/>
      <c r="O97" s="106"/>
    </row>
    <row r="98" spans="2:15" ht="30" customHeight="1" x14ac:dyDescent="0.25">
      <c r="B98" s="106"/>
      <c r="D98" s="369" t="s">
        <v>36</v>
      </c>
      <c r="E98" s="369"/>
      <c r="F98" s="370" t="s">
        <v>1984</v>
      </c>
      <c r="G98" s="370"/>
      <c r="H98" s="370"/>
      <c r="I98" s="370"/>
      <c r="J98" s="370"/>
      <c r="K98" s="370"/>
      <c r="L98" s="370"/>
      <c r="M98" s="370"/>
      <c r="O98" s="106"/>
    </row>
    <row r="99" spans="2:15" ht="3.95" customHeight="1" x14ac:dyDescent="0.25">
      <c r="B99" s="106"/>
      <c r="O99" s="106"/>
    </row>
    <row r="100" spans="2:15" ht="58.5" customHeight="1" x14ac:dyDescent="0.25">
      <c r="B100" s="106"/>
      <c r="D100" s="378" t="s">
        <v>62</v>
      </c>
      <c r="E100" s="379"/>
      <c r="F100" s="383"/>
      <c r="G100" s="384"/>
      <c r="H100" s="384"/>
      <c r="I100" s="384"/>
      <c r="J100" s="384"/>
      <c r="K100" s="384"/>
      <c r="L100" s="384"/>
      <c r="M100" s="385"/>
      <c r="O100" s="106"/>
    </row>
    <row r="101" spans="2:15" ht="3.95" customHeight="1" x14ac:dyDescent="0.25">
      <c r="B101" s="106"/>
      <c r="O101" s="106"/>
    </row>
    <row r="102" spans="2:15" ht="19.5" customHeight="1" x14ac:dyDescent="0.25">
      <c r="B102" s="106"/>
      <c r="D102" s="371" t="s">
        <v>64</v>
      </c>
      <c r="E102" s="372"/>
      <c r="F102" s="130" t="s">
        <v>65</v>
      </c>
      <c r="G102" s="107" t="s">
        <v>2</v>
      </c>
      <c r="K102" s="131"/>
      <c r="O102" s="106"/>
    </row>
    <row r="103" spans="2:15" ht="19.5" customHeight="1" x14ac:dyDescent="0.25">
      <c r="B103" s="106"/>
      <c r="D103" s="373"/>
      <c r="E103" s="374"/>
      <c r="F103" s="130" t="s">
        <v>66</v>
      </c>
      <c r="G103" s="132"/>
      <c r="K103" s="133"/>
      <c r="O103" s="106"/>
    </row>
    <row r="104" spans="2:15" ht="27.75" customHeight="1" x14ac:dyDescent="0.25">
      <c r="B104" s="106"/>
      <c r="D104" s="373"/>
      <c r="E104" s="374"/>
      <c r="F104" s="130" t="s">
        <v>67</v>
      </c>
      <c r="G104" s="375"/>
      <c r="H104" s="376"/>
      <c r="I104" s="376"/>
      <c r="J104" s="376"/>
      <c r="K104" s="376"/>
      <c r="L104" s="376"/>
      <c r="M104" s="377"/>
      <c r="O104" s="106"/>
    </row>
    <row r="105" spans="2:15" ht="3.95" customHeight="1" x14ac:dyDescent="0.25">
      <c r="B105" s="106"/>
      <c r="O105" s="106"/>
    </row>
    <row r="106" spans="2:15" ht="229.5" customHeight="1" x14ac:dyDescent="0.25">
      <c r="B106" s="106"/>
      <c r="D106" s="378" t="s">
        <v>68</v>
      </c>
      <c r="E106" s="379"/>
      <c r="F106" s="380" t="s">
        <v>102</v>
      </c>
      <c r="G106" s="381"/>
      <c r="H106" s="381"/>
      <c r="I106" s="381"/>
      <c r="J106" s="381"/>
      <c r="K106" s="381"/>
      <c r="L106" s="381"/>
      <c r="M106" s="382"/>
      <c r="O106" s="106"/>
    </row>
    <row r="107" spans="2:15" ht="3.95" customHeight="1" x14ac:dyDescent="0.25">
      <c r="B107" s="106"/>
      <c r="O107" s="106"/>
    </row>
    <row r="108" spans="2:15" ht="17.25" customHeight="1" x14ac:dyDescent="0.25">
      <c r="B108" s="106"/>
      <c r="D108" s="371" t="s">
        <v>2040</v>
      </c>
      <c r="E108" s="372"/>
      <c r="F108" s="130" t="s">
        <v>2041</v>
      </c>
      <c r="G108" s="375" t="str">
        <f>+VLOOKUP(H10,tablero!$P$5:$R$201,3,FALSE)</f>
        <v>Subdirector(a) Programación</v>
      </c>
      <c r="H108" s="376"/>
      <c r="I108" s="376"/>
      <c r="J108" s="376"/>
      <c r="K108" s="376"/>
      <c r="L108" s="376"/>
      <c r="M108" s="377"/>
      <c r="O108" s="106"/>
    </row>
    <row r="109" spans="2:15" ht="17.25" customHeight="1" x14ac:dyDescent="0.25">
      <c r="B109" s="106"/>
      <c r="D109" s="373"/>
      <c r="E109" s="374"/>
      <c r="F109" s="130" t="s">
        <v>2042</v>
      </c>
      <c r="G109" s="375" t="str">
        <f>+IF(M23="Si","Coordinador(a) Planeación y Sistemas","")</f>
        <v/>
      </c>
      <c r="H109" s="376"/>
      <c r="I109" s="376"/>
      <c r="J109" s="376"/>
      <c r="K109" s="376"/>
      <c r="L109" s="376"/>
      <c r="M109" s="377"/>
      <c r="O109" s="106"/>
    </row>
    <row r="110" spans="2:15" ht="17.25" customHeight="1" x14ac:dyDescent="0.25">
      <c r="B110" s="106"/>
      <c r="D110" s="373"/>
      <c r="E110" s="374"/>
      <c r="F110" s="130" t="s">
        <v>2043</v>
      </c>
      <c r="G110" s="375" t="str">
        <f>+IF(M24="Si","Coordinador(a) Centro Zonal","")</f>
        <v/>
      </c>
      <c r="H110" s="376"/>
      <c r="I110" s="376"/>
      <c r="J110" s="376"/>
      <c r="K110" s="376"/>
      <c r="L110" s="376"/>
      <c r="M110" s="377"/>
      <c r="O110" s="106"/>
    </row>
    <row r="111" spans="2:15" ht="3.95" customHeight="1" x14ac:dyDescent="0.25">
      <c r="B111" s="106"/>
      <c r="O111" s="106"/>
    </row>
    <row r="112" spans="2:15" ht="3" customHeight="1" x14ac:dyDescent="0.25">
      <c r="B112" s="106"/>
      <c r="C112" s="106"/>
      <c r="D112" s="106"/>
      <c r="E112" s="106"/>
      <c r="F112" s="106"/>
      <c r="G112" s="106"/>
      <c r="H112" s="106"/>
      <c r="I112" s="106"/>
      <c r="J112" s="106"/>
      <c r="K112" s="106"/>
      <c r="L112" s="106"/>
      <c r="M112" s="106"/>
      <c r="N112" s="106"/>
      <c r="O112" s="106"/>
    </row>
    <row r="113" spans="13:13" x14ac:dyDescent="0.25">
      <c r="M113" s="121" t="s">
        <v>70</v>
      </c>
    </row>
  </sheetData>
  <mergeCells count="85">
    <mergeCell ref="C3:N5"/>
    <mergeCell ref="D10:E10"/>
    <mergeCell ref="D12:E12"/>
    <mergeCell ref="F12:M12"/>
    <mergeCell ref="D14:E14"/>
    <mergeCell ref="F14:M14"/>
    <mergeCell ref="D22:E22"/>
    <mergeCell ref="G22:H22"/>
    <mergeCell ref="K22:L22"/>
    <mergeCell ref="D23:E23"/>
    <mergeCell ref="G23:H23"/>
    <mergeCell ref="K23:L23"/>
    <mergeCell ref="D24:E24"/>
    <mergeCell ref="G24:H24"/>
    <mergeCell ref="K24:L24"/>
    <mergeCell ref="D25:E25"/>
    <mergeCell ref="D29:E29"/>
    <mergeCell ref="F29:M29"/>
    <mergeCell ref="D30:E31"/>
    <mergeCell ref="G30:M30"/>
    <mergeCell ref="G31:M31"/>
    <mergeCell ref="D32:E33"/>
    <mergeCell ref="G32:M32"/>
    <mergeCell ref="G33:M33"/>
    <mergeCell ref="D34:E35"/>
    <mergeCell ref="G34:M34"/>
    <mergeCell ref="G35:M35"/>
    <mergeCell ref="D43:E43"/>
    <mergeCell ref="D44:E45"/>
    <mergeCell ref="G44:M44"/>
    <mergeCell ref="G45:M45"/>
    <mergeCell ref="D46:E47"/>
    <mergeCell ref="G46:M46"/>
    <mergeCell ref="G47:M47"/>
    <mergeCell ref="D48:E49"/>
    <mergeCell ref="G48:M48"/>
    <mergeCell ref="G49:M49"/>
    <mergeCell ref="D51:E51"/>
    <mergeCell ref="G51:H51"/>
    <mergeCell ref="D59:E59"/>
    <mergeCell ref="F59:M59"/>
    <mergeCell ref="D60:E60"/>
    <mergeCell ref="F60:M60"/>
    <mergeCell ref="D82:E82"/>
    <mergeCell ref="D83:E83"/>
    <mergeCell ref="D61:E61"/>
    <mergeCell ref="F61:M61"/>
    <mergeCell ref="D67:E67"/>
    <mergeCell ref="D71:E71"/>
    <mergeCell ref="D73:E74"/>
    <mergeCell ref="F73:G73"/>
    <mergeCell ref="H73:I73"/>
    <mergeCell ref="J73:K73"/>
    <mergeCell ref="L73:M73"/>
    <mergeCell ref="D77:E77"/>
    <mergeCell ref="D78:E78"/>
    <mergeCell ref="D79:E79"/>
    <mergeCell ref="D80:E80"/>
    <mergeCell ref="D81:E81"/>
    <mergeCell ref="AR73:AS73"/>
    <mergeCell ref="D75:E75"/>
    <mergeCell ref="D76:E76"/>
    <mergeCell ref="AL73:AM73"/>
    <mergeCell ref="AN73:AO73"/>
    <mergeCell ref="AP73:AQ73"/>
    <mergeCell ref="D84:E84"/>
    <mergeCell ref="D85:E85"/>
    <mergeCell ref="D86:E86"/>
    <mergeCell ref="D88:E88"/>
    <mergeCell ref="F97:M97"/>
    <mergeCell ref="D96:E96"/>
    <mergeCell ref="D97:E97"/>
    <mergeCell ref="F88:M88"/>
    <mergeCell ref="D98:E98"/>
    <mergeCell ref="F98:M98"/>
    <mergeCell ref="D108:E110"/>
    <mergeCell ref="G108:M108"/>
    <mergeCell ref="G109:M109"/>
    <mergeCell ref="G110:M110"/>
    <mergeCell ref="D102:E104"/>
    <mergeCell ref="G104:M104"/>
    <mergeCell ref="D106:E106"/>
    <mergeCell ref="F106:M106"/>
    <mergeCell ref="D100:E100"/>
    <mergeCell ref="F100:M100"/>
  </mergeCells>
  <conditionalFormatting sqref="F44:M49">
    <cfRule type="expression" dxfId="581" priority="34">
      <formula>+IF($F$43="no",1,0)</formula>
    </cfRule>
  </conditionalFormatting>
  <conditionalFormatting sqref="F32:M33">
    <cfRule type="expression" dxfId="580" priority="33">
      <formula>+IF($Q$30="NA",1,0)</formula>
    </cfRule>
  </conditionalFormatting>
  <conditionalFormatting sqref="F33:M33">
    <cfRule type="expression" dxfId="579" priority="32">
      <formula>+IF($Q$33=0,1,0)</formula>
    </cfRule>
  </conditionalFormatting>
  <conditionalFormatting sqref="F47:M47">
    <cfRule type="expression" dxfId="578" priority="31">
      <formula>+IF($Q$47=0,1,0)</formula>
    </cfRule>
  </conditionalFormatting>
  <conditionalFormatting sqref="AC75:AC78">
    <cfRule type="expression" dxfId="577" priority="25">
      <formula>+IF(AC$73=0,1,0)</formula>
    </cfRule>
  </conditionalFormatting>
  <conditionalFormatting sqref="S81:S84">
    <cfRule type="expression" dxfId="576" priority="24">
      <formula>+IF(S$79=0,1,0)</formula>
    </cfRule>
  </conditionalFormatting>
  <conditionalFormatting sqref="U81:U84">
    <cfRule type="expression" dxfId="575" priority="23">
      <formula>+IF(U$79=0,1,0)</formula>
    </cfRule>
  </conditionalFormatting>
  <conditionalFormatting sqref="W81:W84">
    <cfRule type="expression" dxfId="574" priority="22">
      <formula>+IF(W$79=0,1,0)</formula>
    </cfRule>
  </conditionalFormatting>
  <conditionalFormatting sqref="Y81:Y84">
    <cfRule type="expression" dxfId="573" priority="21">
      <formula>+IF(Y$79=0,1,0)</formula>
    </cfRule>
  </conditionalFormatting>
  <conditionalFormatting sqref="AA81:AA84">
    <cfRule type="expression" dxfId="572" priority="20">
      <formula>+IF(AA$79=0,1,0)</formula>
    </cfRule>
  </conditionalFormatting>
  <conditionalFormatting sqref="AC81:AC84">
    <cfRule type="expression" dxfId="571" priority="19">
      <formula>+IF(AC$79=0,1,0)</formula>
    </cfRule>
  </conditionalFormatting>
  <conditionalFormatting sqref="F73:G73">
    <cfRule type="cellIs" dxfId="570" priority="17" operator="equal">
      <formula>"optimo"</formula>
    </cfRule>
    <cfRule type="cellIs" dxfId="569" priority="18" operator="equal">
      <formula>"critico"</formula>
    </cfRule>
  </conditionalFormatting>
  <conditionalFormatting sqref="H73:I73">
    <cfRule type="cellIs" dxfId="568" priority="15" operator="equal">
      <formula>"Adecuado"</formula>
    </cfRule>
    <cfRule type="cellIs" dxfId="567" priority="16" operator="equal">
      <formula>"en riesgo"</formula>
    </cfRule>
  </conditionalFormatting>
  <conditionalFormatting sqref="J73:K73">
    <cfRule type="cellIs" dxfId="566" priority="13" operator="equal">
      <formula>"Adecuado"</formula>
    </cfRule>
    <cfRule type="cellIs" dxfId="565" priority="14" operator="equal">
      <formula>"en riesgo"</formula>
    </cfRule>
  </conditionalFormatting>
  <conditionalFormatting sqref="L73:M73">
    <cfRule type="cellIs" dxfId="564" priority="11" operator="equal">
      <formula>"optimo"</formula>
    </cfRule>
    <cfRule type="cellIs" dxfId="563" priority="12" operator="equal">
      <formula>"critico"</formula>
    </cfRule>
  </conditionalFormatting>
  <conditionalFormatting sqref="F75:M76">
    <cfRule type="expression" dxfId="562" priority="10">
      <formula>+IF($AK75=0,1)</formula>
    </cfRule>
  </conditionalFormatting>
  <conditionalFormatting sqref="F103:G104">
    <cfRule type="expression" dxfId="561" priority="9">
      <formula>+IF($G$102="No",1,0)</formula>
    </cfRule>
  </conditionalFormatting>
  <conditionalFormatting sqref="F51">
    <cfRule type="expression" dxfId="560" priority="8">
      <formula>+IF($F$43="no",1,0)</formula>
    </cfRule>
  </conditionalFormatting>
  <conditionalFormatting sqref="I51">
    <cfRule type="expression" dxfId="559" priority="7">
      <formula>+IF($F$51="no",1,0)</formula>
    </cfRule>
  </conditionalFormatting>
  <conditionalFormatting sqref="F77:F86 M77:M86">
    <cfRule type="expression" dxfId="558" priority="2">
      <formula>+IF($AK77=0,1)</formula>
    </cfRule>
  </conditionalFormatting>
  <conditionalFormatting sqref="G77:L87">
    <cfRule type="expression" dxfId="557" priority="1">
      <formula>+IF($AK77=0,1)</formula>
    </cfRule>
  </conditionalFormatting>
  <dataValidations count="13">
    <dataValidation type="list" allowBlank="1" showInputMessage="1" showErrorMessage="1" sqref="G102 F43 F51">
      <formula1>$S$4:$S$5</formula1>
    </dataValidation>
    <dataValidation type="list" allowBlank="1" showInputMessage="1" showErrorMessage="1" sqref="F29:M29">
      <formula1>objetivos</formula1>
    </dataValidation>
    <dataValidation type="list" allowBlank="1" showInputMessage="1" showErrorMessage="1" sqref="F35:G35">
      <formula1>macroprocesos</formula1>
    </dataValidation>
    <dataValidation type="list" allowBlank="1" showInputMessage="1" showErrorMessage="1" sqref="G33:M33">
      <formula1>INDIRECT($Q$30)</formula1>
    </dataValidation>
    <dataValidation type="list" allowBlank="1" showInputMessage="1" showErrorMessage="1" sqref="G31:M31">
      <formula1>macroproceso</formula1>
    </dataValidation>
    <dataValidation type="list" allowBlank="1" showInputMessage="1" showErrorMessage="1" sqref="G45:M45">
      <formula1>lineas</formula1>
    </dataValidation>
    <dataValidation type="list" allowBlank="1" showInputMessage="1" showErrorMessage="1" sqref="G47:M47">
      <formula1>INDIRECT($Q$45)</formula1>
    </dataValidation>
    <dataValidation type="list" allowBlank="1" showInputMessage="1" showErrorMessage="1" sqref="F24">
      <formula1>tendencia</formula1>
    </dataValidation>
    <dataValidation type="list" allowBlank="1" showInputMessage="1" showErrorMessage="1" sqref="I23">
      <formula1>medidas</formula1>
    </dataValidation>
    <dataValidation type="list" allowBlank="1" showInputMessage="1" showErrorMessage="1" sqref="I24">
      <formula1>ambito</formula1>
    </dataValidation>
    <dataValidation type="list" allowBlank="1" showInputMessage="1" showErrorMessage="1" sqref="F71">
      <formula1>$D$75:$D$86</formula1>
    </dataValidation>
    <dataValidation type="list" allowBlank="1" showInputMessage="1" showErrorMessage="1" sqref="G49:M49">
      <formula1>proyectos</formula1>
    </dataValidation>
    <dataValidation type="list" allowBlank="1" showInputMessage="1" showErrorMessage="1" sqref="F25">
      <formula1>dimen</formula1>
    </dataValidation>
  </dataValidations>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[1]base!#REF!</xm:f>
          </x14:formula1>
          <xm:sqref>R75:R78 T75:T78 V75:V78 X75:X78 Z75:Z78 AB75:AB78 T81:T84 Z81:Z84 R81:R84 V81:V84 X81:X84 AB81:AB84 F23</xm:sqref>
        </x14:dataValidation>
        <x14:dataValidation type="list" allowBlank="1" showInputMessage="1" showErrorMessage="1">
          <x14:formula1>
            <xm:f>[1]Hoja1!#REF!</xm:f>
          </x14:formula1>
          <xm:sqref>S12</xm:sqref>
        </x14:dataValidation>
      </x14:dataValidations>
    </ext>
  </extLst>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0">
    <tabColor rgb="FF0070C0"/>
  </sheetPr>
  <dimension ref="B1:AV113"/>
  <sheetViews>
    <sheetView zoomScale="90" zoomScaleNormal="90" workbookViewId="0">
      <selection activeCell="F108" sqref="F108:M11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1552</v>
      </c>
      <c r="O10" s="2"/>
    </row>
    <row r="11" spans="2:24" ht="3.95" customHeight="1" x14ac:dyDescent="0.25">
      <c r="B11" s="2"/>
      <c r="D11" s="6"/>
      <c r="O11" s="2"/>
    </row>
    <row r="12" spans="2:24" ht="36" customHeight="1" x14ac:dyDescent="0.25">
      <c r="B12" s="2"/>
      <c r="D12" s="338" t="s">
        <v>5</v>
      </c>
      <c r="E12" s="339"/>
      <c r="F12" s="340" t="s">
        <v>1553</v>
      </c>
      <c r="G12" s="341"/>
      <c r="H12" s="341"/>
      <c r="I12" s="341"/>
      <c r="J12" s="341"/>
      <c r="K12" s="341"/>
      <c r="L12" s="341"/>
      <c r="M12" s="342"/>
      <c r="O12" s="2"/>
      <c r="W12" s="3" t="str">
        <f>+F23</f>
        <v>Trimestral</v>
      </c>
      <c r="X12" s="3" t="str">
        <f>+F71</f>
        <v>Marzo</v>
      </c>
    </row>
    <row r="13" spans="2:24" ht="3.95" customHeight="1" x14ac:dyDescent="0.25">
      <c r="B13" s="2"/>
      <c r="O13" s="2"/>
    </row>
    <row r="14" spans="2:24" ht="38.25" customHeight="1" x14ac:dyDescent="0.25">
      <c r="B14" s="2"/>
      <c r="D14" s="338" t="s">
        <v>6</v>
      </c>
      <c r="E14" s="339"/>
      <c r="F14" s="340" t="s">
        <v>1569</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8.75" customHeight="1" x14ac:dyDescent="0.25">
      <c r="B22" s="2"/>
      <c r="D22" s="337" t="s">
        <v>8</v>
      </c>
      <c r="E22" s="337"/>
      <c r="F22" s="8">
        <v>0</v>
      </c>
      <c r="G22" s="337" t="s">
        <v>9</v>
      </c>
      <c r="H22" s="337"/>
      <c r="I22" s="8">
        <v>16</v>
      </c>
      <c r="K22" s="337" t="s">
        <v>10</v>
      </c>
      <c r="L22" s="337"/>
      <c r="M22" s="9" t="s">
        <v>496</v>
      </c>
      <c r="O22" s="2"/>
    </row>
    <row r="23" spans="2:17" ht="19.5" customHeight="1" x14ac:dyDescent="0.25">
      <c r="B23" s="2"/>
      <c r="D23" s="337" t="s">
        <v>11</v>
      </c>
      <c r="E23" s="337"/>
      <c r="F23" s="4" t="s">
        <v>71</v>
      </c>
      <c r="G23" s="337" t="s">
        <v>12</v>
      </c>
      <c r="H23" s="337"/>
      <c r="I23" s="4" t="s">
        <v>647</v>
      </c>
      <c r="K23" s="337" t="s">
        <v>13</v>
      </c>
      <c r="L23" s="337"/>
      <c r="M23" s="9" t="s">
        <v>2</v>
      </c>
      <c r="O23" s="2"/>
    </row>
    <row r="24" spans="2:17" ht="20.100000000000001" customHeight="1" x14ac:dyDescent="0.25">
      <c r="B24" s="2"/>
      <c r="D24" s="337" t="s">
        <v>14</v>
      </c>
      <c r="E24" s="337"/>
      <c r="F24" s="4" t="s">
        <v>498</v>
      </c>
      <c r="G24" s="337" t="s">
        <v>15</v>
      </c>
      <c r="H24" s="337"/>
      <c r="I24" s="4" t="s">
        <v>519</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NA</v>
      </c>
    </row>
    <row r="31" spans="2:17" ht="24" customHeight="1" x14ac:dyDescent="0.25">
      <c r="B31" s="2"/>
      <c r="D31" s="347"/>
      <c r="E31" s="348"/>
      <c r="F31" s="4" t="s">
        <v>411</v>
      </c>
      <c r="G31" s="340" t="s">
        <v>412</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500</v>
      </c>
      <c r="G33" s="340"/>
      <c r="H33" s="341"/>
      <c r="I33" s="341"/>
      <c r="J33" s="341"/>
      <c r="K33" s="341"/>
      <c r="L33" s="341"/>
      <c r="M33" s="342"/>
      <c r="O33" s="2"/>
      <c r="Q33" s="3" t="str">
        <f>+IFERROR(IF(VLOOKUP(G33,base!$A$26:$C$40,3,FALSE)=F31,1,0),"")</f>
        <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1716</v>
      </c>
      <c r="G35" s="340" t="s">
        <v>1592</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2</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500</v>
      </c>
      <c r="G45" s="340" t="s">
        <v>500</v>
      </c>
      <c r="H45" s="341"/>
      <c r="I45" s="341"/>
      <c r="J45" s="341"/>
      <c r="K45" s="341"/>
      <c r="L45" s="341"/>
      <c r="M45" s="342"/>
      <c r="O45" s="2"/>
      <c r="Q45" s="3" t="str">
        <f>+IFERROR(VLOOKUP(G45,base!$A$41:$C$45,3,FALSE),"")</f>
        <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500</v>
      </c>
      <c r="G47" s="340"/>
      <c r="H47" s="341"/>
      <c r="I47" s="341"/>
      <c r="J47" s="341"/>
      <c r="K47" s="341"/>
      <c r="L47" s="341"/>
      <c r="M47" s="342"/>
      <c r="O47" s="2"/>
      <c r="Q47" s="3" t="e">
        <f>+IF(VLOOKUP(G47,base!$A$46:$C$66,3,FALSE)=F45,1,0)</f>
        <v>#N/A</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920</v>
      </c>
      <c r="G49" s="340" t="s">
        <v>899</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500</v>
      </c>
      <c r="G51" s="337" t="s">
        <v>32</v>
      </c>
      <c r="H51" s="337"/>
      <c r="I51" s="71"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37" t="s">
        <v>34</v>
      </c>
      <c r="E59" s="337"/>
      <c r="F59" s="473" t="s">
        <v>1554</v>
      </c>
      <c r="G59" s="473"/>
      <c r="H59" s="473"/>
      <c r="I59" s="473"/>
      <c r="J59" s="473"/>
      <c r="K59" s="473"/>
      <c r="L59" s="473"/>
      <c r="M59" s="473"/>
      <c r="O59" s="2"/>
    </row>
    <row r="60" spans="2:15" ht="42.75" customHeight="1" x14ac:dyDescent="0.25">
      <c r="B60" s="2"/>
      <c r="D60" s="359" t="s">
        <v>35</v>
      </c>
      <c r="E60" s="359"/>
      <c r="F60" s="344" t="s">
        <v>1555</v>
      </c>
      <c r="G60" s="344"/>
      <c r="H60" s="344"/>
      <c r="I60" s="344"/>
      <c r="J60" s="344"/>
      <c r="K60" s="344"/>
      <c r="L60" s="344"/>
      <c r="M60" s="344"/>
      <c r="O60" s="2"/>
    </row>
    <row r="61" spans="2:15" ht="42.75" customHeight="1" x14ac:dyDescent="0.25">
      <c r="B61" s="2"/>
      <c r="D61" s="359" t="s">
        <v>36</v>
      </c>
      <c r="E61" s="359"/>
      <c r="F61" s="474" t="s">
        <v>1556</v>
      </c>
      <c r="G61" s="475"/>
      <c r="H61" s="475"/>
      <c r="I61" s="475"/>
      <c r="J61" s="475"/>
      <c r="K61" s="475"/>
      <c r="L61" s="475"/>
      <c r="M61" s="476"/>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43" t="s">
        <v>39</v>
      </c>
      <c r="E71" s="343"/>
      <c r="F71" s="4" t="s">
        <v>47</v>
      </c>
      <c r="G71" s="3">
        <v>3</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v>0.11899999999999999</v>
      </c>
      <c r="H77" s="16">
        <v>0.12</v>
      </c>
      <c r="I77" s="16">
        <v>0.17899999999999999</v>
      </c>
      <c r="J77" s="16">
        <v>0.18</v>
      </c>
      <c r="K77" s="16">
        <v>0.249</v>
      </c>
      <c r="L77" s="16">
        <v>0.25</v>
      </c>
      <c r="M77" s="16" t="s">
        <v>500</v>
      </c>
      <c r="O77" s="2"/>
      <c r="AE77" s="3" t="s">
        <v>47</v>
      </c>
      <c r="AF77" s="3">
        <v>3</v>
      </c>
      <c r="AG77" s="3">
        <f t="shared" si="0"/>
        <v>1</v>
      </c>
      <c r="AH77" s="3">
        <f>+IF(AG77=0,0,IF(AG77=1,(SUM($AG$75:AG77)-1),1))</f>
        <v>0</v>
      </c>
      <c r="AI77" s="3">
        <f t="shared" si="1"/>
        <v>0</v>
      </c>
      <c r="AJ77" s="3">
        <f t="shared" si="2"/>
        <v>1</v>
      </c>
      <c r="AK77" s="3">
        <f t="shared" si="3"/>
        <v>1</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2</v>
      </c>
      <c r="AI79" s="3">
        <f t="shared" si="1"/>
        <v>0</v>
      </c>
      <c r="AJ79" s="3">
        <f t="shared" si="2"/>
        <v>0</v>
      </c>
      <c r="AK79" s="3">
        <f t="shared" si="3"/>
        <v>0</v>
      </c>
    </row>
    <row r="80" spans="2:37" x14ac:dyDescent="0.25">
      <c r="B80" s="2"/>
      <c r="D80" s="360" t="s">
        <v>50</v>
      </c>
      <c r="E80" s="360"/>
      <c r="F80" s="16" t="s">
        <v>500</v>
      </c>
      <c r="G80" s="16">
        <v>0.36899999999999999</v>
      </c>
      <c r="H80" s="16">
        <v>0.37</v>
      </c>
      <c r="I80" s="16">
        <v>0.42899999999999999</v>
      </c>
      <c r="J80" s="16">
        <v>0.43</v>
      </c>
      <c r="K80" s="16">
        <v>0.499</v>
      </c>
      <c r="L80" s="16">
        <v>0.5</v>
      </c>
      <c r="M80" s="16" t="s">
        <v>500</v>
      </c>
      <c r="O80" s="2"/>
      <c r="AE80" s="3" t="s">
        <v>50</v>
      </c>
      <c r="AF80" s="3">
        <v>6</v>
      </c>
      <c r="AG80" s="3">
        <f t="shared" si="0"/>
        <v>1</v>
      </c>
      <c r="AH80" s="3">
        <f>+IF(AG80=0,0,IF(AG80=1,(SUM($AG$75:AG80)-1),1))</f>
        <v>3</v>
      </c>
      <c r="AI80" s="3">
        <f t="shared" si="1"/>
        <v>1</v>
      </c>
      <c r="AJ80" s="3">
        <f t="shared" si="2"/>
        <v>0</v>
      </c>
      <c r="AK80" s="3">
        <f t="shared" si="3"/>
        <v>1</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4</v>
      </c>
      <c r="AI81" s="3">
        <f t="shared" si="1"/>
        <v>0</v>
      </c>
      <c r="AJ81" s="3">
        <f t="shared" si="2"/>
        <v>0</v>
      </c>
      <c r="AK81" s="3">
        <f t="shared" si="3"/>
        <v>0</v>
      </c>
    </row>
    <row r="82" spans="2:37" x14ac:dyDescent="0.25">
      <c r="B82" s="2"/>
      <c r="D82" s="360" t="s">
        <v>54</v>
      </c>
      <c r="E82" s="360"/>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60" t="s">
        <v>55</v>
      </c>
      <c r="E83" s="360"/>
      <c r="F83" s="16" t="s">
        <v>500</v>
      </c>
      <c r="G83" s="16">
        <v>0.61899999999999999</v>
      </c>
      <c r="H83" s="16">
        <v>0.62</v>
      </c>
      <c r="I83" s="16">
        <v>0.67900000000000005</v>
      </c>
      <c r="J83" s="16">
        <v>0.68</v>
      </c>
      <c r="K83" s="16">
        <v>0.749</v>
      </c>
      <c r="L83" s="16">
        <v>0.75</v>
      </c>
      <c r="M83" s="16" t="s">
        <v>500</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60" t="s">
        <v>58</v>
      </c>
      <c r="E86" s="360"/>
      <c r="F86" s="16" t="s">
        <v>500</v>
      </c>
      <c r="G86" s="16">
        <v>0.86899999999999999</v>
      </c>
      <c r="H86" s="16">
        <v>0.87</v>
      </c>
      <c r="I86" s="16">
        <v>0.92900000000000005</v>
      </c>
      <c r="J86" s="16">
        <v>0.93</v>
      </c>
      <c r="K86" s="16">
        <v>0.999</v>
      </c>
      <c r="L86" s="16" t="s">
        <v>500</v>
      </c>
      <c r="M86" s="16">
        <v>1</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66" customHeight="1" x14ac:dyDescent="0.25">
      <c r="B88" s="2"/>
      <c r="D88" s="338" t="s">
        <v>59</v>
      </c>
      <c r="E88" s="339"/>
      <c r="F88" s="340"/>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51.75" customHeight="1" x14ac:dyDescent="0.25">
      <c r="B97" s="2"/>
      <c r="D97" s="359" t="s">
        <v>35</v>
      </c>
      <c r="E97" s="359"/>
      <c r="F97" s="344" t="s">
        <v>1570</v>
      </c>
      <c r="G97" s="344"/>
      <c r="H97" s="344"/>
      <c r="I97" s="344"/>
      <c r="J97" s="344"/>
      <c r="K97" s="344"/>
      <c r="L97" s="344"/>
      <c r="M97" s="344"/>
      <c r="O97" s="2"/>
    </row>
    <row r="98" spans="2:15" ht="51.75" customHeight="1" x14ac:dyDescent="0.25">
      <c r="B98" s="2"/>
      <c r="D98" s="359" t="s">
        <v>36</v>
      </c>
      <c r="E98" s="359"/>
      <c r="F98" s="344" t="s">
        <v>1557</v>
      </c>
      <c r="G98" s="344"/>
      <c r="H98" s="344"/>
      <c r="I98" s="344"/>
      <c r="J98" s="344"/>
      <c r="K98" s="344"/>
      <c r="L98" s="344"/>
      <c r="M98" s="344"/>
      <c r="O98" s="2"/>
    </row>
    <row r="99" spans="2:15" ht="3.95" customHeight="1" x14ac:dyDescent="0.25">
      <c r="B99" s="2"/>
      <c r="O99" s="2"/>
    </row>
    <row r="100" spans="2:15" ht="58.5" customHeight="1" x14ac:dyDescent="0.25">
      <c r="B100" s="2"/>
      <c r="D100" s="338" t="s">
        <v>62</v>
      </c>
      <c r="E100" s="339"/>
      <c r="F100" s="333"/>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2</v>
      </c>
      <c r="K102" s="20"/>
      <c r="O102" s="2"/>
    </row>
    <row r="103" spans="2:15" ht="19.5" customHeight="1" x14ac:dyDescent="0.25">
      <c r="B103" s="2"/>
      <c r="D103" s="331"/>
      <c r="E103" s="332"/>
      <c r="F103" s="19" t="s">
        <v>66</v>
      </c>
      <c r="G103" s="4"/>
      <c r="K103" s="21"/>
      <c r="O103" s="2"/>
    </row>
    <row r="104" spans="2:15" ht="27.75" customHeight="1" x14ac:dyDescent="0.25">
      <c r="B104" s="2"/>
      <c r="D104" s="331"/>
      <c r="E104" s="332"/>
      <c r="F104" s="19" t="s">
        <v>67</v>
      </c>
      <c r="G104" s="333"/>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Subdirector(a)  General</v>
      </c>
      <c r="H108" s="334"/>
      <c r="I108" s="334"/>
      <c r="J108" s="334"/>
      <c r="K108" s="334"/>
      <c r="L108" s="334"/>
      <c r="M108" s="335"/>
      <c r="O108" s="2"/>
    </row>
    <row r="109" spans="2:15" ht="17.25" customHeight="1" x14ac:dyDescent="0.25">
      <c r="B109" s="2"/>
      <c r="D109" s="331"/>
      <c r="E109" s="332"/>
      <c r="F109" s="19" t="s">
        <v>2042</v>
      </c>
      <c r="G109" s="333" t="str">
        <f>+IF(M23="Si","Coordinador(a) Planeación y Sistemas","")</f>
        <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556" priority="31">
      <formula>+IF($F$43="no",1,0)</formula>
    </cfRule>
  </conditionalFormatting>
  <conditionalFormatting sqref="F32:M33">
    <cfRule type="expression" dxfId="555" priority="30">
      <formula>+IF($Q$30="NA",1,0)</formula>
    </cfRule>
  </conditionalFormatting>
  <conditionalFormatting sqref="F33:M33">
    <cfRule type="expression" dxfId="554" priority="29">
      <formula>+IF($Q$33=0,1,0)</formula>
    </cfRule>
  </conditionalFormatting>
  <conditionalFormatting sqref="F47:M47">
    <cfRule type="expression" dxfId="553" priority="28">
      <formula>+IF($Q$47=0,1,0)</formula>
    </cfRule>
  </conditionalFormatting>
  <conditionalFormatting sqref="F73:G73">
    <cfRule type="cellIs" dxfId="552" priority="14" operator="equal">
      <formula>"optimo"</formula>
    </cfRule>
    <cfRule type="cellIs" dxfId="551" priority="15" operator="equal">
      <formula>"critico"</formula>
    </cfRule>
  </conditionalFormatting>
  <conditionalFormatting sqref="H73:I73">
    <cfRule type="cellIs" dxfId="550" priority="12" operator="equal">
      <formula>"Adecuado"</formula>
    </cfRule>
    <cfRule type="cellIs" dxfId="549" priority="13" operator="equal">
      <formula>"en riesgo"</formula>
    </cfRule>
  </conditionalFormatting>
  <conditionalFormatting sqref="J73:K73">
    <cfRule type="cellIs" dxfId="548" priority="10" operator="equal">
      <formula>"Adecuado"</formula>
    </cfRule>
    <cfRule type="cellIs" dxfId="547" priority="11" operator="equal">
      <formula>"en riesgo"</formula>
    </cfRule>
  </conditionalFormatting>
  <conditionalFormatting sqref="L73:M73">
    <cfRule type="cellIs" dxfId="546" priority="8" operator="equal">
      <formula>"optimo"</formula>
    </cfRule>
    <cfRule type="cellIs" dxfId="545" priority="9" operator="equal">
      <formula>"critico"</formula>
    </cfRule>
  </conditionalFormatting>
  <conditionalFormatting sqref="F75:M86">
    <cfRule type="expression" dxfId="544" priority="7">
      <formula>+IF($AK75=0,1)</formula>
    </cfRule>
  </conditionalFormatting>
  <conditionalFormatting sqref="F103:G104">
    <cfRule type="expression" dxfId="543" priority="6">
      <formula>+IF($G$102="No",1,0)</formula>
    </cfRule>
  </conditionalFormatting>
  <conditionalFormatting sqref="F51">
    <cfRule type="expression" dxfId="542" priority="5">
      <formula>+IF($F$43="no",1,0)</formula>
    </cfRule>
  </conditionalFormatting>
  <conditionalFormatting sqref="I51">
    <cfRule type="expression" dxfId="541"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1">
    <tabColor rgb="FF0070C0"/>
  </sheetPr>
  <dimension ref="B1:AV113"/>
  <sheetViews>
    <sheetView zoomScale="90" zoomScaleNormal="90" workbookViewId="0">
      <selection activeCell="F108" sqref="F108:M11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428</v>
      </c>
      <c r="O10" s="2"/>
    </row>
    <row r="11" spans="2:24" ht="3.95" customHeight="1" x14ac:dyDescent="0.25">
      <c r="B11" s="2"/>
      <c r="D11" s="6"/>
      <c r="O11" s="2"/>
    </row>
    <row r="12" spans="2:24" ht="36" customHeight="1" x14ac:dyDescent="0.25">
      <c r="B12" s="2"/>
      <c r="D12" s="338" t="s">
        <v>5</v>
      </c>
      <c r="E12" s="339"/>
      <c r="F12" s="340" t="s">
        <v>1424</v>
      </c>
      <c r="G12" s="341"/>
      <c r="H12" s="341"/>
      <c r="I12" s="341"/>
      <c r="J12" s="341"/>
      <c r="K12" s="341"/>
      <c r="L12" s="341"/>
      <c r="M12" s="342"/>
      <c r="O12" s="2"/>
      <c r="W12" s="3" t="str">
        <f>+F23</f>
        <v>Anual</v>
      </c>
      <c r="X12" s="3" t="str">
        <f>+F71</f>
        <v>Diciembre</v>
      </c>
    </row>
    <row r="13" spans="2:24" ht="3.95" customHeight="1" x14ac:dyDescent="0.25">
      <c r="B13" s="2"/>
      <c r="O13" s="2"/>
    </row>
    <row r="14" spans="2:24" ht="38.25" customHeight="1" x14ac:dyDescent="0.25">
      <c r="B14" s="2"/>
      <c r="D14" s="338" t="s">
        <v>6</v>
      </c>
      <c r="E14" s="339"/>
      <c r="F14" s="340" t="s">
        <v>1425</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8.75" customHeight="1" x14ac:dyDescent="0.25">
      <c r="B22" s="2"/>
      <c r="D22" s="337" t="s">
        <v>8</v>
      </c>
      <c r="E22" s="337"/>
      <c r="F22" s="29">
        <v>66</v>
      </c>
      <c r="G22" s="337" t="s">
        <v>9</v>
      </c>
      <c r="H22" s="337"/>
      <c r="I22" s="29">
        <v>66</v>
      </c>
      <c r="K22" s="337" t="s">
        <v>10</v>
      </c>
      <c r="L22" s="337"/>
      <c r="M22" s="9" t="s">
        <v>496</v>
      </c>
      <c r="O22" s="2"/>
    </row>
    <row r="23" spans="2:17" ht="19.5" customHeight="1" x14ac:dyDescent="0.25">
      <c r="B23" s="2"/>
      <c r="D23" s="337" t="s">
        <v>11</v>
      </c>
      <c r="E23" s="337"/>
      <c r="F23" s="4" t="s">
        <v>1249</v>
      </c>
      <c r="G23" s="337" t="s">
        <v>12</v>
      </c>
      <c r="H23" s="337"/>
      <c r="I23" s="4" t="s">
        <v>647</v>
      </c>
      <c r="K23" s="337" t="s">
        <v>13</v>
      </c>
      <c r="L23" s="337"/>
      <c r="M23" s="9" t="s">
        <v>2</v>
      </c>
      <c r="O23" s="2"/>
    </row>
    <row r="24" spans="2:17" ht="20.100000000000001" customHeight="1" x14ac:dyDescent="0.25">
      <c r="B24" s="2"/>
      <c r="D24" s="337" t="s">
        <v>14</v>
      </c>
      <c r="E24" s="337"/>
      <c r="F24" s="4" t="s">
        <v>498</v>
      </c>
      <c r="G24" s="337" t="s">
        <v>15</v>
      </c>
      <c r="H24" s="337"/>
      <c r="I24" s="4" t="s">
        <v>103</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716</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NA</v>
      </c>
    </row>
    <row r="31" spans="2:17" ht="24" customHeight="1" x14ac:dyDescent="0.25">
      <c r="B31" s="2"/>
      <c r="D31" s="347"/>
      <c r="E31" s="348"/>
      <c r="F31" s="4" t="s">
        <v>425</v>
      </c>
      <c r="G31" s="340" t="s">
        <v>426</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1025</v>
      </c>
      <c r="G33" s="340"/>
      <c r="H33" s="341"/>
      <c r="I33" s="341"/>
      <c r="J33" s="341"/>
      <c r="K33" s="341"/>
      <c r="L33" s="341"/>
      <c r="M33" s="342"/>
      <c r="O33" s="2"/>
      <c r="Q33" s="3" t="str">
        <f>+IFERROR(IF(VLOOKUP(G33,base!$A$26:$C$40,3,FALSE)=F31,1,0),"")</f>
        <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1716</v>
      </c>
      <c r="G35" s="340" t="s">
        <v>1592</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1126</v>
      </c>
      <c r="G45" s="340" t="s">
        <v>1127</v>
      </c>
      <c r="H45" s="341"/>
      <c r="I45" s="341"/>
      <c r="J45" s="341"/>
      <c r="K45" s="341"/>
      <c r="L45" s="341"/>
      <c r="M45" s="342"/>
      <c r="O45" s="2"/>
      <c r="Q45" s="3" t="str">
        <f>+IFERROR(VLOOKUP(G45,base!$A$41:$C$45,3,FALSE),"")</f>
        <v>admon</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503</v>
      </c>
      <c r="G47" s="340" t="s">
        <v>995</v>
      </c>
      <c r="H47" s="341"/>
      <c r="I47" s="341"/>
      <c r="J47" s="341"/>
      <c r="K47" s="341"/>
      <c r="L47" s="341"/>
      <c r="M47" s="342"/>
      <c r="O47" s="2"/>
      <c r="Q47" s="3">
        <f>+IF(VLOOKUP(G47,base!$A$46:$C$66,3,FALSE)=F45,1,0)</f>
        <v>0</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920</v>
      </c>
      <c r="G49" s="340" t="s">
        <v>899</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496</v>
      </c>
      <c r="G51" s="337" t="s">
        <v>32</v>
      </c>
      <c r="H51" s="337"/>
      <c r="I51" s="29">
        <v>136</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37" t="s">
        <v>34</v>
      </c>
      <c r="E59" s="337"/>
      <c r="F59" s="344" t="s">
        <v>1377</v>
      </c>
      <c r="G59" s="344"/>
      <c r="H59" s="344"/>
      <c r="I59" s="344"/>
      <c r="J59" s="344"/>
      <c r="K59" s="344"/>
      <c r="L59" s="344"/>
      <c r="M59" s="344"/>
      <c r="O59" s="2"/>
    </row>
    <row r="60" spans="2:15" ht="42" customHeight="1" x14ac:dyDescent="0.25">
      <c r="B60" s="2"/>
      <c r="D60" s="359" t="s">
        <v>35</v>
      </c>
      <c r="E60" s="359"/>
      <c r="F60" s="344" t="s">
        <v>1378</v>
      </c>
      <c r="G60" s="344"/>
      <c r="H60" s="344"/>
      <c r="I60" s="344"/>
      <c r="J60" s="344"/>
      <c r="K60" s="344"/>
      <c r="L60" s="344"/>
      <c r="M60" s="344"/>
      <c r="O60" s="2"/>
    </row>
    <row r="61" spans="2:15" ht="42" customHeight="1" x14ac:dyDescent="0.25">
      <c r="B61" s="2"/>
      <c r="D61" s="359" t="s">
        <v>36</v>
      </c>
      <c r="E61" s="359"/>
      <c r="F61" s="340" t="s">
        <v>1379</v>
      </c>
      <c r="G61" s="341"/>
      <c r="H61" s="341"/>
      <c r="I61" s="341"/>
      <c r="J61" s="341"/>
      <c r="K61" s="341"/>
      <c r="L61" s="341"/>
      <c r="M61" s="342"/>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12</v>
      </c>
    </row>
    <row r="70" spans="2:37" ht="3.95" customHeight="1" x14ac:dyDescent="0.25">
      <c r="B70" s="2"/>
      <c r="D70" s="7"/>
      <c r="E70" s="7"/>
      <c r="O70" s="2"/>
    </row>
    <row r="71" spans="2:37" ht="18.75" customHeight="1" x14ac:dyDescent="0.25">
      <c r="B71" s="2"/>
      <c r="D71" s="343" t="s">
        <v>39</v>
      </c>
      <c r="E71" s="343"/>
      <c r="F71" s="4" t="s">
        <v>58</v>
      </c>
      <c r="G71" s="3">
        <v>12</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60" t="s">
        <v>50</v>
      </c>
      <c r="E80" s="360"/>
      <c r="F80" s="16" t="s">
        <v>500</v>
      </c>
      <c r="G80" s="16" t="s">
        <v>500</v>
      </c>
      <c r="H80" s="16" t="s">
        <v>500</v>
      </c>
      <c r="I80" s="16" t="s">
        <v>500</v>
      </c>
      <c r="J80" s="16" t="s">
        <v>500</v>
      </c>
      <c r="K80" s="16" t="s">
        <v>500</v>
      </c>
      <c r="L80" s="16" t="s">
        <v>500</v>
      </c>
      <c r="M80" s="16" t="s">
        <v>500</v>
      </c>
      <c r="O80" s="2"/>
      <c r="AE80" s="3" t="s">
        <v>50</v>
      </c>
      <c r="AF80" s="3">
        <v>6</v>
      </c>
      <c r="AG80" s="3">
        <f t="shared" si="0"/>
        <v>0</v>
      </c>
      <c r="AH80" s="3">
        <f>+IF(AG80=0,0,IF(AG80=1,(SUM($AG$75:AG80)-1),1))</f>
        <v>0</v>
      </c>
      <c r="AI80" s="3">
        <f t="shared" si="1"/>
        <v>0</v>
      </c>
      <c r="AJ80" s="3">
        <f t="shared" si="2"/>
        <v>0</v>
      </c>
      <c r="AK80" s="3">
        <f t="shared" si="3"/>
        <v>0</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0</v>
      </c>
      <c r="AH81" s="3">
        <f>+IF(AG81=0,0,IF(AG81=1,(SUM($AG$75:AG81)-1),1))</f>
        <v>0</v>
      </c>
      <c r="AI81" s="3">
        <f t="shared" si="1"/>
        <v>0</v>
      </c>
      <c r="AJ81" s="3">
        <f t="shared" si="2"/>
        <v>0</v>
      </c>
      <c r="AK81" s="3">
        <f t="shared" si="3"/>
        <v>0</v>
      </c>
    </row>
    <row r="82" spans="2:37" x14ac:dyDescent="0.25">
      <c r="B82" s="2"/>
      <c r="D82" s="360" t="s">
        <v>54</v>
      </c>
      <c r="E82" s="360"/>
      <c r="F82" s="16" t="s">
        <v>500</v>
      </c>
      <c r="G82" s="16" t="s">
        <v>500</v>
      </c>
      <c r="H82" s="16" t="s">
        <v>500</v>
      </c>
      <c r="I82" s="16" t="s">
        <v>500</v>
      </c>
      <c r="J82" s="16" t="s">
        <v>500</v>
      </c>
      <c r="K82" s="16" t="s">
        <v>500</v>
      </c>
      <c r="L82" s="16" t="s">
        <v>500</v>
      </c>
      <c r="M82" s="16" t="s">
        <v>500</v>
      </c>
      <c r="O82" s="2"/>
      <c r="AE82" s="3" t="s">
        <v>54</v>
      </c>
      <c r="AF82" s="3">
        <v>8</v>
      </c>
      <c r="AG82" s="3">
        <f t="shared" si="0"/>
        <v>0</v>
      </c>
      <c r="AH82" s="3">
        <f>+IF(AG82=0,0,IF(AG82=1,(SUM($AG$75:AG82)-1),1))</f>
        <v>0</v>
      </c>
      <c r="AI82" s="3">
        <f t="shared" si="1"/>
        <v>0</v>
      </c>
      <c r="AJ82" s="3">
        <f t="shared" si="2"/>
        <v>0</v>
      </c>
      <c r="AK82" s="3">
        <f t="shared" si="3"/>
        <v>0</v>
      </c>
    </row>
    <row r="83" spans="2:37" x14ac:dyDescent="0.25">
      <c r="B83" s="2"/>
      <c r="D83" s="360" t="s">
        <v>55</v>
      </c>
      <c r="E83" s="360"/>
      <c r="F83" s="16" t="s">
        <v>500</v>
      </c>
      <c r="G83" s="16" t="s">
        <v>500</v>
      </c>
      <c r="H83" s="16" t="s">
        <v>500</v>
      </c>
      <c r="I83" s="16" t="s">
        <v>500</v>
      </c>
      <c r="J83" s="16" t="s">
        <v>500</v>
      </c>
      <c r="K83" s="16" t="s">
        <v>500</v>
      </c>
      <c r="L83" s="16" t="s">
        <v>500</v>
      </c>
      <c r="M83" s="16" t="s">
        <v>500</v>
      </c>
      <c r="O83" s="2"/>
      <c r="AE83" s="3" t="s">
        <v>55</v>
      </c>
      <c r="AF83" s="3">
        <v>9</v>
      </c>
      <c r="AG83" s="3">
        <f t="shared" si="0"/>
        <v>0</v>
      </c>
      <c r="AH83" s="3">
        <f>+IF(AG83=0,0,IF(AG83=1,(SUM($AG$75:AG83)-1),1))</f>
        <v>0</v>
      </c>
      <c r="AI83" s="3">
        <f t="shared" si="1"/>
        <v>0</v>
      </c>
      <c r="AJ83" s="3">
        <f t="shared" si="2"/>
        <v>0</v>
      </c>
      <c r="AK83" s="3">
        <f t="shared" si="3"/>
        <v>0</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0</v>
      </c>
      <c r="AH84" s="3">
        <f>+IF(AG84=0,0,IF(AG84=1,(SUM($AG$75:AG84)-1),1))</f>
        <v>0</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0</v>
      </c>
      <c r="AH85" s="3">
        <f>+IF(AG85=0,0,IF(AG85=1,(SUM($AG$75:AG85)-1),1))</f>
        <v>0</v>
      </c>
      <c r="AI85" s="3">
        <f t="shared" si="1"/>
        <v>0</v>
      </c>
      <c r="AJ85" s="3">
        <f t="shared" si="2"/>
        <v>0</v>
      </c>
      <c r="AK85" s="3">
        <f t="shared" si="3"/>
        <v>0</v>
      </c>
    </row>
    <row r="86" spans="2:37" x14ac:dyDescent="0.25">
      <c r="B86" s="2"/>
      <c r="D86" s="360" t="s">
        <v>58</v>
      </c>
      <c r="E86" s="360"/>
      <c r="F86" s="16" t="s">
        <v>500</v>
      </c>
      <c r="G86" s="16">
        <v>0.85</v>
      </c>
      <c r="H86" s="16">
        <v>0.85099999999999998</v>
      </c>
      <c r="I86" s="16">
        <v>0.95</v>
      </c>
      <c r="J86" s="16">
        <v>0.95099999999999996</v>
      </c>
      <c r="K86" s="16">
        <v>0.999</v>
      </c>
      <c r="L86" s="16" t="s">
        <v>500</v>
      </c>
      <c r="M86" s="16">
        <v>1</v>
      </c>
      <c r="O86" s="2"/>
      <c r="AE86" s="3" t="s">
        <v>58</v>
      </c>
      <c r="AF86" s="65">
        <v>12</v>
      </c>
      <c r="AG86" s="3">
        <f t="shared" si="0"/>
        <v>1</v>
      </c>
      <c r="AH86" s="3">
        <f>+IF(AG86=0,0,IF(AG86=1,(SUM($AG$75:AG86)-1),1))</f>
        <v>0</v>
      </c>
      <c r="AI86" s="3">
        <f t="shared" si="1"/>
        <v>0</v>
      </c>
      <c r="AJ86" s="3">
        <f t="shared" si="2"/>
        <v>1</v>
      </c>
      <c r="AK86" s="3">
        <f t="shared" si="3"/>
        <v>1</v>
      </c>
    </row>
    <row r="87" spans="2:37" ht="3.75" customHeight="1" x14ac:dyDescent="0.25">
      <c r="B87" s="2"/>
      <c r="O87" s="2"/>
    </row>
    <row r="88" spans="2:37" ht="66" customHeight="1" x14ac:dyDescent="0.25">
      <c r="B88" s="2"/>
      <c r="D88" s="338" t="s">
        <v>59</v>
      </c>
      <c r="E88" s="339"/>
      <c r="F88" s="340" t="s">
        <v>1370</v>
      </c>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53.25" customHeight="1" x14ac:dyDescent="0.25">
      <c r="B97" s="2"/>
      <c r="D97" s="359" t="s">
        <v>35</v>
      </c>
      <c r="E97" s="359"/>
      <c r="F97" s="344" t="s">
        <v>1380</v>
      </c>
      <c r="G97" s="344"/>
      <c r="H97" s="344"/>
      <c r="I97" s="344"/>
      <c r="J97" s="344"/>
      <c r="K97" s="344"/>
      <c r="L97" s="344"/>
      <c r="M97" s="344"/>
      <c r="O97" s="2"/>
    </row>
    <row r="98" spans="2:15" ht="53.25" customHeight="1" x14ac:dyDescent="0.25">
      <c r="B98" s="2"/>
      <c r="D98" s="359" t="s">
        <v>36</v>
      </c>
      <c r="E98" s="359"/>
      <c r="F98" s="344" t="s">
        <v>1381</v>
      </c>
      <c r="G98" s="344"/>
      <c r="H98" s="344"/>
      <c r="I98" s="344"/>
      <c r="J98" s="344"/>
      <c r="K98" s="344"/>
      <c r="L98" s="344"/>
      <c r="M98" s="344"/>
      <c r="O98" s="2"/>
    </row>
    <row r="99" spans="2:15" ht="3.95" customHeight="1" x14ac:dyDescent="0.25">
      <c r="B99" s="2"/>
      <c r="O99" s="2"/>
    </row>
    <row r="100" spans="2:15" ht="58.5" customHeight="1" x14ac:dyDescent="0.25">
      <c r="B100" s="2"/>
      <c r="D100" s="338" t="s">
        <v>62</v>
      </c>
      <c r="E100" s="339"/>
      <c r="F100" s="340" t="s">
        <v>1371</v>
      </c>
      <c r="G100" s="341"/>
      <c r="H100" s="341"/>
      <c r="I100" s="341"/>
      <c r="J100" s="341"/>
      <c r="K100" s="341"/>
      <c r="L100" s="341"/>
      <c r="M100" s="342"/>
      <c r="O100" s="2"/>
    </row>
    <row r="101" spans="2:15" ht="3.95" customHeight="1" x14ac:dyDescent="0.25">
      <c r="B101" s="2"/>
      <c r="O101" s="2"/>
    </row>
    <row r="102" spans="2:15" ht="19.5" customHeight="1" x14ac:dyDescent="0.25">
      <c r="B102" s="2"/>
      <c r="D102" s="329" t="s">
        <v>64</v>
      </c>
      <c r="E102" s="330"/>
      <c r="F102" s="19" t="s">
        <v>65</v>
      </c>
      <c r="G102" s="4" t="s">
        <v>2</v>
      </c>
      <c r="K102" s="20"/>
      <c r="O102" s="2"/>
    </row>
    <row r="103" spans="2:15" ht="19.5" customHeight="1" x14ac:dyDescent="0.25">
      <c r="B103" s="2"/>
      <c r="D103" s="331"/>
      <c r="E103" s="332"/>
      <c r="F103" s="19" t="s">
        <v>66</v>
      </c>
      <c r="G103" s="4"/>
      <c r="K103" s="21"/>
      <c r="O103" s="2"/>
    </row>
    <row r="104" spans="2:15" ht="27.75" customHeight="1" x14ac:dyDescent="0.25">
      <c r="B104" s="2"/>
      <c r="D104" s="331"/>
      <c r="E104" s="332"/>
      <c r="F104" s="19" t="s">
        <v>67</v>
      </c>
      <c r="G104" s="333"/>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Subdirector(a) Mejoramiento Organizacional</v>
      </c>
      <c r="H108" s="334"/>
      <c r="I108" s="334"/>
      <c r="J108" s="334"/>
      <c r="K108" s="334"/>
      <c r="L108" s="334"/>
      <c r="M108" s="335"/>
      <c r="O108" s="2"/>
    </row>
    <row r="109" spans="2:15" ht="17.25" customHeight="1" x14ac:dyDescent="0.25">
      <c r="B109" s="2"/>
      <c r="D109" s="331"/>
      <c r="E109" s="332"/>
      <c r="F109" s="19" t="s">
        <v>2042</v>
      </c>
      <c r="G109" s="333" t="str">
        <f>+IF(M23="Si","Coordinador(a) Planeación y Sistemas","")</f>
        <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540" priority="31">
      <formula>+IF($F$43="no",1,0)</formula>
    </cfRule>
  </conditionalFormatting>
  <conditionalFormatting sqref="F32:M33">
    <cfRule type="expression" dxfId="539" priority="30">
      <formula>+IF($Q$30="NA",1,0)</formula>
    </cfRule>
  </conditionalFormatting>
  <conditionalFormatting sqref="F33:M33">
    <cfRule type="expression" dxfId="538" priority="29">
      <formula>+IF($Q$33=0,1,0)</formula>
    </cfRule>
  </conditionalFormatting>
  <conditionalFormatting sqref="F47:M47">
    <cfRule type="expression" dxfId="537" priority="28">
      <formula>+IF($Q$47=0,1,0)</formula>
    </cfRule>
  </conditionalFormatting>
  <conditionalFormatting sqref="F73:G73">
    <cfRule type="cellIs" dxfId="536" priority="14" operator="equal">
      <formula>"optimo"</formula>
    </cfRule>
    <cfRule type="cellIs" dxfId="535" priority="15" operator="equal">
      <formula>"critico"</formula>
    </cfRule>
  </conditionalFormatting>
  <conditionalFormatting sqref="H73:I73">
    <cfRule type="cellIs" dxfId="534" priority="12" operator="equal">
      <formula>"Adecuado"</formula>
    </cfRule>
    <cfRule type="cellIs" dxfId="533" priority="13" operator="equal">
      <formula>"en riesgo"</formula>
    </cfRule>
  </conditionalFormatting>
  <conditionalFormatting sqref="J73:K73">
    <cfRule type="cellIs" dxfId="532" priority="10" operator="equal">
      <formula>"Adecuado"</formula>
    </cfRule>
    <cfRule type="cellIs" dxfId="531" priority="11" operator="equal">
      <formula>"en riesgo"</formula>
    </cfRule>
  </conditionalFormatting>
  <conditionalFormatting sqref="L73:M73">
    <cfRule type="cellIs" dxfId="530" priority="8" operator="equal">
      <formula>"optimo"</formula>
    </cfRule>
    <cfRule type="cellIs" dxfId="529" priority="9" operator="equal">
      <formula>"critico"</formula>
    </cfRule>
  </conditionalFormatting>
  <conditionalFormatting sqref="F75:M86">
    <cfRule type="expression" dxfId="528" priority="7">
      <formula>+IF($AK75=0,1)</formula>
    </cfRule>
  </conditionalFormatting>
  <conditionalFormatting sqref="F103:G104">
    <cfRule type="expression" dxfId="527" priority="6">
      <formula>+IF($G$102="No",1,0)</formula>
    </cfRule>
  </conditionalFormatting>
  <conditionalFormatting sqref="F51">
    <cfRule type="expression" dxfId="526" priority="5">
      <formula>+IF($F$43="no",1,0)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2">
    <tabColor rgb="FF0070C0"/>
  </sheetPr>
  <dimension ref="B1:AV113"/>
  <sheetViews>
    <sheetView topLeftCell="A55" zoomScale="90" zoomScaleNormal="90" workbookViewId="0"/>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429</v>
      </c>
      <c r="O10" s="2"/>
    </row>
    <row r="11" spans="2:24" ht="3.95" customHeight="1" x14ac:dyDescent="0.25">
      <c r="B11" s="2"/>
      <c r="D11" s="6"/>
      <c r="O11" s="2"/>
    </row>
    <row r="12" spans="2:24" ht="36" customHeight="1" x14ac:dyDescent="0.25">
      <c r="B12" s="2"/>
      <c r="D12" s="338" t="s">
        <v>5</v>
      </c>
      <c r="E12" s="339"/>
      <c r="F12" s="340" t="s">
        <v>1586</v>
      </c>
      <c r="G12" s="341"/>
      <c r="H12" s="341"/>
      <c r="I12" s="341"/>
      <c r="J12" s="341"/>
      <c r="K12" s="341"/>
      <c r="L12" s="341"/>
      <c r="M12" s="342"/>
      <c r="O12" s="2"/>
      <c r="W12" s="3" t="str">
        <f>+F23</f>
        <v>Trimestral</v>
      </c>
      <c r="X12" s="3" t="str">
        <f>+F71</f>
        <v>Marzo</v>
      </c>
    </row>
    <row r="13" spans="2:24" ht="3.95" customHeight="1" x14ac:dyDescent="0.25">
      <c r="B13" s="2"/>
      <c r="O13" s="2"/>
    </row>
    <row r="14" spans="2:24" ht="38.25" customHeight="1" x14ac:dyDescent="0.25">
      <c r="B14" s="2"/>
      <c r="D14" s="338" t="s">
        <v>6</v>
      </c>
      <c r="E14" s="339"/>
      <c r="F14" s="340" t="s">
        <v>1418</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8.75" customHeight="1" x14ac:dyDescent="0.25">
      <c r="B22" s="2"/>
      <c r="D22" s="337" t="s">
        <v>8</v>
      </c>
      <c r="E22" s="337"/>
      <c r="F22" s="29" t="s">
        <v>512</v>
      </c>
      <c r="G22" s="337" t="s">
        <v>9</v>
      </c>
      <c r="H22" s="337"/>
      <c r="I22" s="17">
        <v>1</v>
      </c>
      <c r="K22" s="337" t="s">
        <v>10</v>
      </c>
      <c r="L22" s="337"/>
      <c r="M22" s="9" t="s">
        <v>496</v>
      </c>
      <c r="O22" s="2"/>
    </row>
    <row r="23" spans="2:17" ht="19.5" customHeight="1" x14ac:dyDescent="0.25">
      <c r="B23" s="2"/>
      <c r="D23" s="337" t="s">
        <v>11</v>
      </c>
      <c r="E23" s="337"/>
      <c r="F23" s="4" t="s">
        <v>71</v>
      </c>
      <c r="G23" s="337" t="s">
        <v>12</v>
      </c>
      <c r="H23" s="337"/>
      <c r="I23" s="4" t="s">
        <v>497</v>
      </c>
      <c r="K23" s="337" t="s">
        <v>13</v>
      </c>
      <c r="L23" s="337"/>
      <c r="M23" s="9" t="s">
        <v>2</v>
      </c>
      <c r="O23" s="2"/>
    </row>
    <row r="24" spans="2:17" ht="20.100000000000001" customHeight="1" x14ac:dyDescent="0.25">
      <c r="B24" s="2"/>
      <c r="D24" s="337" t="s">
        <v>14</v>
      </c>
      <c r="E24" s="337"/>
      <c r="F24" s="4" t="s">
        <v>498</v>
      </c>
      <c r="G24" s="337" t="s">
        <v>15</v>
      </c>
      <c r="H24" s="337"/>
      <c r="I24" s="4" t="s">
        <v>103</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NA</v>
      </c>
    </row>
    <row r="31" spans="2:17" ht="24" customHeight="1" x14ac:dyDescent="0.25">
      <c r="B31" s="2"/>
      <c r="D31" s="347"/>
      <c r="E31" s="348"/>
      <c r="F31" s="4" t="s">
        <v>425</v>
      </c>
      <c r="G31" s="340" t="s">
        <v>426</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c r="G33" s="340"/>
      <c r="H33" s="341"/>
      <c r="I33" s="341"/>
      <c r="J33" s="341"/>
      <c r="K33" s="341"/>
      <c r="L33" s="341"/>
      <c r="M33" s="342"/>
      <c r="O33" s="2"/>
      <c r="Q33" s="3" t="str">
        <f>+IFERROR(IF(VLOOKUP(G33,base!$A$26:$C$40,3,FALSE)=F31,1,0),"")</f>
        <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1716</v>
      </c>
      <c r="G35" s="340" t="s">
        <v>1592</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1126</v>
      </c>
      <c r="G45" s="340" t="s">
        <v>1127</v>
      </c>
      <c r="H45" s="341"/>
      <c r="I45" s="341"/>
      <c r="J45" s="341"/>
      <c r="K45" s="341"/>
      <c r="L45" s="341"/>
      <c r="M45" s="342"/>
      <c r="O45" s="2"/>
      <c r="Q45" s="3" t="str">
        <f>+IFERROR(VLOOKUP(G45,base!$A$41:$C$45,3,FALSE),"")</f>
        <v>admon</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503</v>
      </c>
      <c r="G47" s="340" t="s">
        <v>995</v>
      </c>
      <c r="H47" s="341"/>
      <c r="I47" s="341"/>
      <c r="J47" s="341"/>
      <c r="K47" s="341"/>
      <c r="L47" s="341"/>
      <c r="M47" s="342"/>
      <c r="O47" s="2"/>
      <c r="Q47" s="3">
        <f>+IF(VLOOKUP(G47,base!$A$46:$C$66,3,FALSE)=F45,1,0)</f>
        <v>0</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920</v>
      </c>
      <c r="G49" s="340" t="s">
        <v>899</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32"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37" t="s">
        <v>34</v>
      </c>
      <c r="E59" s="337"/>
      <c r="F59" s="344" t="s">
        <v>1419</v>
      </c>
      <c r="G59" s="344"/>
      <c r="H59" s="344"/>
      <c r="I59" s="344"/>
      <c r="J59" s="344"/>
      <c r="K59" s="344"/>
      <c r="L59" s="344"/>
      <c r="M59" s="344"/>
      <c r="O59" s="2"/>
    </row>
    <row r="60" spans="2:15" ht="66" customHeight="1" x14ac:dyDescent="0.25">
      <c r="B60" s="2"/>
      <c r="D60" s="359" t="s">
        <v>35</v>
      </c>
      <c r="E60" s="359"/>
      <c r="F60" s="344" t="s">
        <v>1420</v>
      </c>
      <c r="G60" s="344"/>
      <c r="H60" s="344"/>
      <c r="I60" s="344"/>
      <c r="J60" s="344"/>
      <c r="K60" s="344"/>
      <c r="L60" s="344"/>
      <c r="M60" s="344"/>
      <c r="O60" s="2"/>
    </row>
    <row r="61" spans="2:15" ht="41.25" customHeight="1" x14ac:dyDescent="0.25">
      <c r="B61" s="2"/>
      <c r="D61" s="359" t="s">
        <v>36</v>
      </c>
      <c r="E61" s="359"/>
      <c r="F61" s="340" t="s">
        <v>1421</v>
      </c>
      <c r="G61" s="341"/>
      <c r="H61" s="341"/>
      <c r="I61" s="341"/>
      <c r="J61" s="341"/>
      <c r="K61" s="341"/>
      <c r="L61" s="341"/>
      <c r="M61" s="342"/>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43" t="s">
        <v>39</v>
      </c>
      <c r="E71" s="343"/>
      <c r="F71" s="4" t="s">
        <v>47</v>
      </c>
      <c r="G71" s="3">
        <v>3</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v>0.06</v>
      </c>
      <c r="H77" s="16">
        <v>6.0999999999999999E-2</v>
      </c>
      <c r="I77" s="16">
        <v>0.1</v>
      </c>
      <c r="J77" s="16">
        <v>0.10100000000000001</v>
      </c>
      <c r="K77" s="16">
        <v>0.14899999999999999</v>
      </c>
      <c r="L77" s="16" t="s">
        <v>500</v>
      </c>
      <c r="M77" s="16">
        <v>0.15</v>
      </c>
      <c r="O77" s="2"/>
      <c r="AE77" s="3" t="s">
        <v>47</v>
      </c>
      <c r="AF77" s="3">
        <v>3</v>
      </c>
      <c r="AG77" s="3">
        <f t="shared" si="0"/>
        <v>1</v>
      </c>
      <c r="AH77" s="3">
        <f>+IF(AG77=0,0,IF(AG77=1,(SUM($AG$75:AG77)-1),1))</f>
        <v>0</v>
      </c>
      <c r="AI77" s="3">
        <f t="shared" si="1"/>
        <v>0</v>
      </c>
      <c r="AJ77" s="3">
        <f t="shared" si="2"/>
        <v>1</v>
      </c>
      <c r="AK77" s="3">
        <f t="shared" si="3"/>
        <v>1</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2</v>
      </c>
      <c r="AI79" s="3">
        <f t="shared" si="1"/>
        <v>0</v>
      </c>
      <c r="AJ79" s="3">
        <f t="shared" si="2"/>
        <v>0</v>
      </c>
      <c r="AK79" s="3">
        <f t="shared" si="3"/>
        <v>0</v>
      </c>
    </row>
    <row r="80" spans="2:37" x14ac:dyDescent="0.25">
      <c r="B80" s="2"/>
      <c r="D80" s="360" t="s">
        <v>50</v>
      </c>
      <c r="E80" s="360"/>
      <c r="F80" s="16" t="s">
        <v>500</v>
      </c>
      <c r="G80" s="16">
        <v>0.2</v>
      </c>
      <c r="H80" s="16">
        <v>0.20100000000000001</v>
      </c>
      <c r="I80" s="16">
        <v>0.3</v>
      </c>
      <c r="J80" s="16">
        <v>0.30099999999999999</v>
      </c>
      <c r="K80" s="16">
        <v>0.34899999999999998</v>
      </c>
      <c r="L80" s="16"/>
      <c r="M80" s="16">
        <v>0.35</v>
      </c>
      <c r="O80" s="2"/>
      <c r="AE80" s="3" t="s">
        <v>50</v>
      </c>
      <c r="AF80" s="3">
        <v>6</v>
      </c>
      <c r="AG80" s="3">
        <f t="shared" si="0"/>
        <v>1</v>
      </c>
      <c r="AH80" s="3">
        <f>+IF(AG80=0,0,IF(AG80=1,(SUM($AG$75:AG80)-1),1))</f>
        <v>3</v>
      </c>
      <c r="AI80" s="3">
        <f t="shared" si="1"/>
        <v>1</v>
      </c>
      <c r="AJ80" s="3">
        <f t="shared" si="2"/>
        <v>0</v>
      </c>
      <c r="AK80" s="3">
        <f t="shared" si="3"/>
        <v>1</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4</v>
      </c>
      <c r="AI81" s="3">
        <f t="shared" si="1"/>
        <v>0</v>
      </c>
      <c r="AJ81" s="3">
        <f t="shared" si="2"/>
        <v>0</v>
      </c>
      <c r="AK81" s="3">
        <f t="shared" si="3"/>
        <v>0</v>
      </c>
    </row>
    <row r="82" spans="2:37" x14ac:dyDescent="0.25">
      <c r="B82" s="2"/>
      <c r="D82" s="360" t="s">
        <v>54</v>
      </c>
      <c r="E82" s="360"/>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60" t="s">
        <v>55</v>
      </c>
      <c r="E83" s="360"/>
      <c r="F83" s="16" t="s">
        <v>500</v>
      </c>
      <c r="G83" s="16">
        <v>0.5</v>
      </c>
      <c r="H83" s="16">
        <v>0.501</v>
      </c>
      <c r="I83" s="16">
        <v>0.65</v>
      </c>
      <c r="J83" s="16">
        <v>0.65100000000000002</v>
      </c>
      <c r="K83" s="16">
        <v>0.749</v>
      </c>
      <c r="L83" s="16" t="s">
        <v>500</v>
      </c>
      <c r="M83" s="16">
        <v>0.75</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60" t="s">
        <v>58</v>
      </c>
      <c r="E86" s="360"/>
      <c r="F86" s="16" t="s">
        <v>500</v>
      </c>
      <c r="G86" s="16">
        <v>0.85</v>
      </c>
      <c r="H86" s="16">
        <v>0.85099999999999998</v>
      </c>
      <c r="I86" s="16">
        <v>0.95</v>
      </c>
      <c r="J86" s="16">
        <v>0.95099999999999996</v>
      </c>
      <c r="K86" s="16">
        <v>0.999</v>
      </c>
      <c r="L86" s="16" t="s">
        <v>500</v>
      </c>
      <c r="M86" s="16">
        <v>1</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66" customHeight="1" x14ac:dyDescent="0.25">
      <c r="B88" s="2"/>
      <c r="D88" s="338" t="s">
        <v>59</v>
      </c>
      <c r="E88" s="339"/>
      <c r="F88" s="340"/>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53.25" customHeight="1" x14ac:dyDescent="0.25">
      <c r="B97" s="2"/>
      <c r="D97" s="359" t="s">
        <v>35</v>
      </c>
      <c r="E97" s="359"/>
      <c r="F97" s="344" t="s">
        <v>1422</v>
      </c>
      <c r="G97" s="344"/>
      <c r="H97" s="344"/>
      <c r="I97" s="344"/>
      <c r="J97" s="344"/>
      <c r="K97" s="344"/>
      <c r="L97" s="344"/>
      <c r="M97" s="344"/>
      <c r="O97" s="2"/>
    </row>
    <row r="98" spans="2:15" ht="53.25" customHeight="1" x14ac:dyDescent="0.25">
      <c r="B98" s="2"/>
      <c r="D98" s="359" t="s">
        <v>36</v>
      </c>
      <c r="E98" s="359"/>
      <c r="F98" s="344" t="s">
        <v>1422</v>
      </c>
      <c r="G98" s="344"/>
      <c r="H98" s="344"/>
      <c r="I98" s="344"/>
      <c r="J98" s="344"/>
      <c r="K98" s="344"/>
      <c r="L98" s="344"/>
      <c r="M98" s="344"/>
      <c r="O98" s="2"/>
    </row>
    <row r="99" spans="2:15" ht="3.95" customHeight="1" x14ac:dyDescent="0.25">
      <c r="B99" s="2"/>
      <c r="O99" s="2"/>
    </row>
    <row r="100" spans="2:15" ht="58.5" customHeight="1" x14ac:dyDescent="0.25">
      <c r="B100" s="2"/>
      <c r="D100" s="338" t="s">
        <v>62</v>
      </c>
      <c r="E100" s="339"/>
      <c r="F100" s="340"/>
      <c r="G100" s="341"/>
      <c r="H100" s="341"/>
      <c r="I100" s="341"/>
      <c r="J100" s="341"/>
      <c r="K100" s="341"/>
      <c r="L100" s="341"/>
      <c r="M100" s="342"/>
      <c r="O100" s="2"/>
    </row>
    <row r="101" spans="2:15" ht="3.95" customHeight="1" x14ac:dyDescent="0.25">
      <c r="B101" s="2"/>
      <c r="O101" s="2"/>
    </row>
    <row r="102" spans="2:15" ht="19.5" customHeight="1" x14ac:dyDescent="0.25">
      <c r="B102" s="2"/>
      <c r="D102" s="329" t="s">
        <v>64</v>
      </c>
      <c r="E102" s="330"/>
      <c r="F102" s="19" t="s">
        <v>65</v>
      </c>
      <c r="G102" s="4" t="s">
        <v>496</v>
      </c>
      <c r="K102" s="20"/>
      <c r="O102" s="2"/>
    </row>
    <row r="103" spans="2:15" ht="19.5" customHeight="1" x14ac:dyDescent="0.25">
      <c r="B103" s="2"/>
      <c r="D103" s="331"/>
      <c r="E103" s="332"/>
      <c r="F103" s="19" t="s">
        <v>66</v>
      </c>
      <c r="G103" s="4" t="s">
        <v>1876</v>
      </c>
      <c r="K103" s="21"/>
      <c r="O103" s="2"/>
    </row>
    <row r="104" spans="2:15" ht="27.75" customHeight="1" x14ac:dyDescent="0.25">
      <c r="B104" s="2"/>
      <c r="D104" s="331"/>
      <c r="E104" s="332"/>
      <c r="F104" s="19" t="s">
        <v>67</v>
      </c>
      <c r="G104" s="333" t="s">
        <v>1877</v>
      </c>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Subdirector(a) Mejoramiento Organizacional</v>
      </c>
      <c r="H108" s="334"/>
      <c r="I108" s="334"/>
      <c r="J108" s="334"/>
      <c r="K108" s="334"/>
      <c r="L108" s="334"/>
      <c r="M108" s="335"/>
      <c r="O108" s="2"/>
    </row>
    <row r="109" spans="2:15" ht="17.25" customHeight="1" x14ac:dyDescent="0.25">
      <c r="B109" s="2"/>
      <c r="D109" s="331"/>
      <c r="E109" s="332"/>
      <c r="F109" s="19" t="s">
        <v>2042</v>
      </c>
      <c r="G109" s="333" t="str">
        <f>+IF(M23="Si","Coordinador(a) Planeación y Sistemas","")</f>
        <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525" priority="31">
      <formula>+IF($F$43="no",1,0)</formula>
    </cfRule>
  </conditionalFormatting>
  <conditionalFormatting sqref="F32:M33">
    <cfRule type="expression" dxfId="524" priority="30">
      <formula>+IF($Q$30="NA",1,0)</formula>
    </cfRule>
  </conditionalFormatting>
  <conditionalFormatting sqref="F33:M33">
    <cfRule type="expression" dxfId="523" priority="29">
      <formula>+IF($Q$33=0,1,0)</formula>
    </cfRule>
  </conditionalFormatting>
  <conditionalFormatting sqref="F47:M47">
    <cfRule type="expression" dxfId="522" priority="28">
      <formula>+IF($Q$47=0,1,0)</formula>
    </cfRule>
  </conditionalFormatting>
  <conditionalFormatting sqref="F73:G73">
    <cfRule type="cellIs" dxfId="521" priority="14" operator="equal">
      <formula>"optimo"</formula>
    </cfRule>
    <cfRule type="cellIs" dxfId="520" priority="15" operator="equal">
      <formula>"critico"</formula>
    </cfRule>
  </conditionalFormatting>
  <conditionalFormatting sqref="H73:I73">
    <cfRule type="cellIs" dxfId="519" priority="12" operator="equal">
      <formula>"Adecuado"</formula>
    </cfRule>
    <cfRule type="cellIs" dxfId="518" priority="13" operator="equal">
      <formula>"en riesgo"</formula>
    </cfRule>
  </conditionalFormatting>
  <conditionalFormatting sqref="J73:K73">
    <cfRule type="cellIs" dxfId="517" priority="10" operator="equal">
      <formula>"Adecuado"</formula>
    </cfRule>
    <cfRule type="cellIs" dxfId="516" priority="11" operator="equal">
      <formula>"en riesgo"</formula>
    </cfRule>
  </conditionalFormatting>
  <conditionalFormatting sqref="L73:M73">
    <cfRule type="cellIs" dxfId="515" priority="8" operator="equal">
      <formula>"optimo"</formula>
    </cfRule>
    <cfRule type="cellIs" dxfId="514" priority="9" operator="equal">
      <formula>"critico"</formula>
    </cfRule>
  </conditionalFormatting>
  <conditionalFormatting sqref="F75:M86">
    <cfRule type="expression" dxfId="513" priority="7">
      <formula>+IF($AK75=0,1)</formula>
    </cfRule>
  </conditionalFormatting>
  <conditionalFormatting sqref="F103:G104">
    <cfRule type="expression" dxfId="512" priority="6">
      <formula>+IF($G$102="No",1,0)</formula>
    </cfRule>
  </conditionalFormatting>
  <conditionalFormatting sqref="F51">
    <cfRule type="expression" dxfId="511" priority="5">
      <formula>+IF($F$43="no",1,0)</formula>
    </cfRule>
  </conditionalFormatting>
  <conditionalFormatting sqref="I51">
    <cfRule type="expression" dxfId="510"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tabColor rgb="FF0070C0"/>
  </sheetPr>
  <dimension ref="B1:AV113"/>
  <sheetViews>
    <sheetView zoomScaleNormal="100" workbookViewId="0">
      <selection activeCell="P2" sqref="P2"/>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130</v>
      </c>
      <c r="O10" s="2"/>
    </row>
    <row r="11" spans="2:24" ht="3.95" customHeight="1" x14ac:dyDescent="0.25">
      <c r="B11" s="2"/>
      <c r="D11" s="6"/>
      <c r="O11" s="2"/>
    </row>
    <row r="12" spans="2:24" ht="36" customHeight="1" x14ac:dyDescent="0.25">
      <c r="B12" s="2"/>
      <c r="D12" s="338" t="s">
        <v>5</v>
      </c>
      <c r="E12" s="339"/>
      <c r="F12" s="340" t="s">
        <v>131</v>
      </c>
      <c r="G12" s="341"/>
      <c r="H12" s="341"/>
      <c r="I12" s="341"/>
      <c r="J12" s="341"/>
      <c r="K12" s="341"/>
      <c r="L12" s="341"/>
      <c r="M12" s="342"/>
      <c r="O12" s="2"/>
      <c r="W12" s="3" t="str">
        <f>+F23</f>
        <v>Mensual</v>
      </c>
      <c r="X12" s="3" t="str">
        <f>+F71</f>
        <v>Mayo</v>
      </c>
    </row>
    <row r="13" spans="2:24" ht="3.95" customHeight="1" x14ac:dyDescent="0.25">
      <c r="B13" s="2"/>
      <c r="O13" s="2"/>
    </row>
    <row r="14" spans="2:24" ht="36" customHeight="1" x14ac:dyDescent="0.25">
      <c r="B14" s="2"/>
      <c r="D14" s="338" t="s">
        <v>6</v>
      </c>
      <c r="E14" s="339"/>
      <c r="F14" s="340" t="s">
        <v>606</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8">
        <v>872465</v>
      </c>
      <c r="G22" s="337" t="s">
        <v>9</v>
      </c>
      <c r="H22" s="337"/>
      <c r="I22" s="8">
        <v>1100000</v>
      </c>
      <c r="K22" s="337" t="s">
        <v>10</v>
      </c>
      <c r="L22" s="337"/>
      <c r="M22" s="9" t="s">
        <v>496</v>
      </c>
      <c r="O22" s="2"/>
    </row>
    <row r="23" spans="2:17" ht="19.5" customHeight="1" x14ac:dyDescent="0.25">
      <c r="B23" s="2"/>
      <c r="D23" s="337" t="s">
        <v>11</v>
      </c>
      <c r="E23" s="337"/>
      <c r="F23" s="4" t="s">
        <v>84</v>
      </c>
      <c r="G23" s="337" t="s">
        <v>12</v>
      </c>
      <c r="H23" s="337"/>
      <c r="I23" s="4" t="s">
        <v>553</v>
      </c>
      <c r="K23" s="337" t="s">
        <v>13</v>
      </c>
      <c r="L23" s="337"/>
      <c r="M23" s="9" t="s">
        <v>496</v>
      </c>
      <c r="O23" s="2"/>
    </row>
    <row r="24" spans="2:17" ht="20.100000000000001" customHeight="1" x14ac:dyDescent="0.25">
      <c r="B24" s="2"/>
      <c r="D24" s="337" t="s">
        <v>14</v>
      </c>
      <c r="E24" s="337"/>
      <c r="F24" s="4" t="s">
        <v>498</v>
      </c>
      <c r="G24" s="337" t="s">
        <v>15</v>
      </c>
      <c r="H24" s="337"/>
      <c r="I24" s="4" t="s">
        <v>519</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20</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NA</v>
      </c>
    </row>
    <row r="31" spans="2:17" ht="24" customHeight="1" x14ac:dyDescent="0.25">
      <c r="B31" s="2"/>
      <c r="D31" s="347"/>
      <c r="E31" s="348"/>
      <c r="F31" s="4" t="s">
        <v>109</v>
      </c>
      <c r="G31" s="340" t="s">
        <v>110</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500</v>
      </c>
      <c r="G33" s="340"/>
      <c r="H33" s="341"/>
      <c r="I33" s="341"/>
      <c r="J33" s="341"/>
      <c r="K33" s="341"/>
      <c r="L33" s="341"/>
      <c r="M33" s="342"/>
      <c r="O33" s="2"/>
      <c r="Q33" s="3" t="str">
        <f>+IFERROR(IF(VLOOKUP(G33,base!$A$26:$C$40,3,FALSE)=F31,1,0),"")</f>
        <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1711</v>
      </c>
      <c r="G35" s="340" t="s">
        <v>1587</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2</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500</v>
      </c>
      <c r="G45" s="340" t="s">
        <v>512</v>
      </c>
      <c r="H45" s="341"/>
      <c r="I45" s="341"/>
      <c r="J45" s="341"/>
      <c r="K45" s="341"/>
      <c r="L45" s="341"/>
      <c r="M45" s="342"/>
      <c r="O45" s="2"/>
      <c r="Q45" s="3" t="str">
        <f>+IFERROR(VLOOKUP(G45,base!$A$41:$C$45,3,FALSE),"")</f>
        <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500</v>
      </c>
      <c r="G47" s="340"/>
      <c r="H47" s="341"/>
      <c r="I47" s="341"/>
      <c r="J47" s="341"/>
      <c r="K47" s="341"/>
      <c r="L47" s="341"/>
      <c r="M47" s="342"/>
      <c r="O47" s="2"/>
      <c r="Q47" s="3" t="e">
        <f>+IF(VLOOKUP(G47,base!$A$46:$C$66,3,FALSE)=F45,1,0)</f>
        <v>#N/A</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535</v>
      </c>
      <c r="G49" s="340" t="s">
        <v>30</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8"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75" customHeight="1" x14ac:dyDescent="0.25">
      <c r="B59" s="2"/>
      <c r="D59" s="337" t="s">
        <v>34</v>
      </c>
      <c r="E59" s="337"/>
      <c r="F59" s="344" t="s">
        <v>607</v>
      </c>
      <c r="G59" s="344"/>
      <c r="H59" s="344"/>
      <c r="I59" s="344"/>
      <c r="J59" s="344"/>
      <c r="K59" s="344"/>
      <c r="L59" s="344"/>
      <c r="M59" s="344"/>
      <c r="O59" s="2"/>
    </row>
    <row r="60" spans="2:15" ht="27" customHeight="1" x14ac:dyDescent="0.25">
      <c r="B60" s="2"/>
      <c r="D60" s="359" t="s">
        <v>35</v>
      </c>
      <c r="E60" s="359"/>
      <c r="F60" s="344" t="s">
        <v>608</v>
      </c>
      <c r="G60" s="344"/>
      <c r="H60" s="344"/>
      <c r="I60" s="344"/>
      <c r="J60" s="344"/>
      <c r="K60" s="344"/>
      <c r="L60" s="344"/>
      <c r="M60" s="344"/>
      <c r="O60" s="2"/>
    </row>
    <row r="61" spans="2:15" ht="27" customHeight="1" x14ac:dyDescent="0.25">
      <c r="B61" s="2"/>
      <c r="D61" s="359" t="s">
        <v>36</v>
      </c>
      <c r="E61" s="359"/>
      <c r="F61" s="344" t="s">
        <v>590</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43" t="s">
        <v>39</v>
      </c>
      <c r="E71" s="343"/>
      <c r="F71" s="4" t="s">
        <v>49</v>
      </c>
      <c r="G71" s="3">
        <v>4</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60" t="s">
        <v>48</v>
      </c>
      <c r="E78" s="360"/>
      <c r="F78" s="16" t="s">
        <v>500</v>
      </c>
      <c r="G78" s="16">
        <v>0.39900000000000002</v>
      </c>
      <c r="H78" s="16">
        <v>0.4</v>
      </c>
      <c r="I78" s="16">
        <v>0.59899999999999998</v>
      </c>
      <c r="J78" s="16">
        <v>0.6</v>
      </c>
      <c r="K78" s="16">
        <v>0.69899999999999995</v>
      </c>
      <c r="L78" s="16">
        <v>0.7</v>
      </c>
      <c r="M78" s="16" t="s">
        <v>500</v>
      </c>
      <c r="O78" s="2"/>
      <c r="AE78" s="3" t="s">
        <v>48</v>
      </c>
      <c r="AF78" s="3">
        <v>4</v>
      </c>
      <c r="AG78" s="3">
        <f t="shared" si="0"/>
        <v>1</v>
      </c>
      <c r="AH78" s="3">
        <f>+IF(AG78=0,0,IF(AG78=1,(SUM($AG$75:AG78)-1),1))</f>
        <v>0</v>
      </c>
      <c r="AI78" s="3">
        <f t="shared" si="1"/>
        <v>0</v>
      </c>
      <c r="AJ78" s="3">
        <f t="shared" si="2"/>
        <v>0</v>
      </c>
      <c r="AK78" s="3">
        <f t="shared" si="3"/>
        <v>0</v>
      </c>
    </row>
    <row r="79" spans="2:37" x14ac:dyDescent="0.25">
      <c r="B79" s="2"/>
      <c r="D79" s="360" t="s">
        <v>49</v>
      </c>
      <c r="E79" s="360"/>
      <c r="F79" s="16" t="s">
        <v>500</v>
      </c>
      <c r="G79" s="16">
        <v>0.39900000000000002</v>
      </c>
      <c r="H79" s="16">
        <v>0.4</v>
      </c>
      <c r="I79" s="16">
        <v>0.59899999999999998</v>
      </c>
      <c r="J79" s="16">
        <v>0.6</v>
      </c>
      <c r="K79" s="16">
        <v>0.69899999999999995</v>
      </c>
      <c r="L79" s="16">
        <v>0.7</v>
      </c>
      <c r="M79" s="16" t="s">
        <v>500</v>
      </c>
      <c r="O79" s="2"/>
      <c r="AE79" s="3" t="s">
        <v>49</v>
      </c>
      <c r="AF79" s="3">
        <v>5</v>
      </c>
      <c r="AG79" s="3">
        <f t="shared" si="0"/>
        <v>1</v>
      </c>
      <c r="AH79" s="3">
        <f>+IF(AG79=0,0,IF(AG79=1,(SUM($AG$75:AG79)-1),1))</f>
        <v>1</v>
      </c>
      <c r="AI79" s="3">
        <f t="shared" si="1"/>
        <v>1</v>
      </c>
      <c r="AJ79" s="3">
        <f t="shared" si="2"/>
        <v>1</v>
      </c>
      <c r="AK79" s="3">
        <f t="shared" si="3"/>
        <v>1</v>
      </c>
    </row>
    <row r="80" spans="2:37" x14ac:dyDescent="0.25">
      <c r="B80" s="2"/>
      <c r="D80" s="360" t="s">
        <v>50</v>
      </c>
      <c r="E80" s="360"/>
      <c r="F80" s="16" t="s">
        <v>500</v>
      </c>
      <c r="G80" s="16">
        <v>0.499</v>
      </c>
      <c r="H80" s="16">
        <v>0.5</v>
      </c>
      <c r="I80" s="16">
        <v>0.69899999999999995</v>
      </c>
      <c r="J80" s="16">
        <v>0.7</v>
      </c>
      <c r="K80" s="16">
        <v>0.89900000000000002</v>
      </c>
      <c r="L80" s="16">
        <v>0.9</v>
      </c>
      <c r="M80" s="16" t="s">
        <v>500</v>
      </c>
      <c r="O80" s="2"/>
      <c r="AE80" s="3" t="s">
        <v>50</v>
      </c>
      <c r="AF80" s="3">
        <v>6</v>
      </c>
      <c r="AG80" s="3">
        <f t="shared" si="0"/>
        <v>1</v>
      </c>
      <c r="AH80" s="3">
        <f>+IF(AG80=0,0,IF(AG80=1,(SUM($AG$75:AG80)-1),1))</f>
        <v>2</v>
      </c>
      <c r="AI80" s="3">
        <f t="shared" si="1"/>
        <v>1</v>
      </c>
      <c r="AJ80" s="3">
        <f t="shared" si="2"/>
        <v>0</v>
      </c>
      <c r="AK80" s="3">
        <f t="shared" si="3"/>
        <v>1</v>
      </c>
    </row>
    <row r="81" spans="2:37" x14ac:dyDescent="0.25">
      <c r="B81" s="2"/>
      <c r="D81" s="360" t="s">
        <v>53</v>
      </c>
      <c r="E81" s="360"/>
      <c r="F81" s="16" t="s">
        <v>500</v>
      </c>
      <c r="G81" s="16">
        <v>0.499</v>
      </c>
      <c r="H81" s="16">
        <v>0.5</v>
      </c>
      <c r="I81" s="16">
        <v>0.69899999999999995</v>
      </c>
      <c r="J81" s="16">
        <v>0.7</v>
      </c>
      <c r="K81" s="16">
        <v>0.89900000000000002</v>
      </c>
      <c r="L81" s="16">
        <v>0.9</v>
      </c>
      <c r="M81" s="16" t="s">
        <v>500</v>
      </c>
      <c r="O81" s="2"/>
      <c r="AE81" s="3" t="s">
        <v>53</v>
      </c>
      <c r="AF81" s="3">
        <v>7</v>
      </c>
      <c r="AG81" s="3">
        <f t="shared" si="0"/>
        <v>1</v>
      </c>
      <c r="AH81" s="3">
        <f>+IF(AG81=0,0,IF(AG81=1,(SUM($AG$75:AG81)-1),1))</f>
        <v>3</v>
      </c>
      <c r="AI81" s="3">
        <f t="shared" si="1"/>
        <v>1</v>
      </c>
      <c r="AJ81" s="3">
        <f t="shared" si="2"/>
        <v>0</v>
      </c>
      <c r="AK81" s="3">
        <f t="shared" si="3"/>
        <v>1</v>
      </c>
    </row>
    <row r="82" spans="2:37" x14ac:dyDescent="0.25">
      <c r="B82" s="2"/>
      <c r="D82" s="360" t="s">
        <v>54</v>
      </c>
      <c r="E82" s="360"/>
      <c r="F82" s="16" t="s">
        <v>500</v>
      </c>
      <c r="G82" s="16">
        <v>0.499</v>
      </c>
      <c r="H82" s="16">
        <v>0.5</v>
      </c>
      <c r="I82" s="16">
        <v>0.69899999999999995</v>
      </c>
      <c r="J82" s="16">
        <v>0.7</v>
      </c>
      <c r="K82" s="16">
        <v>0.89900000000000002</v>
      </c>
      <c r="L82" s="16">
        <v>0.9</v>
      </c>
      <c r="M82" s="16" t="s">
        <v>500</v>
      </c>
      <c r="O82" s="2"/>
      <c r="AE82" s="3" t="s">
        <v>54</v>
      </c>
      <c r="AF82" s="3">
        <v>8</v>
      </c>
      <c r="AG82" s="3">
        <f t="shared" si="0"/>
        <v>1</v>
      </c>
      <c r="AH82" s="3">
        <f>+IF(AG82=0,0,IF(AG82=1,(SUM($AG$75:AG82)-1),1))</f>
        <v>4</v>
      </c>
      <c r="AI82" s="3">
        <f t="shared" si="1"/>
        <v>1</v>
      </c>
      <c r="AJ82" s="3">
        <f t="shared" si="2"/>
        <v>0</v>
      </c>
      <c r="AK82" s="3">
        <f t="shared" si="3"/>
        <v>1</v>
      </c>
    </row>
    <row r="83" spans="2:37" x14ac:dyDescent="0.25">
      <c r="B83" s="2"/>
      <c r="D83" s="360" t="s">
        <v>55</v>
      </c>
      <c r="E83" s="360"/>
      <c r="F83" s="16" t="s">
        <v>500</v>
      </c>
      <c r="G83" s="16">
        <v>0.499</v>
      </c>
      <c r="H83" s="16">
        <v>0.5</v>
      </c>
      <c r="I83" s="16">
        <v>0.69899999999999995</v>
      </c>
      <c r="J83" s="16">
        <v>0.7</v>
      </c>
      <c r="K83" s="16">
        <v>0.89900000000000002</v>
      </c>
      <c r="L83" s="16">
        <v>0.9</v>
      </c>
      <c r="M83" s="16" t="s">
        <v>500</v>
      </c>
      <c r="O83" s="2"/>
      <c r="AE83" s="3" t="s">
        <v>55</v>
      </c>
      <c r="AF83" s="3">
        <v>9</v>
      </c>
      <c r="AG83" s="3">
        <f t="shared" si="0"/>
        <v>1</v>
      </c>
      <c r="AH83" s="3">
        <f>+IF(AG83=0,0,IF(AG83=1,(SUM($AG$75:AG83)-1),1))</f>
        <v>5</v>
      </c>
      <c r="AI83" s="3">
        <f t="shared" si="1"/>
        <v>1</v>
      </c>
      <c r="AJ83" s="3">
        <f t="shared" si="2"/>
        <v>0</v>
      </c>
      <c r="AK83" s="3">
        <f t="shared" si="3"/>
        <v>1</v>
      </c>
    </row>
    <row r="84" spans="2:37" x14ac:dyDescent="0.25">
      <c r="B84" s="2"/>
      <c r="D84" s="360" t="s">
        <v>56</v>
      </c>
      <c r="E84" s="360"/>
      <c r="F84" s="16" t="s">
        <v>500</v>
      </c>
      <c r="G84" s="16">
        <v>0.69899999999999995</v>
      </c>
      <c r="H84" s="16">
        <v>0.7</v>
      </c>
      <c r="I84" s="16">
        <v>0.79900000000000004</v>
      </c>
      <c r="J84" s="16">
        <v>0.8</v>
      </c>
      <c r="K84" s="16">
        <v>0.999</v>
      </c>
      <c r="L84" s="16" t="s">
        <v>500</v>
      </c>
      <c r="M84" s="16">
        <v>1</v>
      </c>
      <c r="O84" s="2"/>
      <c r="AE84" s="3" t="s">
        <v>56</v>
      </c>
      <c r="AF84" s="3">
        <v>10</v>
      </c>
      <c r="AG84" s="3">
        <f t="shared" si="0"/>
        <v>1</v>
      </c>
      <c r="AH84" s="3">
        <f>+IF(AG84=0,0,IF(AG84=1,(SUM($AG$75:AG84)-1),1))</f>
        <v>6</v>
      </c>
      <c r="AI84" s="3">
        <f t="shared" si="1"/>
        <v>1</v>
      </c>
      <c r="AJ84" s="3">
        <f t="shared" si="2"/>
        <v>0</v>
      </c>
      <c r="AK84" s="3">
        <f t="shared" si="3"/>
        <v>1</v>
      </c>
    </row>
    <row r="85" spans="2:37" x14ac:dyDescent="0.25">
      <c r="B85" s="2"/>
      <c r="D85" s="360" t="s">
        <v>57</v>
      </c>
      <c r="E85" s="360"/>
      <c r="F85" s="16" t="s">
        <v>500</v>
      </c>
      <c r="G85" s="16">
        <v>0.69899999999999995</v>
      </c>
      <c r="H85" s="16">
        <v>0.7</v>
      </c>
      <c r="I85" s="16">
        <v>0.79900000000000004</v>
      </c>
      <c r="J85" s="16">
        <v>0.8</v>
      </c>
      <c r="K85" s="16">
        <v>0.999</v>
      </c>
      <c r="L85" s="16" t="s">
        <v>500</v>
      </c>
      <c r="M85" s="16">
        <v>1</v>
      </c>
      <c r="O85" s="2"/>
      <c r="AE85" s="3" t="s">
        <v>57</v>
      </c>
      <c r="AF85" s="3">
        <v>11</v>
      </c>
      <c r="AG85" s="3">
        <f t="shared" si="0"/>
        <v>1</v>
      </c>
      <c r="AH85" s="3">
        <f>+IF(AG85=0,0,IF(AG85=1,(SUM($AG$75:AG85)-1),1))</f>
        <v>7</v>
      </c>
      <c r="AI85" s="3">
        <f t="shared" si="1"/>
        <v>1</v>
      </c>
      <c r="AJ85" s="3">
        <f t="shared" si="2"/>
        <v>0</v>
      </c>
      <c r="AK85" s="3">
        <f t="shared" si="3"/>
        <v>1</v>
      </c>
    </row>
    <row r="86" spans="2:37" x14ac:dyDescent="0.25">
      <c r="B86" s="2"/>
      <c r="D86" s="360" t="s">
        <v>58</v>
      </c>
      <c r="E86" s="360"/>
      <c r="F86" s="16" t="s">
        <v>500</v>
      </c>
      <c r="G86" s="16">
        <v>0.69899999999999995</v>
      </c>
      <c r="H86" s="16">
        <v>0.7</v>
      </c>
      <c r="I86" s="16">
        <v>0.79900000000000004</v>
      </c>
      <c r="J86" s="16">
        <v>0.8</v>
      </c>
      <c r="K86" s="16">
        <v>0.999</v>
      </c>
      <c r="L86" s="16" t="s">
        <v>500</v>
      </c>
      <c r="M86" s="16">
        <v>1</v>
      </c>
      <c r="O86" s="2"/>
      <c r="AE86" s="3" t="s">
        <v>58</v>
      </c>
      <c r="AF86" s="65">
        <v>12</v>
      </c>
      <c r="AG86" s="3">
        <f t="shared" si="0"/>
        <v>1</v>
      </c>
      <c r="AH86" s="3">
        <f>+IF(AG86=0,0,IF(AG86=1,(SUM($AG$75:AG86)-1),1))</f>
        <v>8</v>
      </c>
      <c r="AI86" s="3">
        <f t="shared" si="1"/>
        <v>1</v>
      </c>
      <c r="AJ86" s="3">
        <f t="shared" si="2"/>
        <v>0</v>
      </c>
      <c r="AK86" s="3">
        <f t="shared" si="3"/>
        <v>1</v>
      </c>
    </row>
    <row r="87" spans="2:37" ht="3.75" customHeight="1" x14ac:dyDescent="0.25">
      <c r="B87" s="2"/>
      <c r="O87" s="2"/>
    </row>
    <row r="88" spans="2:37" ht="66" customHeight="1" x14ac:dyDescent="0.25">
      <c r="B88" s="2"/>
      <c r="D88" s="338" t="s">
        <v>59</v>
      </c>
      <c r="E88" s="339"/>
      <c r="F88" s="340" t="s">
        <v>86</v>
      </c>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28.5" customHeight="1" x14ac:dyDescent="0.25">
      <c r="B97" s="2"/>
      <c r="D97" s="359" t="s">
        <v>35</v>
      </c>
      <c r="E97" s="359"/>
      <c r="F97" s="344" t="s">
        <v>591</v>
      </c>
      <c r="G97" s="344"/>
      <c r="H97" s="344"/>
      <c r="I97" s="344"/>
      <c r="J97" s="344"/>
      <c r="K97" s="344"/>
      <c r="L97" s="344"/>
      <c r="M97" s="344"/>
      <c r="O97" s="2"/>
    </row>
    <row r="98" spans="2:15" ht="28.5" customHeight="1" x14ac:dyDescent="0.25">
      <c r="B98" s="2"/>
      <c r="D98" s="359" t="s">
        <v>36</v>
      </c>
      <c r="E98" s="359"/>
      <c r="F98" s="344" t="s">
        <v>605</v>
      </c>
      <c r="G98" s="344"/>
      <c r="H98" s="344"/>
      <c r="I98" s="344"/>
      <c r="J98" s="344"/>
      <c r="K98" s="344"/>
      <c r="L98" s="344"/>
      <c r="M98" s="344"/>
      <c r="O98" s="2"/>
    </row>
    <row r="99" spans="2:15" ht="3.95" customHeight="1" x14ac:dyDescent="0.25">
      <c r="B99" s="2"/>
      <c r="O99" s="2"/>
    </row>
    <row r="100" spans="2:15" ht="58.5" customHeight="1" x14ac:dyDescent="0.25">
      <c r="B100" s="2"/>
      <c r="D100" s="338" t="s">
        <v>62</v>
      </c>
      <c r="E100" s="339"/>
      <c r="F100" s="340" t="s">
        <v>87</v>
      </c>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1</v>
      </c>
      <c r="K102" s="20"/>
      <c r="O102" s="2"/>
    </row>
    <row r="103" spans="2:15" ht="19.5" customHeight="1" x14ac:dyDescent="0.25">
      <c r="B103" s="2"/>
      <c r="D103" s="331"/>
      <c r="E103" s="332"/>
      <c r="F103" s="19" t="s">
        <v>66</v>
      </c>
      <c r="G103" s="4" t="s">
        <v>132</v>
      </c>
      <c r="K103" s="21"/>
      <c r="O103" s="2"/>
    </row>
    <row r="104" spans="2:15" ht="27.75" customHeight="1" x14ac:dyDescent="0.25">
      <c r="B104" s="2"/>
      <c r="D104" s="331"/>
      <c r="E104" s="332"/>
      <c r="F104" s="19" t="s">
        <v>67</v>
      </c>
      <c r="G104" s="333" t="s">
        <v>1725</v>
      </c>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69</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 xml:space="preserve">Director(a) Primera Infancia </v>
      </c>
      <c r="H108" s="334"/>
      <c r="I108" s="334"/>
      <c r="J108" s="334"/>
      <c r="K108" s="334"/>
      <c r="L108" s="334"/>
      <c r="M108" s="335"/>
      <c r="O108" s="2"/>
    </row>
    <row r="109" spans="2:15" ht="17.25" customHeight="1" x14ac:dyDescent="0.25">
      <c r="B109" s="2"/>
      <c r="D109" s="331"/>
      <c r="E109" s="332"/>
      <c r="F109" s="19" t="s">
        <v>2042</v>
      </c>
      <c r="G109" s="333" t="str">
        <f>+IF(M23="Si","Coordinador(a) Planeación y Sistemas","")</f>
        <v>Coordinador(a) Planeación y Sistemas</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3280" priority="31">
      <formula>+IF($F$43="no",1,0)</formula>
    </cfRule>
  </conditionalFormatting>
  <conditionalFormatting sqref="F32:M33">
    <cfRule type="expression" dxfId="3279" priority="30">
      <formula>+IF($Q$30="NA",1,0)</formula>
    </cfRule>
  </conditionalFormatting>
  <conditionalFormatting sqref="F33:M33">
    <cfRule type="expression" dxfId="3278" priority="29">
      <formula>+IF($Q$33=0,1,0)</formula>
    </cfRule>
  </conditionalFormatting>
  <conditionalFormatting sqref="F47:M47">
    <cfRule type="expression" dxfId="3277" priority="28">
      <formula>+IF($Q$47=0,1,0)</formula>
    </cfRule>
  </conditionalFormatting>
  <conditionalFormatting sqref="F73:G73">
    <cfRule type="cellIs" dxfId="3276" priority="26" operator="equal">
      <formula>"optimo"</formula>
    </cfRule>
    <cfRule type="cellIs" dxfId="3275" priority="27" operator="equal">
      <formula>"critico"</formula>
    </cfRule>
  </conditionalFormatting>
  <conditionalFormatting sqref="H73:I73">
    <cfRule type="cellIs" dxfId="3274" priority="24" operator="equal">
      <formula>"Adecuado"</formula>
    </cfRule>
    <cfRule type="cellIs" dxfId="3273" priority="25" operator="equal">
      <formula>"en riesgo"</formula>
    </cfRule>
  </conditionalFormatting>
  <conditionalFormatting sqref="J73:K73">
    <cfRule type="cellIs" dxfId="3272" priority="22" operator="equal">
      <formula>"Adecuado"</formula>
    </cfRule>
    <cfRule type="cellIs" dxfId="3271" priority="23" operator="equal">
      <formula>"en riesgo"</formula>
    </cfRule>
  </conditionalFormatting>
  <conditionalFormatting sqref="L73:M73">
    <cfRule type="cellIs" dxfId="3270" priority="20" operator="equal">
      <formula>"optimo"</formula>
    </cfRule>
    <cfRule type="cellIs" dxfId="3269" priority="21" operator="equal">
      <formula>"critico"</formula>
    </cfRule>
  </conditionalFormatting>
  <conditionalFormatting sqref="F75:M86">
    <cfRule type="expression" dxfId="3268" priority="19">
      <formula>+IF($AK75=0,1)</formula>
    </cfRule>
  </conditionalFormatting>
  <conditionalFormatting sqref="F103:G104">
    <cfRule type="expression" dxfId="3267" priority="18">
      <formula>+IF($G$102="No",1,0)</formula>
    </cfRule>
  </conditionalFormatting>
  <conditionalFormatting sqref="F51">
    <cfRule type="expression" dxfId="3266" priority="17">
      <formula>+IF($F$43="no",1,0)</formula>
    </cfRule>
  </conditionalFormatting>
  <conditionalFormatting sqref="I51">
    <cfRule type="expression" dxfId="3265" priority="16">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3">
    <tabColor rgb="FF0070C0"/>
  </sheetPr>
  <dimension ref="B1:AV113"/>
  <sheetViews>
    <sheetView topLeftCell="A46" zoomScale="90" zoomScaleNormal="90" workbookViewId="0">
      <selection activeCell="F108" sqref="F108:M11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430</v>
      </c>
      <c r="O10" s="2"/>
    </row>
    <row r="11" spans="2:24" ht="3.95" customHeight="1" x14ac:dyDescent="0.25">
      <c r="B11" s="2"/>
      <c r="D11" s="6"/>
      <c r="O11" s="2"/>
    </row>
    <row r="12" spans="2:24" ht="36" customHeight="1" x14ac:dyDescent="0.25">
      <c r="B12" s="2"/>
      <c r="D12" s="338" t="s">
        <v>5</v>
      </c>
      <c r="E12" s="339"/>
      <c r="F12" s="340" t="s">
        <v>431</v>
      </c>
      <c r="G12" s="341"/>
      <c r="H12" s="341"/>
      <c r="I12" s="341"/>
      <c r="J12" s="341"/>
      <c r="K12" s="341"/>
      <c r="L12" s="341"/>
      <c r="M12" s="342"/>
      <c r="O12" s="2"/>
      <c r="W12" s="3" t="str">
        <f>+F23</f>
        <v>Trimestral</v>
      </c>
      <c r="X12" s="3" t="str">
        <f>+F71</f>
        <v>Marzo</v>
      </c>
    </row>
    <row r="13" spans="2:24" ht="3.95" customHeight="1" x14ac:dyDescent="0.25">
      <c r="B13" s="2"/>
      <c r="O13" s="2"/>
    </row>
    <row r="14" spans="2:24" ht="38.25" customHeight="1" x14ac:dyDescent="0.25">
      <c r="B14" s="2"/>
      <c r="D14" s="338" t="s">
        <v>6</v>
      </c>
      <c r="E14" s="339"/>
      <c r="F14" s="340" t="s">
        <v>1413</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8.75" customHeight="1" x14ac:dyDescent="0.25">
      <c r="B22" s="2"/>
      <c r="D22" s="337" t="s">
        <v>8</v>
      </c>
      <c r="E22" s="337"/>
      <c r="F22" s="29" t="s">
        <v>512</v>
      </c>
      <c r="G22" s="337" t="s">
        <v>9</v>
      </c>
      <c r="H22" s="337"/>
      <c r="I22" s="17">
        <v>1</v>
      </c>
      <c r="K22" s="337" t="s">
        <v>10</v>
      </c>
      <c r="L22" s="337"/>
      <c r="M22" s="9" t="s">
        <v>496</v>
      </c>
      <c r="O22" s="2"/>
    </row>
    <row r="23" spans="2:17" ht="19.5" customHeight="1" x14ac:dyDescent="0.25">
      <c r="B23" s="2"/>
      <c r="D23" s="337" t="s">
        <v>11</v>
      </c>
      <c r="E23" s="337"/>
      <c r="F23" s="4" t="s">
        <v>71</v>
      </c>
      <c r="G23" s="337" t="s">
        <v>12</v>
      </c>
      <c r="H23" s="337"/>
      <c r="I23" s="4" t="s">
        <v>497</v>
      </c>
      <c r="K23" s="337" t="s">
        <v>13</v>
      </c>
      <c r="L23" s="337"/>
      <c r="M23" s="9" t="s">
        <v>2</v>
      </c>
      <c r="O23" s="2"/>
    </row>
    <row r="24" spans="2:17" ht="20.100000000000001" customHeight="1" x14ac:dyDescent="0.25">
      <c r="B24" s="2"/>
      <c r="D24" s="337" t="s">
        <v>14</v>
      </c>
      <c r="E24" s="337"/>
      <c r="F24" s="4" t="s">
        <v>498</v>
      </c>
      <c r="G24" s="337" t="s">
        <v>15</v>
      </c>
      <c r="H24" s="337"/>
      <c r="I24" s="4" t="s">
        <v>533</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NA</v>
      </c>
    </row>
    <row r="31" spans="2:17" ht="24" customHeight="1" x14ac:dyDescent="0.25">
      <c r="B31" s="2"/>
      <c r="D31" s="347"/>
      <c r="E31" s="348"/>
      <c r="F31" s="4" t="s">
        <v>425</v>
      </c>
      <c r="G31" s="340" t="s">
        <v>426</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1025</v>
      </c>
      <c r="G33" s="340"/>
      <c r="H33" s="341"/>
      <c r="I33" s="341"/>
      <c r="J33" s="341"/>
      <c r="K33" s="341"/>
      <c r="L33" s="341"/>
      <c r="M33" s="342"/>
      <c r="O33" s="2"/>
      <c r="Q33" s="3" t="str">
        <f>+IFERROR(IF(VLOOKUP(G33,base!$A$26:$C$40,3,FALSE)=F31,1,0),"")</f>
        <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1716</v>
      </c>
      <c r="G35" s="340" t="s">
        <v>1592</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1126</v>
      </c>
      <c r="G45" s="340" t="s">
        <v>1127</v>
      </c>
      <c r="H45" s="341"/>
      <c r="I45" s="341"/>
      <c r="J45" s="341"/>
      <c r="K45" s="341"/>
      <c r="L45" s="341"/>
      <c r="M45" s="342"/>
      <c r="O45" s="2"/>
      <c r="Q45" s="3" t="str">
        <f>+IFERROR(VLOOKUP(G45,base!$A$41:$C$45,3,FALSE),"")</f>
        <v>admon</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503</v>
      </c>
      <c r="G47" s="340" t="s">
        <v>995</v>
      </c>
      <c r="H47" s="341"/>
      <c r="I47" s="341"/>
      <c r="J47" s="341"/>
      <c r="K47" s="341"/>
      <c r="L47" s="341"/>
      <c r="M47" s="342"/>
      <c r="O47" s="2"/>
      <c r="Q47" s="3">
        <f>+IF(VLOOKUP(G47,base!$A$46:$C$66,3,FALSE)=F45,1,0)</f>
        <v>0</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920</v>
      </c>
      <c r="G49" s="340" t="s">
        <v>899</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496</v>
      </c>
      <c r="G51" s="337" t="s">
        <v>32</v>
      </c>
      <c r="H51" s="337"/>
      <c r="I51" s="17">
        <v>1</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37" t="s">
        <v>34</v>
      </c>
      <c r="E59" s="337"/>
      <c r="F59" s="344" t="s">
        <v>1414</v>
      </c>
      <c r="G59" s="344"/>
      <c r="H59" s="344"/>
      <c r="I59" s="344"/>
      <c r="J59" s="344"/>
      <c r="K59" s="344"/>
      <c r="L59" s="344"/>
      <c r="M59" s="344"/>
      <c r="O59" s="2"/>
    </row>
    <row r="60" spans="2:15" ht="45" customHeight="1" x14ac:dyDescent="0.25">
      <c r="B60" s="2"/>
      <c r="D60" s="359" t="s">
        <v>35</v>
      </c>
      <c r="E60" s="359"/>
      <c r="F60" s="344" t="s">
        <v>1415</v>
      </c>
      <c r="G60" s="344"/>
      <c r="H60" s="344"/>
      <c r="I60" s="344"/>
      <c r="J60" s="344"/>
      <c r="K60" s="344"/>
      <c r="L60" s="344"/>
      <c r="M60" s="344"/>
      <c r="O60" s="2"/>
    </row>
    <row r="61" spans="2:15" ht="45" customHeight="1" x14ac:dyDescent="0.25">
      <c r="B61" s="2"/>
      <c r="D61" s="359" t="s">
        <v>36</v>
      </c>
      <c r="E61" s="359"/>
      <c r="F61" s="340" t="s">
        <v>1416</v>
      </c>
      <c r="G61" s="341"/>
      <c r="H61" s="341"/>
      <c r="I61" s="341"/>
      <c r="J61" s="341"/>
      <c r="K61" s="341"/>
      <c r="L61" s="341"/>
      <c r="M61" s="342"/>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43" t="s">
        <v>39</v>
      </c>
      <c r="E71" s="343"/>
      <c r="F71" s="4" t="s">
        <v>47</v>
      </c>
      <c r="G71" s="3">
        <v>3</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v>0.06</v>
      </c>
      <c r="H77" s="16">
        <v>6.0999999999999999E-2</v>
      </c>
      <c r="I77" s="16">
        <v>0.1</v>
      </c>
      <c r="J77" s="16">
        <v>0.10100000000000001</v>
      </c>
      <c r="K77" s="16">
        <v>0.14899999999999999</v>
      </c>
      <c r="L77" s="16" t="s">
        <v>500</v>
      </c>
      <c r="M77" s="16">
        <v>0.15</v>
      </c>
      <c r="O77" s="2"/>
      <c r="AE77" s="3" t="s">
        <v>47</v>
      </c>
      <c r="AF77" s="3">
        <v>3</v>
      </c>
      <c r="AG77" s="3">
        <f t="shared" si="0"/>
        <v>1</v>
      </c>
      <c r="AH77" s="3">
        <f>+IF(AG77=0,0,IF(AG77=1,(SUM($AG$75:AG77)-1),1))</f>
        <v>0</v>
      </c>
      <c r="AI77" s="3">
        <f t="shared" si="1"/>
        <v>0</v>
      </c>
      <c r="AJ77" s="3">
        <f t="shared" si="2"/>
        <v>1</v>
      </c>
      <c r="AK77" s="3">
        <f t="shared" si="3"/>
        <v>1</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2</v>
      </c>
      <c r="AI79" s="3">
        <f t="shared" si="1"/>
        <v>0</v>
      </c>
      <c r="AJ79" s="3">
        <f t="shared" si="2"/>
        <v>0</v>
      </c>
      <c r="AK79" s="3">
        <f t="shared" si="3"/>
        <v>0</v>
      </c>
    </row>
    <row r="80" spans="2:37" x14ac:dyDescent="0.25">
      <c r="B80" s="2"/>
      <c r="D80" s="360" t="s">
        <v>50</v>
      </c>
      <c r="E80" s="360"/>
      <c r="F80" s="16" t="s">
        <v>500</v>
      </c>
      <c r="G80" s="16">
        <v>0.2</v>
      </c>
      <c r="H80" s="16">
        <v>0.20100000000000001</v>
      </c>
      <c r="I80" s="16">
        <v>0.3</v>
      </c>
      <c r="J80" s="16">
        <v>0.30099999999999999</v>
      </c>
      <c r="K80" s="16">
        <v>0.34899999999999998</v>
      </c>
      <c r="L80" s="16" t="s">
        <v>500</v>
      </c>
      <c r="M80" s="16">
        <v>0.35</v>
      </c>
      <c r="O80" s="2"/>
      <c r="AE80" s="3" t="s">
        <v>50</v>
      </c>
      <c r="AF80" s="3">
        <v>6</v>
      </c>
      <c r="AG80" s="3">
        <f t="shared" si="0"/>
        <v>1</v>
      </c>
      <c r="AH80" s="3">
        <f>+IF(AG80=0,0,IF(AG80=1,(SUM($AG$75:AG80)-1),1))</f>
        <v>3</v>
      </c>
      <c r="AI80" s="3">
        <f t="shared" si="1"/>
        <v>1</v>
      </c>
      <c r="AJ80" s="3">
        <f t="shared" si="2"/>
        <v>0</v>
      </c>
      <c r="AK80" s="3">
        <f t="shared" si="3"/>
        <v>1</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4</v>
      </c>
      <c r="AI81" s="3">
        <f t="shared" si="1"/>
        <v>0</v>
      </c>
      <c r="AJ81" s="3">
        <f t="shared" si="2"/>
        <v>0</v>
      </c>
      <c r="AK81" s="3">
        <f t="shared" si="3"/>
        <v>0</v>
      </c>
    </row>
    <row r="82" spans="2:37" x14ac:dyDescent="0.25">
      <c r="B82" s="2"/>
      <c r="D82" s="360" t="s">
        <v>54</v>
      </c>
      <c r="E82" s="360"/>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60" t="s">
        <v>55</v>
      </c>
      <c r="E83" s="360"/>
      <c r="F83" s="16" t="s">
        <v>500</v>
      </c>
      <c r="G83" s="16">
        <v>0.5</v>
      </c>
      <c r="H83" s="16">
        <v>0.501</v>
      </c>
      <c r="I83" s="16">
        <v>0.65</v>
      </c>
      <c r="J83" s="16">
        <v>0.65100000000000002</v>
      </c>
      <c r="K83" s="16">
        <v>0.749</v>
      </c>
      <c r="L83" s="16" t="s">
        <v>500</v>
      </c>
      <c r="M83" s="16">
        <v>0.75</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60" t="s">
        <v>58</v>
      </c>
      <c r="E86" s="360"/>
      <c r="F86" s="16" t="s">
        <v>500</v>
      </c>
      <c r="G86" s="16">
        <v>0.85</v>
      </c>
      <c r="H86" s="16">
        <v>0.85099999999999998</v>
      </c>
      <c r="I86" s="16">
        <v>0.95</v>
      </c>
      <c r="J86" s="16">
        <v>0.95099999999999996</v>
      </c>
      <c r="K86" s="16">
        <v>0.999</v>
      </c>
      <c r="L86" s="16" t="s">
        <v>500</v>
      </c>
      <c r="M86" s="16">
        <v>1</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66" customHeight="1" x14ac:dyDescent="0.25">
      <c r="B88" s="2"/>
      <c r="D88" s="338" t="s">
        <v>59</v>
      </c>
      <c r="E88" s="339"/>
      <c r="F88" s="340"/>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53.25" customHeight="1" x14ac:dyDescent="0.25">
      <c r="B97" s="2"/>
      <c r="D97" s="359" t="s">
        <v>35</v>
      </c>
      <c r="E97" s="359"/>
      <c r="F97" s="344" t="s">
        <v>1417</v>
      </c>
      <c r="G97" s="344"/>
      <c r="H97" s="344"/>
      <c r="I97" s="344"/>
      <c r="J97" s="344"/>
      <c r="K97" s="344"/>
      <c r="L97" s="344"/>
      <c r="M97" s="344"/>
      <c r="O97" s="2"/>
    </row>
    <row r="98" spans="2:15" ht="53.25" customHeight="1" x14ac:dyDescent="0.25">
      <c r="B98" s="2"/>
      <c r="D98" s="359" t="s">
        <v>36</v>
      </c>
      <c r="E98" s="359"/>
      <c r="F98" s="344" t="s">
        <v>1417</v>
      </c>
      <c r="G98" s="344"/>
      <c r="H98" s="344"/>
      <c r="I98" s="344"/>
      <c r="J98" s="344"/>
      <c r="K98" s="344"/>
      <c r="L98" s="344"/>
      <c r="M98" s="344"/>
      <c r="O98" s="2"/>
    </row>
    <row r="99" spans="2:15" ht="3.95" customHeight="1" x14ac:dyDescent="0.25">
      <c r="B99" s="2"/>
      <c r="O99" s="2"/>
    </row>
    <row r="100" spans="2:15" ht="87" customHeight="1" x14ac:dyDescent="0.25">
      <c r="B100" s="2"/>
      <c r="D100" s="338" t="s">
        <v>62</v>
      </c>
      <c r="E100" s="339"/>
      <c r="F100" s="340" t="s">
        <v>1372</v>
      </c>
      <c r="G100" s="341"/>
      <c r="H100" s="341"/>
      <c r="I100" s="341"/>
      <c r="J100" s="341"/>
      <c r="K100" s="341"/>
      <c r="L100" s="341"/>
      <c r="M100" s="342"/>
      <c r="O100" s="2"/>
    </row>
    <row r="101" spans="2:15" ht="3.95" customHeight="1" x14ac:dyDescent="0.25">
      <c r="B101" s="2"/>
      <c r="O101" s="2"/>
    </row>
    <row r="102" spans="2:15" ht="19.5" customHeight="1" x14ac:dyDescent="0.25">
      <c r="B102" s="2"/>
      <c r="D102" s="329" t="s">
        <v>64</v>
      </c>
      <c r="E102" s="330"/>
      <c r="F102" s="19" t="s">
        <v>65</v>
      </c>
      <c r="G102" s="4" t="s">
        <v>2</v>
      </c>
      <c r="K102" s="20"/>
      <c r="O102" s="2"/>
    </row>
    <row r="103" spans="2:15" ht="19.5" customHeight="1" x14ac:dyDescent="0.25">
      <c r="B103" s="2"/>
      <c r="D103" s="331"/>
      <c r="E103" s="332"/>
      <c r="F103" s="19" t="s">
        <v>66</v>
      </c>
      <c r="G103" s="4"/>
      <c r="K103" s="21"/>
      <c r="O103" s="2"/>
    </row>
    <row r="104" spans="2:15" ht="27.75" customHeight="1" x14ac:dyDescent="0.25">
      <c r="B104" s="2"/>
      <c r="D104" s="331"/>
      <c r="E104" s="332"/>
      <c r="F104" s="19" t="s">
        <v>67</v>
      </c>
      <c r="G104" s="333"/>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Subdirector(a) Mejoramiento Organizacional</v>
      </c>
      <c r="H108" s="334"/>
      <c r="I108" s="334"/>
      <c r="J108" s="334"/>
      <c r="K108" s="334"/>
      <c r="L108" s="334"/>
      <c r="M108" s="335"/>
      <c r="O108" s="2"/>
    </row>
    <row r="109" spans="2:15" ht="17.25" customHeight="1" x14ac:dyDescent="0.25">
      <c r="B109" s="2"/>
      <c r="D109" s="331"/>
      <c r="E109" s="332"/>
      <c r="F109" s="19" t="s">
        <v>2042</v>
      </c>
      <c r="G109" s="333" t="str">
        <f>+IF(M23="Si","Coordinador(a) Planeación y Sistemas","")</f>
        <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509" priority="31">
      <formula>+IF($F$43="no",1,0)</formula>
    </cfRule>
  </conditionalFormatting>
  <conditionalFormatting sqref="F32:M33">
    <cfRule type="expression" dxfId="508" priority="30">
      <formula>+IF($Q$30="NA",1,0)</formula>
    </cfRule>
  </conditionalFormatting>
  <conditionalFormatting sqref="F33:M33">
    <cfRule type="expression" dxfId="507" priority="29">
      <formula>+IF($Q$33=0,1,0)</formula>
    </cfRule>
  </conditionalFormatting>
  <conditionalFormatting sqref="F47:M47">
    <cfRule type="expression" dxfId="506" priority="28">
      <formula>+IF($Q$47=0,1,0)</formula>
    </cfRule>
  </conditionalFormatting>
  <conditionalFormatting sqref="F73:G73">
    <cfRule type="cellIs" dxfId="505" priority="14" operator="equal">
      <formula>"optimo"</formula>
    </cfRule>
    <cfRule type="cellIs" dxfId="504" priority="15" operator="equal">
      <formula>"critico"</formula>
    </cfRule>
  </conditionalFormatting>
  <conditionalFormatting sqref="H73:I73">
    <cfRule type="cellIs" dxfId="503" priority="12" operator="equal">
      <formula>"Adecuado"</formula>
    </cfRule>
    <cfRule type="cellIs" dxfId="502" priority="13" operator="equal">
      <formula>"en riesgo"</formula>
    </cfRule>
  </conditionalFormatting>
  <conditionalFormatting sqref="J73:K73">
    <cfRule type="cellIs" dxfId="501" priority="10" operator="equal">
      <formula>"Adecuado"</formula>
    </cfRule>
    <cfRule type="cellIs" dxfId="500" priority="11" operator="equal">
      <formula>"en riesgo"</formula>
    </cfRule>
  </conditionalFormatting>
  <conditionalFormatting sqref="L73:M73">
    <cfRule type="cellIs" dxfId="499" priority="8" operator="equal">
      <formula>"optimo"</formula>
    </cfRule>
    <cfRule type="cellIs" dxfId="498" priority="9" operator="equal">
      <formula>"critico"</formula>
    </cfRule>
  </conditionalFormatting>
  <conditionalFormatting sqref="F75:M86">
    <cfRule type="expression" dxfId="497" priority="7">
      <formula>+IF($AK75=0,1)</formula>
    </cfRule>
  </conditionalFormatting>
  <conditionalFormatting sqref="F103:G104">
    <cfRule type="expression" dxfId="496" priority="6">
      <formula>+IF($G$102="No",1,0)</formula>
    </cfRule>
  </conditionalFormatting>
  <conditionalFormatting sqref="F51">
    <cfRule type="expression" dxfId="495" priority="5">
      <formula>+IF($F$43="no",1,0)</formula>
    </cfRule>
  </conditionalFormatting>
  <conditionalFormatting sqref="I51">
    <cfRule type="expression" dxfId="494"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4">
    <tabColor rgb="FF0070C0"/>
  </sheetPr>
  <dimension ref="B1:AV113"/>
  <sheetViews>
    <sheetView zoomScale="90" zoomScaleNormal="90" workbookViewId="0">
      <selection activeCell="W75" sqref="W75"/>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432</v>
      </c>
      <c r="O10" s="2"/>
    </row>
    <row r="11" spans="2:24" ht="3.95" customHeight="1" x14ac:dyDescent="0.25">
      <c r="B11" s="2"/>
      <c r="D11" s="6"/>
      <c r="O11" s="2"/>
    </row>
    <row r="12" spans="2:24" ht="36" customHeight="1" x14ac:dyDescent="0.25">
      <c r="B12" s="2"/>
      <c r="D12" s="338" t="s">
        <v>5</v>
      </c>
      <c r="E12" s="339"/>
      <c r="F12" s="340" t="s">
        <v>433</v>
      </c>
      <c r="G12" s="341"/>
      <c r="H12" s="341"/>
      <c r="I12" s="341"/>
      <c r="J12" s="341"/>
      <c r="K12" s="341"/>
      <c r="L12" s="341"/>
      <c r="M12" s="342"/>
      <c r="O12" s="2"/>
      <c r="W12" s="3" t="str">
        <f>+F23</f>
        <v>Anual</v>
      </c>
      <c r="X12" s="3" t="str">
        <f>+F71</f>
        <v>Diciembre</v>
      </c>
    </row>
    <row r="13" spans="2:24" ht="3.95" customHeight="1" x14ac:dyDescent="0.25">
      <c r="B13" s="2"/>
      <c r="O13" s="2"/>
    </row>
    <row r="14" spans="2:24" ht="38.25" customHeight="1" x14ac:dyDescent="0.25">
      <c r="B14" s="2"/>
      <c r="D14" s="338" t="s">
        <v>6</v>
      </c>
      <c r="E14" s="339"/>
      <c r="F14" s="340" t="s">
        <v>1409</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8.75" customHeight="1" x14ac:dyDescent="0.25">
      <c r="B22" s="2"/>
      <c r="D22" s="337" t="s">
        <v>8</v>
      </c>
      <c r="E22" s="337"/>
      <c r="F22" s="29">
        <v>13</v>
      </c>
      <c r="G22" s="337" t="s">
        <v>9</v>
      </c>
      <c r="H22" s="337"/>
      <c r="I22" s="29">
        <v>3</v>
      </c>
      <c r="K22" s="337" t="s">
        <v>10</v>
      </c>
      <c r="L22" s="337"/>
      <c r="M22" s="9" t="s">
        <v>496</v>
      </c>
      <c r="O22" s="2"/>
    </row>
    <row r="23" spans="2:17" ht="19.5" customHeight="1" x14ac:dyDescent="0.25">
      <c r="B23" s="2"/>
      <c r="D23" s="337" t="s">
        <v>11</v>
      </c>
      <c r="E23" s="337"/>
      <c r="F23" s="4" t="s">
        <v>1249</v>
      </c>
      <c r="G23" s="337" t="s">
        <v>12</v>
      </c>
      <c r="H23" s="337"/>
      <c r="I23" s="4" t="s">
        <v>514</v>
      </c>
      <c r="K23" s="337" t="s">
        <v>13</v>
      </c>
      <c r="L23" s="337"/>
      <c r="M23" s="9" t="s">
        <v>2</v>
      </c>
      <c r="O23" s="2"/>
    </row>
    <row r="24" spans="2:17" ht="20.100000000000001" customHeight="1" x14ac:dyDescent="0.25">
      <c r="B24" s="2"/>
      <c r="D24" s="337" t="s">
        <v>14</v>
      </c>
      <c r="E24" s="337"/>
      <c r="F24" s="4" t="s">
        <v>498</v>
      </c>
      <c r="G24" s="337" t="s">
        <v>15</v>
      </c>
      <c r="H24" s="337"/>
      <c r="I24" s="4" t="s">
        <v>533</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NA</v>
      </c>
    </row>
    <row r="31" spans="2:17" ht="24" customHeight="1" x14ac:dyDescent="0.25">
      <c r="B31" s="2"/>
      <c r="D31" s="347"/>
      <c r="E31" s="348"/>
      <c r="F31" s="4" t="s">
        <v>425</v>
      </c>
      <c r="G31" s="340" t="s">
        <v>426</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1025</v>
      </c>
      <c r="G33" s="340"/>
      <c r="H33" s="341"/>
      <c r="I33" s="341"/>
      <c r="J33" s="341"/>
      <c r="K33" s="341"/>
      <c r="L33" s="341"/>
      <c r="M33" s="342"/>
      <c r="O33" s="2"/>
      <c r="Q33" s="3" t="str">
        <f>+IFERROR(IF(VLOOKUP(G33,base!$A$26:$C$40,3,FALSE)=F31,1,0),"")</f>
        <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1716</v>
      </c>
      <c r="G35" s="340" t="s">
        <v>1592</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1126</v>
      </c>
      <c r="G45" s="340" t="s">
        <v>1127</v>
      </c>
      <c r="H45" s="341"/>
      <c r="I45" s="341"/>
      <c r="J45" s="341"/>
      <c r="K45" s="341"/>
      <c r="L45" s="341"/>
      <c r="M45" s="342"/>
      <c r="O45" s="2"/>
      <c r="Q45" s="3" t="str">
        <f>+IFERROR(VLOOKUP(G45,base!$A$41:$C$45,3,FALSE),"")</f>
        <v>admon</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503</v>
      </c>
      <c r="G47" s="340" t="s">
        <v>995</v>
      </c>
      <c r="H47" s="341"/>
      <c r="I47" s="341"/>
      <c r="J47" s="341"/>
      <c r="K47" s="341"/>
      <c r="L47" s="341"/>
      <c r="M47" s="342"/>
      <c r="O47" s="2"/>
      <c r="Q47" s="3">
        <f>+IF(VLOOKUP(G47,base!$A$46:$C$66,3,FALSE)=F45,1,0)</f>
        <v>0</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920</v>
      </c>
      <c r="G49" s="340" t="s">
        <v>899</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496</v>
      </c>
      <c r="G51" s="337" t="s">
        <v>32</v>
      </c>
      <c r="H51" s="337"/>
      <c r="I51" s="29">
        <v>13</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37" t="s">
        <v>34</v>
      </c>
      <c r="E59" s="337"/>
      <c r="F59" s="344" t="s">
        <v>1410</v>
      </c>
      <c r="G59" s="344"/>
      <c r="H59" s="344"/>
      <c r="I59" s="344"/>
      <c r="J59" s="344"/>
      <c r="K59" s="344"/>
      <c r="L59" s="344"/>
      <c r="M59" s="344"/>
      <c r="O59" s="2"/>
    </row>
    <row r="60" spans="2:15" ht="44.25" customHeight="1" x14ac:dyDescent="0.25">
      <c r="B60" s="2"/>
      <c r="D60" s="359" t="s">
        <v>35</v>
      </c>
      <c r="E60" s="359"/>
      <c r="F60" s="344" t="s">
        <v>433</v>
      </c>
      <c r="G60" s="344"/>
      <c r="H60" s="344"/>
      <c r="I60" s="344"/>
      <c r="J60" s="344"/>
      <c r="K60" s="344"/>
      <c r="L60" s="344"/>
      <c r="M60" s="344"/>
      <c r="O60" s="2"/>
    </row>
    <row r="61" spans="2:15" ht="44.25" customHeight="1" x14ac:dyDescent="0.25">
      <c r="B61" s="2"/>
      <c r="D61" s="359" t="s">
        <v>36</v>
      </c>
      <c r="E61" s="359"/>
      <c r="F61" s="340" t="s">
        <v>1411</v>
      </c>
      <c r="G61" s="341"/>
      <c r="H61" s="341"/>
      <c r="I61" s="341"/>
      <c r="J61" s="341"/>
      <c r="K61" s="341"/>
      <c r="L61" s="341"/>
      <c r="M61" s="342"/>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12</v>
      </c>
    </row>
    <row r="70" spans="2:37" ht="3.95" customHeight="1" x14ac:dyDescent="0.25">
      <c r="B70" s="2"/>
      <c r="D70" s="7"/>
      <c r="E70" s="7"/>
      <c r="O70" s="2"/>
    </row>
    <row r="71" spans="2:37" ht="18.75" customHeight="1" x14ac:dyDescent="0.25">
      <c r="B71" s="2"/>
      <c r="D71" s="343" t="s">
        <v>39</v>
      </c>
      <c r="E71" s="343"/>
      <c r="F71" s="4" t="s">
        <v>58</v>
      </c>
      <c r="G71" s="3">
        <v>12</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60" t="s">
        <v>50</v>
      </c>
      <c r="E80" s="360"/>
      <c r="F80" s="16" t="s">
        <v>500</v>
      </c>
      <c r="G80" s="16" t="s">
        <v>500</v>
      </c>
      <c r="H80" s="16" t="s">
        <v>500</v>
      </c>
      <c r="I80" s="16" t="s">
        <v>500</v>
      </c>
      <c r="J80" s="16" t="s">
        <v>500</v>
      </c>
      <c r="K80" s="16" t="s">
        <v>500</v>
      </c>
      <c r="L80" s="16" t="s">
        <v>500</v>
      </c>
      <c r="M80" s="16" t="s">
        <v>500</v>
      </c>
      <c r="O80" s="2"/>
      <c r="AE80" s="3" t="s">
        <v>50</v>
      </c>
      <c r="AF80" s="3">
        <v>6</v>
      </c>
      <c r="AG80" s="3">
        <f t="shared" si="0"/>
        <v>0</v>
      </c>
      <c r="AH80" s="3">
        <f>+IF(AG80=0,0,IF(AG80=1,(SUM($AG$75:AG80)-1),1))</f>
        <v>0</v>
      </c>
      <c r="AI80" s="3">
        <f t="shared" si="1"/>
        <v>0</v>
      </c>
      <c r="AJ80" s="3">
        <f t="shared" si="2"/>
        <v>0</v>
      </c>
      <c r="AK80" s="3">
        <f t="shared" si="3"/>
        <v>0</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0</v>
      </c>
      <c r="AH81" s="3">
        <f>+IF(AG81=0,0,IF(AG81=1,(SUM($AG$75:AG81)-1),1))</f>
        <v>0</v>
      </c>
      <c r="AI81" s="3">
        <f t="shared" si="1"/>
        <v>0</v>
      </c>
      <c r="AJ81" s="3">
        <f t="shared" si="2"/>
        <v>0</v>
      </c>
      <c r="AK81" s="3">
        <f t="shared" si="3"/>
        <v>0</v>
      </c>
    </row>
    <row r="82" spans="2:37" x14ac:dyDescent="0.25">
      <c r="B82" s="2"/>
      <c r="D82" s="360" t="s">
        <v>54</v>
      </c>
      <c r="E82" s="360"/>
      <c r="F82" s="16" t="s">
        <v>500</v>
      </c>
      <c r="G82" s="16" t="s">
        <v>500</v>
      </c>
      <c r="H82" s="16" t="s">
        <v>500</v>
      </c>
      <c r="I82" s="16" t="s">
        <v>500</v>
      </c>
      <c r="J82" s="16" t="s">
        <v>500</v>
      </c>
      <c r="K82" s="16" t="s">
        <v>500</v>
      </c>
      <c r="L82" s="16" t="s">
        <v>500</v>
      </c>
      <c r="M82" s="16" t="s">
        <v>500</v>
      </c>
      <c r="O82" s="2"/>
      <c r="AE82" s="3" t="s">
        <v>54</v>
      </c>
      <c r="AF82" s="3">
        <v>8</v>
      </c>
      <c r="AG82" s="3">
        <f t="shared" si="0"/>
        <v>0</v>
      </c>
      <c r="AH82" s="3">
        <f>+IF(AG82=0,0,IF(AG82=1,(SUM($AG$75:AG82)-1),1))</f>
        <v>0</v>
      </c>
      <c r="AI82" s="3">
        <f t="shared" si="1"/>
        <v>0</v>
      </c>
      <c r="AJ82" s="3">
        <f t="shared" si="2"/>
        <v>0</v>
      </c>
      <c r="AK82" s="3">
        <f t="shared" si="3"/>
        <v>0</v>
      </c>
    </row>
    <row r="83" spans="2:37" x14ac:dyDescent="0.25">
      <c r="B83" s="2"/>
      <c r="D83" s="360" t="s">
        <v>55</v>
      </c>
      <c r="E83" s="360"/>
      <c r="F83" s="16" t="s">
        <v>500</v>
      </c>
      <c r="G83" s="16" t="s">
        <v>500</v>
      </c>
      <c r="H83" s="16" t="s">
        <v>500</v>
      </c>
      <c r="I83" s="16" t="s">
        <v>500</v>
      </c>
      <c r="J83" s="16" t="s">
        <v>500</v>
      </c>
      <c r="K83" s="16" t="s">
        <v>500</v>
      </c>
      <c r="L83" s="16" t="s">
        <v>500</v>
      </c>
      <c r="M83" s="16" t="s">
        <v>500</v>
      </c>
      <c r="O83" s="2"/>
      <c r="AE83" s="3" t="s">
        <v>55</v>
      </c>
      <c r="AF83" s="3">
        <v>9</v>
      </c>
      <c r="AG83" s="3">
        <f t="shared" si="0"/>
        <v>0</v>
      </c>
      <c r="AH83" s="3">
        <f>+IF(AG83=0,0,IF(AG83=1,(SUM($AG$75:AG83)-1),1))</f>
        <v>0</v>
      </c>
      <c r="AI83" s="3">
        <f t="shared" si="1"/>
        <v>0</v>
      </c>
      <c r="AJ83" s="3">
        <f t="shared" si="2"/>
        <v>0</v>
      </c>
      <c r="AK83" s="3">
        <f t="shared" si="3"/>
        <v>0</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0</v>
      </c>
      <c r="AH84" s="3">
        <f>+IF(AG84=0,0,IF(AG84=1,(SUM($AG$75:AG84)-1),1))</f>
        <v>0</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0</v>
      </c>
      <c r="AH85" s="3">
        <f>+IF(AG85=0,0,IF(AG85=1,(SUM($AG$75:AG85)-1),1))</f>
        <v>0</v>
      </c>
      <c r="AI85" s="3">
        <f t="shared" si="1"/>
        <v>0</v>
      </c>
      <c r="AJ85" s="3">
        <f t="shared" si="2"/>
        <v>0</v>
      </c>
      <c r="AK85" s="3">
        <f t="shared" si="3"/>
        <v>0</v>
      </c>
    </row>
    <row r="86" spans="2:37" x14ac:dyDescent="0.25">
      <c r="B86" s="2"/>
      <c r="D86" s="360" t="s">
        <v>58</v>
      </c>
      <c r="E86" s="360"/>
      <c r="F86" s="16" t="s">
        <v>500</v>
      </c>
      <c r="G86" s="16">
        <v>0.33</v>
      </c>
      <c r="H86" s="16">
        <v>0.33100000000000002</v>
      </c>
      <c r="I86" s="16">
        <v>0.66500000000000004</v>
      </c>
      <c r="J86" s="16">
        <v>0.66600000000000004</v>
      </c>
      <c r="K86" s="16">
        <v>0.999</v>
      </c>
      <c r="L86" s="16" t="s">
        <v>500</v>
      </c>
      <c r="M86" s="16">
        <v>1</v>
      </c>
      <c r="O86" s="2"/>
      <c r="AE86" s="3" t="s">
        <v>58</v>
      </c>
      <c r="AF86" s="65">
        <v>12</v>
      </c>
      <c r="AG86" s="3">
        <f t="shared" si="0"/>
        <v>1</v>
      </c>
      <c r="AH86" s="3">
        <f>+IF(AG86=0,0,IF(AG86=1,(SUM($AG$75:AG86)-1),1))</f>
        <v>0</v>
      </c>
      <c r="AI86" s="3">
        <f t="shared" si="1"/>
        <v>0</v>
      </c>
      <c r="AJ86" s="3">
        <f t="shared" si="2"/>
        <v>1</v>
      </c>
      <c r="AK86" s="3">
        <f t="shared" si="3"/>
        <v>1</v>
      </c>
    </row>
    <row r="87" spans="2:37" ht="3.75" customHeight="1" x14ac:dyDescent="0.25">
      <c r="B87" s="2"/>
      <c r="O87" s="2"/>
    </row>
    <row r="88" spans="2:37" ht="66" customHeight="1" x14ac:dyDescent="0.25">
      <c r="B88" s="2"/>
      <c r="D88" s="338" t="s">
        <v>59</v>
      </c>
      <c r="E88" s="339"/>
      <c r="F88" s="340"/>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6.5" customHeight="1" x14ac:dyDescent="0.25">
      <c r="B97" s="2"/>
      <c r="D97" s="359" t="s">
        <v>35</v>
      </c>
      <c r="E97" s="359"/>
      <c r="F97" s="344" t="s">
        <v>1412</v>
      </c>
      <c r="G97" s="344"/>
      <c r="H97" s="344"/>
      <c r="I97" s="344"/>
      <c r="J97" s="344"/>
      <c r="K97" s="344"/>
      <c r="L97" s="344"/>
      <c r="M97" s="344"/>
      <c r="O97" s="2"/>
    </row>
    <row r="98" spans="2:15" ht="46.5" customHeight="1" x14ac:dyDescent="0.25">
      <c r="B98" s="2"/>
      <c r="D98" s="359" t="s">
        <v>36</v>
      </c>
      <c r="E98" s="359"/>
      <c r="F98" s="344" t="s">
        <v>1412</v>
      </c>
      <c r="G98" s="344"/>
      <c r="H98" s="344"/>
      <c r="I98" s="344"/>
      <c r="J98" s="344"/>
      <c r="K98" s="344"/>
      <c r="L98" s="344"/>
      <c r="M98" s="344"/>
      <c r="O98" s="2"/>
    </row>
    <row r="99" spans="2:15" ht="3.95" customHeight="1" x14ac:dyDescent="0.25">
      <c r="B99" s="2"/>
      <c r="O99" s="2"/>
    </row>
    <row r="100" spans="2:15" ht="143.25" customHeight="1" x14ac:dyDescent="0.25">
      <c r="B100" s="2"/>
      <c r="D100" s="338" t="s">
        <v>62</v>
      </c>
      <c r="E100" s="339"/>
      <c r="F100" s="412" t="s">
        <v>1426</v>
      </c>
      <c r="G100" s="415"/>
      <c r="H100" s="415"/>
      <c r="I100" s="415"/>
      <c r="J100" s="415"/>
      <c r="K100" s="415"/>
      <c r="L100" s="415"/>
      <c r="M100" s="416"/>
      <c r="O100" s="2"/>
    </row>
    <row r="101" spans="2:15" ht="3.95" customHeight="1" x14ac:dyDescent="0.25">
      <c r="B101" s="2"/>
      <c r="O101" s="2"/>
    </row>
    <row r="102" spans="2:15" ht="19.5" customHeight="1" x14ac:dyDescent="0.25">
      <c r="B102" s="2"/>
      <c r="D102" s="329" t="s">
        <v>64</v>
      </c>
      <c r="E102" s="330"/>
      <c r="F102" s="19" t="s">
        <v>65</v>
      </c>
      <c r="G102" s="4" t="s">
        <v>1</v>
      </c>
      <c r="K102" s="20"/>
      <c r="O102" s="2"/>
    </row>
    <row r="103" spans="2:15" ht="19.5" customHeight="1" x14ac:dyDescent="0.25">
      <c r="B103" s="2"/>
      <c r="D103" s="331"/>
      <c r="E103" s="332"/>
      <c r="F103" s="19" t="s">
        <v>66</v>
      </c>
      <c r="G103" s="4" t="s">
        <v>1878</v>
      </c>
      <c r="K103" s="21"/>
      <c r="O103" s="2"/>
    </row>
    <row r="104" spans="2:15" ht="27.75" customHeight="1" x14ac:dyDescent="0.25">
      <c r="B104" s="2"/>
      <c r="D104" s="331"/>
      <c r="E104" s="332"/>
      <c r="F104" s="19" t="s">
        <v>67</v>
      </c>
      <c r="G104" s="333" t="s">
        <v>1879</v>
      </c>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Subdirector(a) Mejoramiento Organizacional</v>
      </c>
      <c r="H108" s="334"/>
      <c r="I108" s="334"/>
      <c r="J108" s="334"/>
      <c r="K108" s="334"/>
      <c r="L108" s="334"/>
      <c r="M108" s="335"/>
      <c r="O108" s="2"/>
    </row>
    <row r="109" spans="2:15" ht="17.25" customHeight="1" x14ac:dyDescent="0.25">
      <c r="B109" s="2"/>
      <c r="D109" s="331"/>
      <c r="E109" s="332"/>
      <c r="F109" s="19" t="s">
        <v>2042</v>
      </c>
      <c r="G109" s="333" t="str">
        <f>+IF(M23="Si","Coordinador(a) Planeación y Sistemas","")</f>
        <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493" priority="31">
      <formula>+IF($F$43="no",1,0)</formula>
    </cfRule>
  </conditionalFormatting>
  <conditionalFormatting sqref="F32:M33">
    <cfRule type="expression" dxfId="492" priority="30">
      <formula>+IF($Q$30="NA",1,0)</formula>
    </cfRule>
  </conditionalFormatting>
  <conditionalFormatting sqref="F33:M33">
    <cfRule type="expression" dxfId="491" priority="29">
      <formula>+IF($Q$33=0,1,0)</formula>
    </cfRule>
  </conditionalFormatting>
  <conditionalFormatting sqref="F47:M47">
    <cfRule type="expression" dxfId="490" priority="28">
      <formula>+IF($Q$47=0,1,0)</formula>
    </cfRule>
  </conditionalFormatting>
  <conditionalFormatting sqref="F73:G73">
    <cfRule type="cellIs" dxfId="489" priority="14" operator="equal">
      <formula>"optimo"</formula>
    </cfRule>
    <cfRule type="cellIs" dxfId="488" priority="15" operator="equal">
      <formula>"critico"</formula>
    </cfRule>
  </conditionalFormatting>
  <conditionalFormatting sqref="H73:I73">
    <cfRule type="cellIs" dxfId="487" priority="12" operator="equal">
      <formula>"Adecuado"</formula>
    </cfRule>
    <cfRule type="cellIs" dxfId="486" priority="13" operator="equal">
      <formula>"en riesgo"</formula>
    </cfRule>
  </conditionalFormatting>
  <conditionalFormatting sqref="J73:K73">
    <cfRule type="cellIs" dxfId="485" priority="10" operator="equal">
      <formula>"Adecuado"</formula>
    </cfRule>
    <cfRule type="cellIs" dxfId="484" priority="11" operator="equal">
      <formula>"en riesgo"</formula>
    </cfRule>
  </conditionalFormatting>
  <conditionalFormatting sqref="L73:M73">
    <cfRule type="cellIs" dxfId="483" priority="8" operator="equal">
      <formula>"optimo"</formula>
    </cfRule>
    <cfRule type="cellIs" dxfId="482" priority="9" operator="equal">
      <formula>"critico"</formula>
    </cfRule>
  </conditionalFormatting>
  <conditionalFormatting sqref="F75:M86">
    <cfRule type="expression" dxfId="481" priority="7">
      <formula>+IF($AK75=0,1)</formula>
    </cfRule>
  </conditionalFormatting>
  <conditionalFormatting sqref="F103:G104">
    <cfRule type="expression" dxfId="480" priority="6">
      <formula>+IF($G$102="No",1,0)</formula>
    </cfRule>
  </conditionalFormatting>
  <conditionalFormatting sqref="F51">
    <cfRule type="expression" dxfId="479" priority="5">
      <formula>+IF($F$43="no",1,0)</formula>
    </cfRule>
  </conditionalFormatting>
  <conditionalFormatting sqref="I51">
    <cfRule type="expression" dxfId="478"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5">
    <tabColor rgb="FF0070C0"/>
  </sheetPr>
  <dimension ref="B1:AV113"/>
  <sheetViews>
    <sheetView zoomScale="90" zoomScaleNormal="90" workbookViewId="0">
      <selection activeCell="F108" sqref="F108:M11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434</v>
      </c>
      <c r="O10" s="2"/>
    </row>
    <row r="11" spans="2:24" ht="3.95" customHeight="1" x14ac:dyDescent="0.25">
      <c r="B11" s="2"/>
      <c r="D11" s="6"/>
      <c r="O11" s="2"/>
    </row>
    <row r="12" spans="2:24" ht="36" customHeight="1" x14ac:dyDescent="0.25">
      <c r="B12" s="2"/>
      <c r="D12" s="338" t="s">
        <v>5</v>
      </c>
      <c r="E12" s="339"/>
      <c r="F12" s="340" t="s">
        <v>1427</v>
      </c>
      <c r="G12" s="341"/>
      <c r="H12" s="341"/>
      <c r="I12" s="341"/>
      <c r="J12" s="341"/>
      <c r="K12" s="341"/>
      <c r="L12" s="341"/>
      <c r="M12" s="342"/>
      <c r="O12" s="2"/>
      <c r="W12" s="3" t="str">
        <f>+F23</f>
        <v>Mensual</v>
      </c>
      <c r="X12" s="3" t="str">
        <f>+F71</f>
        <v>Enero</v>
      </c>
    </row>
    <row r="13" spans="2:24" ht="3.95" customHeight="1" x14ac:dyDescent="0.25">
      <c r="B13" s="2"/>
      <c r="O13" s="2"/>
    </row>
    <row r="14" spans="2:24" ht="38.25" customHeight="1" x14ac:dyDescent="0.25">
      <c r="B14" s="2"/>
      <c r="D14" s="338" t="s">
        <v>6</v>
      </c>
      <c r="E14" s="339"/>
      <c r="F14" s="340" t="s">
        <v>1404</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8.75" customHeight="1" x14ac:dyDescent="0.25">
      <c r="B22" s="2"/>
      <c r="D22" s="337" t="s">
        <v>8</v>
      </c>
      <c r="E22" s="337"/>
      <c r="F22" s="17">
        <v>0.28000000000000003</v>
      </c>
      <c r="G22" s="337" t="s">
        <v>9</v>
      </c>
      <c r="H22" s="337"/>
      <c r="I22" s="17">
        <v>0.85</v>
      </c>
      <c r="K22" s="337" t="s">
        <v>10</v>
      </c>
      <c r="L22" s="337"/>
      <c r="M22" s="9" t="s">
        <v>496</v>
      </c>
      <c r="O22" s="2"/>
    </row>
    <row r="23" spans="2:17" ht="19.5" customHeight="1" x14ac:dyDescent="0.25">
      <c r="B23" s="2"/>
      <c r="D23" s="337" t="s">
        <v>11</v>
      </c>
      <c r="E23" s="337"/>
      <c r="F23" s="4" t="s">
        <v>84</v>
      </c>
      <c r="G23" s="337" t="s">
        <v>12</v>
      </c>
      <c r="H23" s="337"/>
      <c r="I23" s="4" t="s">
        <v>497</v>
      </c>
      <c r="K23" s="337" t="s">
        <v>13</v>
      </c>
      <c r="L23" s="337"/>
      <c r="M23" s="9" t="s">
        <v>496</v>
      </c>
      <c r="O23" s="2"/>
    </row>
    <row r="24" spans="2:17" ht="20.100000000000001" customHeight="1" x14ac:dyDescent="0.25">
      <c r="B24" s="2"/>
      <c r="D24" s="337" t="s">
        <v>14</v>
      </c>
      <c r="E24" s="337"/>
      <c r="F24" s="4" t="s">
        <v>498</v>
      </c>
      <c r="G24" s="337" t="s">
        <v>15</v>
      </c>
      <c r="H24" s="337"/>
      <c r="I24" s="4" t="s">
        <v>103</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NA</v>
      </c>
    </row>
    <row r="31" spans="2:17" ht="24" customHeight="1" x14ac:dyDescent="0.25">
      <c r="B31" s="2"/>
      <c r="D31" s="347"/>
      <c r="E31" s="348"/>
      <c r="F31" s="4" t="s">
        <v>425</v>
      </c>
      <c r="G31" s="340" t="s">
        <v>426</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1025</v>
      </c>
      <c r="G33" s="340"/>
      <c r="H33" s="341"/>
      <c r="I33" s="341"/>
      <c r="J33" s="341"/>
      <c r="K33" s="341"/>
      <c r="L33" s="341"/>
      <c r="M33" s="342"/>
      <c r="O33" s="2"/>
      <c r="Q33" s="3" t="str">
        <f>+IFERROR(IF(VLOOKUP(G33,base!$A$26:$C$40,3,FALSE)=F31,1,0),"")</f>
        <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1716</v>
      </c>
      <c r="G35" s="340" t="s">
        <v>1592</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2</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500</v>
      </c>
      <c r="G45" s="340" t="s">
        <v>512</v>
      </c>
      <c r="H45" s="341"/>
      <c r="I45" s="341"/>
      <c r="J45" s="341"/>
      <c r="K45" s="341"/>
      <c r="L45" s="341"/>
      <c r="M45" s="342"/>
      <c r="O45" s="2"/>
      <c r="Q45" s="3" t="str">
        <f>+IFERROR(VLOOKUP(G45,base!$A$41:$C$45,3,FALSE),"")</f>
        <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503</v>
      </c>
      <c r="G47" s="340"/>
      <c r="H47" s="341"/>
      <c r="I47" s="341"/>
      <c r="J47" s="341"/>
      <c r="K47" s="341"/>
      <c r="L47" s="341"/>
      <c r="M47" s="342"/>
      <c r="O47" s="2"/>
      <c r="Q47" s="3" t="e">
        <f>+IF(VLOOKUP(G47,base!$A$46:$C$66,3,FALSE)=F45,1,0)</f>
        <v>#N/A</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920</v>
      </c>
      <c r="G49" s="340" t="s">
        <v>899</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31"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37" t="s">
        <v>34</v>
      </c>
      <c r="E59" s="337"/>
      <c r="F59" s="344" t="s">
        <v>1405</v>
      </c>
      <c r="G59" s="344"/>
      <c r="H59" s="344"/>
      <c r="I59" s="344"/>
      <c r="J59" s="344"/>
      <c r="K59" s="344"/>
      <c r="L59" s="344"/>
      <c r="M59" s="344"/>
      <c r="O59" s="2"/>
    </row>
    <row r="60" spans="2:15" ht="36.75" customHeight="1" x14ac:dyDescent="0.25">
      <c r="B60" s="2"/>
      <c r="D60" s="359" t="s">
        <v>35</v>
      </c>
      <c r="E60" s="359"/>
      <c r="F60" s="344" t="s">
        <v>1406</v>
      </c>
      <c r="G60" s="344"/>
      <c r="H60" s="344"/>
      <c r="I60" s="344"/>
      <c r="J60" s="344"/>
      <c r="K60" s="344"/>
      <c r="L60" s="344"/>
      <c r="M60" s="344"/>
      <c r="O60" s="2"/>
    </row>
    <row r="61" spans="2:15" ht="36.75" customHeight="1" x14ac:dyDescent="0.25">
      <c r="B61" s="2"/>
      <c r="D61" s="359" t="s">
        <v>36</v>
      </c>
      <c r="E61" s="359"/>
      <c r="F61" s="340" t="s">
        <v>1407</v>
      </c>
      <c r="G61" s="341"/>
      <c r="H61" s="341"/>
      <c r="I61" s="341"/>
      <c r="J61" s="341"/>
      <c r="K61" s="341"/>
      <c r="L61" s="341"/>
      <c r="M61" s="342"/>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43" t="s">
        <v>39</v>
      </c>
      <c r="E71" s="343"/>
      <c r="F71" s="4" t="s">
        <v>46</v>
      </c>
      <c r="G71" s="3">
        <v>1</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v>0.6</v>
      </c>
      <c r="H75" s="16">
        <v>0.60099999999999998</v>
      </c>
      <c r="I75" s="16">
        <v>0.7</v>
      </c>
      <c r="J75" s="16">
        <v>0.70099999999999996</v>
      </c>
      <c r="K75" s="16">
        <v>0.84899999999999998</v>
      </c>
      <c r="L75" s="16">
        <v>0.85</v>
      </c>
      <c r="M75" s="16" t="s">
        <v>500</v>
      </c>
      <c r="O75" s="2"/>
      <c r="AE75" s="3" t="s">
        <v>46</v>
      </c>
      <c r="AF75" s="3">
        <v>1</v>
      </c>
      <c r="AG75" s="3">
        <f>+IF(AF75&gt;=$G$71,1,0)</f>
        <v>1</v>
      </c>
      <c r="AH75" s="3">
        <f>+IF(AG75=0,0,IF(AG75=1,(SUM($AG$75:AG75)-1),1))</f>
        <v>0</v>
      </c>
      <c r="AI75" s="3">
        <f>+IF(AH75=0,0,IF(MOD(AH75,$U$69)=0,1,0))</f>
        <v>0</v>
      </c>
      <c r="AJ75" s="3">
        <f>+IF(AE75=$F$71,1,0)</f>
        <v>1</v>
      </c>
      <c r="AK75" s="3">
        <f>+MAX(AI75:AJ75)</f>
        <v>1</v>
      </c>
    </row>
    <row r="76" spans="2:37" x14ac:dyDescent="0.25">
      <c r="B76" s="2"/>
      <c r="D76" s="360" t="s">
        <v>40</v>
      </c>
      <c r="E76" s="360"/>
      <c r="F76" s="16" t="s">
        <v>500</v>
      </c>
      <c r="G76" s="16">
        <v>0.6</v>
      </c>
      <c r="H76" s="16">
        <v>0.60099999999999998</v>
      </c>
      <c r="I76" s="16">
        <v>0.7</v>
      </c>
      <c r="J76" s="16">
        <v>0.70099999999999996</v>
      </c>
      <c r="K76" s="16">
        <v>0.84899999999999998</v>
      </c>
      <c r="L76" s="16">
        <v>0.85</v>
      </c>
      <c r="M76" s="16" t="s">
        <v>500</v>
      </c>
      <c r="O76" s="2"/>
      <c r="AE76" s="3" t="s">
        <v>40</v>
      </c>
      <c r="AF76" s="3">
        <v>2</v>
      </c>
      <c r="AG76" s="3">
        <f t="shared" ref="AG76:AG86" si="0">+IF(AF76&gt;=$G$71,1,0)</f>
        <v>1</v>
      </c>
      <c r="AH76" s="3">
        <f>+IF(AG76=0,0,IF(AG76=1,(SUM($AG$75:AG76)-1),1))</f>
        <v>1</v>
      </c>
      <c r="AI76" s="3">
        <f t="shared" ref="AI76:AI86" si="1">+IF(AH76=0,0,IF(MOD(AH76,$U$69)=0,1,0))</f>
        <v>1</v>
      </c>
      <c r="AJ76" s="3">
        <f t="shared" ref="AJ76:AJ86" si="2">+IF(AE76=$F$71,1,0)</f>
        <v>0</v>
      </c>
      <c r="AK76" s="3">
        <f t="shared" ref="AK76:AK86" si="3">+MAX(AI76:AJ76)</f>
        <v>1</v>
      </c>
    </row>
    <row r="77" spans="2:37" x14ac:dyDescent="0.25">
      <c r="B77" s="2"/>
      <c r="D77" s="360" t="s">
        <v>47</v>
      </c>
      <c r="E77" s="360"/>
      <c r="F77" s="16" t="s">
        <v>500</v>
      </c>
      <c r="G77" s="16">
        <v>0.6</v>
      </c>
      <c r="H77" s="16">
        <v>0.60099999999999998</v>
      </c>
      <c r="I77" s="16">
        <v>0.7</v>
      </c>
      <c r="J77" s="16">
        <v>0.70099999999999996</v>
      </c>
      <c r="K77" s="16">
        <v>0.84899999999999998</v>
      </c>
      <c r="L77" s="16">
        <v>0.85</v>
      </c>
      <c r="M77" s="16" t="s">
        <v>500</v>
      </c>
      <c r="O77" s="2"/>
      <c r="AE77" s="3" t="s">
        <v>47</v>
      </c>
      <c r="AF77" s="3">
        <v>3</v>
      </c>
      <c r="AG77" s="3">
        <f t="shared" si="0"/>
        <v>1</v>
      </c>
      <c r="AH77" s="3">
        <f>+IF(AG77=0,0,IF(AG77=1,(SUM($AG$75:AG77)-1),1))</f>
        <v>2</v>
      </c>
      <c r="AI77" s="3">
        <f t="shared" si="1"/>
        <v>1</v>
      </c>
      <c r="AJ77" s="3">
        <f t="shared" si="2"/>
        <v>0</v>
      </c>
      <c r="AK77" s="3">
        <f t="shared" si="3"/>
        <v>1</v>
      </c>
    </row>
    <row r="78" spans="2:37" x14ac:dyDescent="0.25">
      <c r="B78" s="2"/>
      <c r="D78" s="360" t="s">
        <v>48</v>
      </c>
      <c r="E78" s="360"/>
      <c r="F78" s="16" t="s">
        <v>500</v>
      </c>
      <c r="G78" s="16">
        <v>0.6</v>
      </c>
      <c r="H78" s="16">
        <v>0.60099999999999998</v>
      </c>
      <c r="I78" s="16">
        <v>0.7</v>
      </c>
      <c r="J78" s="16">
        <v>0.70099999999999996</v>
      </c>
      <c r="K78" s="16">
        <v>0.84899999999999998</v>
      </c>
      <c r="L78" s="16">
        <v>0.85</v>
      </c>
      <c r="M78" s="16" t="s">
        <v>500</v>
      </c>
      <c r="O78" s="2"/>
      <c r="AE78" s="3" t="s">
        <v>48</v>
      </c>
      <c r="AF78" s="3">
        <v>4</v>
      </c>
      <c r="AG78" s="3">
        <f t="shared" si="0"/>
        <v>1</v>
      </c>
      <c r="AH78" s="3">
        <f>+IF(AG78=0,0,IF(AG78=1,(SUM($AG$75:AG78)-1),1))</f>
        <v>3</v>
      </c>
      <c r="AI78" s="3">
        <f t="shared" si="1"/>
        <v>1</v>
      </c>
      <c r="AJ78" s="3">
        <f t="shared" si="2"/>
        <v>0</v>
      </c>
      <c r="AK78" s="3">
        <f t="shared" si="3"/>
        <v>1</v>
      </c>
    </row>
    <row r="79" spans="2:37" x14ac:dyDescent="0.25">
      <c r="B79" s="2"/>
      <c r="D79" s="360" t="s">
        <v>49</v>
      </c>
      <c r="E79" s="360"/>
      <c r="F79" s="16" t="s">
        <v>500</v>
      </c>
      <c r="G79" s="16">
        <v>0.6</v>
      </c>
      <c r="H79" s="16">
        <v>0.60099999999999998</v>
      </c>
      <c r="I79" s="16">
        <v>0.7</v>
      </c>
      <c r="J79" s="16">
        <v>0.70099999999999996</v>
      </c>
      <c r="K79" s="16">
        <v>0.84899999999999998</v>
      </c>
      <c r="L79" s="16">
        <v>0.85</v>
      </c>
      <c r="M79" s="16" t="s">
        <v>500</v>
      </c>
      <c r="O79" s="2"/>
      <c r="AE79" s="3" t="s">
        <v>49</v>
      </c>
      <c r="AF79" s="3">
        <v>5</v>
      </c>
      <c r="AG79" s="3">
        <f t="shared" si="0"/>
        <v>1</v>
      </c>
      <c r="AH79" s="3">
        <f>+IF(AG79=0,0,IF(AG79=1,(SUM($AG$75:AG79)-1),1))</f>
        <v>4</v>
      </c>
      <c r="AI79" s="3">
        <f t="shared" si="1"/>
        <v>1</v>
      </c>
      <c r="AJ79" s="3">
        <f t="shared" si="2"/>
        <v>0</v>
      </c>
      <c r="AK79" s="3">
        <f t="shared" si="3"/>
        <v>1</v>
      </c>
    </row>
    <row r="80" spans="2:37" x14ac:dyDescent="0.25">
      <c r="B80" s="2"/>
      <c r="D80" s="360" t="s">
        <v>50</v>
      </c>
      <c r="E80" s="360"/>
      <c r="F80" s="16" t="s">
        <v>500</v>
      </c>
      <c r="G80" s="16">
        <v>0.6</v>
      </c>
      <c r="H80" s="16">
        <v>0.60099999999999998</v>
      </c>
      <c r="I80" s="16">
        <v>0.7</v>
      </c>
      <c r="J80" s="16">
        <v>0.70099999999999996</v>
      </c>
      <c r="K80" s="16">
        <v>0.84899999999999998</v>
      </c>
      <c r="L80" s="16">
        <v>0.85</v>
      </c>
      <c r="M80" s="16" t="s">
        <v>500</v>
      </c>
      <c r="O80" s="2"/>
      <c r="AE80" s="3" t="s">
        <v>50</v>
      </c>
      <c r="AF80" s="3">
        <v>6</v>
      </c>
      <c r="AG80" s="3">
        <f t="shared" si="0"/>
        <v>1</v>
      </c>
      <c r="AH80" s="3">
        <f>+IF(AG80=0,0,IF(AG80=1,(SUM($AG$75:AG80)-1),1))</f>
        <v>5</v>
      </c>
      <c r="AI80" s="3">
        <f t="shared" si="1"/>
        <v>1</v>
      </c>
      <c r="AJ80" s="3">
        <f t="shared" si="2"/>
        <v>0</v>
      </c>
      <c r="AK80" s="3">
        <f t="shared" si="3"/>
        <v>1</v>
      </c>
    </row>
    <row r="81" spans="2:37" x14ac:dyDescent="0.25">
      <c r="B81" s="2"/>
      <c r="D81" s="360" t="s">
        <v>53</v>
      </c>
      <c r="E81" s="360"/>
      <c r="F81" s="16" t="s">
        <v>500</v>
      </c>
      <c r="G81" s="16">
        <v>0.6</v>
      </c>
      <c r="H81" s="16">
        <v>0.60099999999999998</v>
      </c>
      <c r="I81" s="16">
        <v>0.7</v>
      </c>
      <c r="J81" s="16">
        <v>0.70099999999999996</v>
      </c>
      <c r="K81" s="16">
        <v>0.84899999999999998</v>
      </c>
      <c r="L81" s="16">
        <v>0.85</v>
      </c>
      <c r="M81" s="16" t="s">
        <v>500</v>
      </c>
      <c r="O81" s="2"/>
      <c r="AE81" s="3" t="s">
        <v>53</v>
      </c>
      <c r="AF81" s="3">
        <v>7</v>
      </c>
      <c r="AG81" s="3">
        <f t="shared" si="0"/>
        <v>1</v>
      </c>
      <c r="AH81" s="3">
        <f>+IF(AG81=0,0,IF(AG81=1,(SUM($AG$75:AG81)-1),1))</f>
        <v>6</v>
      </c>
      <c r="AI81" s="3">
        <f t="shared" si="1"/>
        <v>1</v>
      </c>
      <c r="AJ81" s="3">
        <f t="shared" si="2"/>
        <v>0</v>
      </c>
      <c r="AK81" s="3">
        <f t="shared" si="3"/>
        <v>1</v>
      </c>
    </row>
    <row r="82" spans="2:37" x14ac:dyDescent="0.25">
      <c r="B82" s="2"/>
      <c r="D82" s="360" t="s">
        <v>54</v>
      </c>
      <c r="E82" s="360"/>
      <c r="F82" s="16" t="s">
        <v>500</v>
      </c>
      <c r="G82" s="16">
        <v>0.6</v>
      </c>
      <c r="H82" s="16">
        <v>0.60099999999999998</v>
      </c>
      <c r="I82" s="16">
        <v>0.7</v>
      </c>
      <c r="J82" s="16">
        <v>0.70099999999999996</v>
      </c>
      <c r="K82" s="16">
        <v>0.84899999999999998</v>
      </c>
      <c r="L82" s="16">
        <v>0.85</v>
      </c>
      <c r="M82" s="16" t="s">
        <v>500</v>
      </c>
      <c r="O82" s="2"/>
      <c r="AE82" s="3" t="s">
        <v>54</v>
      </c>
      <c r="AF82" s="3">
        <v>8</v>
      </c>
      <c r="AG82" s="3">
        <f t="shared" si="0"/>
        <v>1</v>
      </c>
      <c r="AH82" s="3">
        <f>+IF(AG82=0,0,IF(AG82=1,(SUM($AG$75:AG82)-1),1))</f>
        <v>7</v>
      </c>
      <c r="AI82" s="3">
        <f t="shared" si="1"/>
        <v>1</v>
      </c>
      <c r="AJ82" s="3">
        <f t="shared" si="2"/>
        <v>0</v>
      </c>
      <c r="AK82" s="3">
        <f t="shared" si="3"/>
        <v>1</v>
      </c>
    </row>
    <row r="83" spans="2:37" x14ac:dyDescent="0.25">
      <c r="B83" s="2"/>
      <c r="D83" s="360" t="s">
        <v>55</v>
      </c>
      <c r="E83" s="360"/>
      <c r="F83" s="16" t="s">
        <v>500</v>
      </c>
      <c r="G83" s="16">
        <v>0.6</v>
      </c>
      <c r="H83" s="16">
        <v>0.60099999999999998</v>
      </c>
      <c r="I83" s="16">
        <v>0.7</v>
      </c>
      <c r="J83" s="16">
        <v>0.70099999999999996</v>
      </c>
      <c r="K83" s="16">
        <v>0.84899999999999998</v>
      </c>
      <c r="L83" s="16">
        <v>0.85</v>
      </c>
      <c r="M83" s="16" t="s">
        <v>500</v>
      </c>
      <c r="O83" s="2"/>
      <c r="AE83" s="3" t="s">
        <v>55</v>
      </c>
      <c r="AF83" s="3">
        <v>9</v>
      </c>
      <c r="AG83" s="3">
        <f t="shared" si="0"/>
        <v>1</v>
      </c>
      <c r="AH83" s="3">
        <f>+IF(AG83=0,0,IF(AG83=1,(SUM($AG$75:AG83)-1),1))</f>
        <v>8</v>
      </c>
      <c r="AI83" s="3">
        <f t="shared" si="1"/>
        <v>1</v>
      </c>
      <c r="AJ83" s="3">
        <f t="shared" si="2"/>
        <v>0</v>
      </c>
      <c r="AK83" s="3">
        <f t="shared" si="3"/>
        <v>1</v>
      </c>
    </row>
    <row r="84" spans="2:37" x14ac:dyDescent="0.25">
      <c r="B84" s="2"/>
      <c r="D84" s="360" t="s">
        <v>56</v>
      </c>
      <c r="E84" s="360"/>
      <c r="F84" s="16" t="s">
        <v>500</v>
      </c>
      <c r="G84" s="16">
        <v>0.6</v>
      </c>
      <c r="H84" s="16">
        <v>0.60099999999999998</v>
      </c>
      <c r="I84" s="16">
        <v>0.7</v>
      </c>
      <c r="J84" s="16">
        <v>0.70099999999999996</v>
      </c>
      <c r="K84" s="16">
        <v>0.84899999999999998</v>
      </c>
      <c r="L84" s="16">
        <v>0.85</v>
      </c>
      <c r="M84" s="16" t="s">
        <v>500</v>
      </c>
      <c r="O84" s="2"/>
      <c r="AE84" s="3" t="s">
        <v>56</v>
      </c>
      <c r="AF84" s="3">
        <v>10</v>
      </c>
      <c r="AG84" s="3">
        <f t="shared" si="0"/>
        <v>1</v>
      </c>
      <c r="AH84" s="3">
        <f>+IF(AG84=0,0,IF(AG84=1,(SUM($AG$75:AG84)-1),1))</f>
        <v>9</v>
      </c>
      <c r="AI84" s="3">
        <f t="shared" si="1"/>
        <v>1</v>
      </c>
      <c r="AJ84" s="3">
        <f t="shared" si="2"/>
        <v>0</v>
      </c>
      <c r="AK84" s="3">
        <f t="shared" si="3"/>
        <v>1</v>
      </c>
    </row>
    <row r="85" spans="2:37" x14ac:dyDescent="0.25">
      <c r="B85" s="2"/>
      <c r="D85" s="360" t="s">
        <v>57</v>
      </c>
      <c r="E85" s="360"/>
      <c r="F85" s="16" t="s">
        <v>500</v>
      </c>
      <c r="G85" s="16">
        <v>0.6</v>
      </c>
      <c r="H85" s="16">
        <v>0.60099999999999998</v>
      </c>
      <c r="I85" s="16">
        <v>0.7</v>
      </c>
      <c r="J85" s="16">
        <v>0.70099999999999996</v>
      </c>
      <c r="K85" s="16">
        <v>0.84899999999999998</v>
      </c>
      <c r="L85" s="16">
        <v>0.85</v>
      </c>
      <c r="M85" s="16" t="s">
        <v>500</v>
      </c>
      <c r="O85" s="2"/>
      <c r="AE85" s="3" t="s">
        <v>57</v>
      </c>
      <c r="AF85" s="3">
        <v>11</v>
      </c>
      <c r="AG85" s="3">
        <f t="shared" si="0"/>
        <v>1</v>
      </c>
      <c r="AH85" s="3">
        <f>+IF(AG85=0,0,IF(AG85=1,(SUM($AG$75:AG85)-1),1))</f>
        <v>10</v>
      </c>
      <c r="AI85" s="3">
        <f t="shared" si="1"/>
        <v>1</v>
      </c>
      <c r="AJ85" s="3">
        <f t="shared" si="2"/>
        <v>0</v>
      </c>
      <c r="AK85" s="3">
        <f t="shared" si="3"/>
        <v>1</v>
      </c>
    </row>
    <row r="86" spans="2:37" x14ac:dyDescent="0.25">
      <c r="B86" s="2"/>
      <c r="D86" s="360" t="s">
        <v>58</v>
      </c>
      <c r="E86" s="360"/>
      <c r="F86" s="16" t="s">
        <v>500</v>
      </c>
      <c r="G86" s="16">
        <v>0.6</v>
      </c>
      <c r="H86" s="16">
        <v>0.60099999999999998</v>
      </c>
      <c r="I86" s="16">
        <v>0.7</v>
      </c>
      <c r="J86" s="16">
        <v>0.70099999999999996</v>
      </c>
      <c r="K86" s="16">
        <v>0.84899999999999998</v>
      </c>
      <c r="L86" s="16">
        <v>0.85</v>
      </c>
      <c r="M86" s="16" t="s">
        <v>500</v>
      </c>
      <c r="O86" s="2"/>
      <c r="AE86" s="3" t="s">
        <v>58</v>
      </c>
      <c r="AF86" s="65">
        <v>12</v>
      </c>
      <c r="AG86" s="3">
        <f t="shared" si="0"/>
        <v>1</v>
      </c>
      <c r="AH86" s="3">
        <f>+IF(AG86=0,0,IF(AG86=1,(SUM($AG$75:AG86)-1),1))</f>
        <v>11</v>
      </c>
      <c r="AI86" s="3">
        <f t="shared" si="1"/>
        <v>1</v>
      </c>
      <c r="AJ86" s="3">
        <f t="shared" si="2"/>
        <v>0</v>
      </c>
      <c r="AK86" s="3">
        <f t="shared" si="3"/>
        <v>1</v>
      </c>
    </row>
    <row r="87" spans="2:37" ht="3.75" customHeight="1" x14ac:dyDescent="0.25">
      <c r="B87" s="2"/>
      <c r="O87" s="2"/>
    </row>
    <row r="88" spans="2:37" ht="183.75" customHeight="1" x14ac:dyDescent="0.25">
      <c r="B88" s="2"/>
      <c r="D88" s="338" t="s">
        <v>59</v>
      </c>
      <c r="E88" s="339"/>
      <c r="F88" s="340" t="s">
        <v>1369</v>
      </c>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53.25" customHeight="1" x14ac:dyDescent="0.25">
      <c r="B97" s="2"/>
      <c r="D97" s="359" t="s">
        <v>35</v>
      </c>
      <c r="E97" s="359"/>
      <c r="F97" s="344" t="s">
        <v>1408</v>
      </c>
      <c r="G97" s="344"/>
      <c r="H97" s="344"/>
      <c r="I97" s="344"/>
      <c r="J97" s="344"/>
      <c r="K97" s="344"/>
      <c r="L97" s="344"/>
      <c r="M97" s="344"/>
      <c r="O97" s="2"/>
    </row>
    <row r="98" spans="2:15" ht="53.25" customHeight="1" x14ac:dyDescent="0.25">
      <c r="B98" s="2"/>
      <c r="D98" s="359" t="s">
        <v>36</v>
      </c>
      <c r="E98" s="359"/>
      <c r="F98" s="344" t="s">
        <v>1387</v>
      </c>
      <c r="G98" s="344"/>
      <c r="H98" s="344"/>
      <c r="I98" s="344"/>
      <c r="J98" s="344"/>
      <c r="K98" s="344"/>
      <c r="L98" s="344"/>
      <c r="M98" s="344"/>
      <c r="O98" s="2"/>
    </row>
    <row r="99" spans="2:15" ht="3.95" customHeight="1" x14ac:dyDescent="0.25">
      <c r="B99" s="2"/>
      <c r="O99" s="2"/>
    </row>
    <row r="100" spans="2:15" ht="79.5" customHeight="1" x14ac:dyDescent="0.25">
      <c r="B100" s="2"/>
      <c r="D100" s="338" t="s">
        <v>62</v>
      </c>
      <c r="E100" s="339"/>
      <c r="F100" s="412" t="s">
        <v>1428</v>
      </c>
      <c r="G100" s="415"/>
      <c r="H100" s="415"/>
      <c r="I100" s="415"/>
      <c r="J100" s="415"/>
      <c r="K100" s="415"/>
      <c r="L100" s="415"/>
      <c r="M100" s="416"/>
      <c r="O100" s="2"/>
    </row>
    <row r="101" spans="2:15" ht="3.95" customHeight="1" x14ac:dyDescent="0.25">
      <c r="B101" s="2"/>
      <c r="O101" s="2"/>
    </row>
    <row r="102" spans="2:15" ht="19.5" customHeight="1" x14ac:dyDescent="0.25">
      <c r="B102" s="2"/>
      <c r="D102" s="329" t="s">
        <v>64</v>
      </c>
      <c r="E102" s="330"/>
      <c r="F102" s="19" t="s">
        <v>65</v>
      </c>
      <c r="G102" s="4" t="s">
        <v>1</v>
      </c>
      <c r="K102" s="20"/>
      <c r="O102" s="2"/>
    </row>
    <row r="103" spans="2:15" ht="19.5" customHeight="1" x14ac:dyDescent="0.25">
      <c r="B103" s="2"/>
      <c r="D103" s="331"/>
      <c r="E103" s="332"/>
      <c r="F103" s="19" t="s">
        <v>66</v>
      </c>
      <c r="G103" s="4" t="s">
        <v>434</v>
      </c>
      <c r="K103" s="21"/>
      <c r="O103" s="2"/>
    </row>
    <row r="104" spans="2:15" ht="27.75" customHeight="1" x14ac:dyDescent="0.25">
      <c r="B104" s="2"/>
      <c r="D104" s="331"/>
      <c r="E104" s="332"/>
      <c r="F104" s="19" t="s">
        <v>67</v>
      </c>
      <c r="G104" s="333" t="s">
        <v>1880</v>
      </c>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Subdirector(a) Mejoramiento Organizacional</v>
      </c>
      <c r="H108" s="334"/>
      <c r="I108" s="334"/>
      <c r="J108" s="334"/>
      <c r="K108" s="334"/>
      <c r="L108" s="334"/>
      <c r="M108" s="335"/>
      <c r="O108" s="2"/>
    </row>
    <row r="109" spans="2:15" ht="17.25" customHeight="1" x14ac:dyDescent="0.25">
      <c r="B109" s="2"/>
      <c r="D109" s="331"/>
      <c r="E109" s="332"/>
      <c r="F109" s="19" t="s">
        <v>2042</v>
      </c>
      <c r="G109" s="333" t="str">
        <f>+IF(M23="Si","Coordinador(a) Planeación y Sistemas","")</f>
        <v>Coordinador(a) Planeación y Sistemas</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477" priority="31">
      <formula>+IF($F$43="no",1,0)</formula>
    </cfRule>
  </conditionalFormatting>
  <conditionalFormatting sqref="F32:M33">
    <cfRule type="expression" dxfId="476" priority="30">
      <formula>+IF($Q$30="NA",1,0)</formula>
    </cfRule>
  </conditionalFormatting>
  <conditionalFormatting sqref="F33:M33">
    <cfRule type="expression" dxfId="475" priority="29">
      <formula>+IF($Q$33=0,1,0)</formula>
    </cfRule>
  </conditionalFormatting>
  <conditionalFormatting sqref="F47:M47">
    <cfRule type="expression" dxfId="474" priority="28">
      <formula>+IF($Q$47=0,1,0)</formula>
    </cfRule>
  </conditionalFormatting>
  <conditionalFormatting sqref="F73:G73">
    <cfRule type="cellIs" dxfId="473" priority="14" operator="equal">
      <formula>"optimo"</formula>
    </cfRule>
    <cfRule type="cellIs" dxfId="472" priority="15" operator="equal">
      <formula>"critico"</formula>
    </cfRule>
  </conditionalFormatting>
  <conditionalFormatting sqref="H73:I73">
    <cfRule type="cellIs" dxfId="471" priority="12" operator="equal">
      <formula>"Adecuado"</formula>
    </cfRule>
    <cfRule type="cellIs" dxfId="470" priority="13" operator="equal">
      <formula>"en riesgo"</formula>
    </cfRule>
  </conditionalFormatting>
  <conditionalFormatting sqref="J73:K73">
    <cfRule type="cellIs" dxfId="469" priority="10" operator="equal">
      <formula>"Adecuado"</formula>
    </cfRule>
    <cfRule type="cellIs" dxfId="468" priority="11" operator="equal">
      <formula>"en riesgo"</formula>
    </cfRule>
  </conditionalFormatting>
  <conditionalFormatting sqref="L73:M73">
    <cfRule type="cellIs" dxfId="467" priority="8" operator="equal">
      <formula>"optimo"</formula>
    </cfRule>
    <cfRule type="cellIs" dxfId="466" priority="9" operator="equal">
      <formula>"critico"</formula>
    </cfRule>
  </conditionalFormatting>
  <conditionalFormatting sqref="F75:M86">
    <cfRule type="expression" dxfId="465" priority="7">
      <formula>+IF($AK75=0,1)</formula>
    </cfRule>
  </conditionalFormatting>
  <conditionalFormatting sqref="F103:G104">
    <cfRule type="expression" dxfId="464" priority="6">
      <formula>+IF($G$102="No",1,0)</formula>
    </cfRule>
  </conditionalFormatting>
  <conditionalFormatting sqref="F51">
    <cfRule type="expression" dxfId="463" priority="5">
      <formula>+IF($F$43="no",1,0)</formula>
    </cfRule>
  </conditionalFormatting>
  <conditionalFormatting sqref="I51">
    <cfRule type="expression" dxfId="462"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6">
    <tabColor rgb="FF0070C0"/>
  </sheetPr>
  <dimension ref="B1:AV113"/>
  <sheetViews>
    <sheetView zoomScale="90" zoomScaleNormal="90" workbookViewId="0"/>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435</v>
      </c>
      <c r="O10" s="2"/>
    </row>
    <row r="11" spans="2:24" ht="3.95" customHeight="1" x14ac:dyDescent="0.25">
      <c r="B11" s="2"/>
      <c r="D11" s="6"/>
      <c r="O11" s="2"/>
    </row>
    <row r="12" spans="2:24" ht="36" customHeight="1" x14ac:dyDescent="0.25">
      <c r="B12" s="2"/>
      <c r="D12" s="338" t="s">
        <v>5</v>
      </c>
      <c r="E12" s="339"/>
      <c r="F12" s="340" t="s">
        <v>1429</v>
      </c>
      <c r="G12" s="341"/>
      <c r="H12" s="341"/>
      <c r="I12" s="341"/>
      <c r="J12" s="341"/>
      <c r="K12" s="341"/>
      <c r="L12" s="341"/>
      <c r="M12" s="342"/>
      <c r="O12" s="2"/>
      <c r="W12" s="3" t="str">
        <f>+F23</f>
        <v>Mensual</v>
      </c>
      <c r="X12" s="3" t="str">
        <f>+F71</f>
        <v>Enero</v>
      </c>
    </row>
    <row r="13" spans="2:24" ht="3.95" customHeight="1" x14ac:dyDescent="0.25">
      <c r="B13" s="2"/>
      <c r="O13" s="2"/>
    </row>
    <row r="14" spans="2:24" ht="38.25" customHeight="1" x14ac:dyDescent="0.25">
      <c r="B14" s="2"/>
      <c r="D14" s="338" t="s">
        <v>6</v>
      </c>
      <c r="E14" s="339"/>
      <c r="F14" s="340" t="s">
        <v>1399</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8.75" customHeight="1" x14ac:dyDescent="0.25">
      <c r="B22" s="2"/>
      <c r="D22" s="337" t="s">
        <v>8</v>
      </c>
      <c r="E22" s="337"/>
      <c r="F22" s="29" t="s">
        <v>512</v>
      </c>
      <c r="G22" s="337" t="s">
        <v>9</v>
      </c>
      <c r="H22" s="337"/>
      <c r="I22" s="17">
        <v>0.85</v>
      </c>
      <c r="K22" s="337" t="s">
        <v>10</v>
      </c>
      <c r="L22" s="337"/>
      <c r="M22" s="9" t="s">
        <v>496</v>
      </c>
      <c r="O22" s="2"/>
    </row>
    <row r="23" spans="2:17" ht="19.5" customHeight="1" x14ac:dyDescent="0.25">
      <c r="B23" s="2"/>
      <c r="D23" s="337" t="s">
        <v>11</v>
      </c>
      <c r="E23" s="337"/>
      <c r="F23" s="4" t="s">
        <v>84</v>
      </c>
      <c r="G23" s="337" t="s">
        <v>12</v>
      </c>
      <c r="H23" s="337"/>
      <c r="I23" s="4" t="s">
        <v>497</v>
      </c>
      <c r="K23" s="337" t="s">
        <v>13</v>
      </c>
      <c r="L23" s="337"/>
      <c r="M23" s="9" t="s">
        <v>496</v>
      </c>
      <c r="O23" s="2"/>
    </row>
    <row r="24" spans="2:17" ht="20.100000000000001" customHeight="1" x14ac:dyDescent="0.25">
      <c r="B24" s="2"/>
      <c r="D24" s="337" t="s">
        <v>14</v>
      </c>
      <c r="E24" s="337"/>
      <c r="F24" s="4" t="s">
        <v>81</v>
      </c>
      <c r="G24" s="337" t="s">
        <v>15</v>
      </c>
      <c r="H24" s="337"/>
      <c r="I24" s="4" t="s">
        <v>533</v>
      </c>
      <c r="K24" s="337" t="s">
        <v>16</v>
      </c>
      <c r="L24" s="337"/>
      <c r="M24" s="9" t="s">
        <v>496</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NA</v>
      </c>
    </row>
    <row r="31" spans="2:17" ht="24" customHeight="1" x14ac:dyDescent="0.25">
      <c r="B31" s="2"/>
      <c r="D31" s="347"/>
      <c r="E31" s="348"/>
      <c r="F31" s="4" t="s">
        <v>425</v>
      </c>
      <c r="G31" s="340" t="s">
        <v>426</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1025</v>
      </c>
      <c r="G33" s="340"/>
      <c r="H33" s="341"/>
      <c r="I33" s="341"/>
      <c r="J33" s="341"/>
      <c r="K33" s="341"/>
      <c r="L33" s="341"/>
      <c r="M33" s="342"/>
      <c r="O33" s="2"/>
      <c r="Q33" s="3" t="str">
        <f>+IFERROR(IF(VLOOKUP(G33,base!$A$26:$C$40,3,FALSE)=F31,1,0),"")</f>
        <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1716</v>
      </c>
      <c r="G35" s="340" t="s">
        <v>1592</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2</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500</v>
      </c>
      <c r="G45" s="340" t="s">
        <v>512</v>
      </c>
      <c r="H45" s="341"/>
      <c r="I45" s="341"/>
      <c r="J45" s="341"/>
      <c r="K45" s="341"/>
      <c r="L45" s="341"/>
      <c r="M45" s="342"/>
      <c r="O45" s="2"/>
      <c r="Q45" s="3" t="str">
        <f>+IFERROR(VLOOKUP(G45,base!$A$41:$C$45,3,FALSE),"")</f>
        <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503</v>
      </c>
      <c r="G47" s="340"/>
      <c r="H47" s="341"/>
      <c r="I47" s="341"/>
      <c r="J47" s="341"/>
      <c r="K47" s="341"/>
      <c r="L47" s="341"/>
      <c r="M47" s="342"/>
      <c r="O47" s="2"/>
      <c r="Q47" s="3" t="e">
        <f>+IF(VLOOKUP(G47,base!$A$46:$C$66,3,FALSE)=F45,1,0)</f>
        <v>#N/A</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920</v>
      </c>
      <c r="G49" s="340" t="s">
        <v>899</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17"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37" t="s">
        <v>34</v>
      </c>
      <c r="E59" s="337"/>
      <c r="F59" s="344" t="s">
        <v>1400</v>
      </c>
      <c r="G59" s="344"/>
      <c r="H59" s="344"/>
      <c r="I59" s="344"/>
      <c r="J59" s="344"/>
      <c r="K59" s="344"/>
      <c r="L59" s="344"/>
      <c r="M59" s="344"/>
      <c r="O59" s="2"/>
    </row>
    <row r="60" spans="2:15" ht="43.5" customHeight="1" x14ac:dyDescent="0.25">
      <c r="B60" s="2"/>
      <c r="D60" s="359" t="s">
        <v>35</v>
      </c>
      <c r="E60" s="359"/>
      <c r="F60" s="344" t="s">
        <v>1401</v>
      </c>
      <c r="G60" s="344"/>
      <c r="H60" s="344"/>
      <c r="I60" s="344"/>
      <c r="J60" s="344"/>
      <c r="K60" s="344"/>
      <c r="L60" s="344"/>
      <c r="M60" s="344"/>
      <c r="O60" s="2"/>
    </row>
    <row r="61" spans="2:15" ht="43.5" customHeight="1" x14ac:dyDescent="0.25">
      <c r="B61" s="2"/>
      <c r="D61" s="359" t="s">
        <v>36</v>
      </c>
      <c r="E61" s="359"/>
      <c r="F61" s="340" t="s">
        <v>1402</v>
      </c>
      <c r="G61" s="341"/>
      <c r="H61" s="341"/>
      <c r="I61" s="341"/>
      <c r="J61" s="341"/>
      <c r="K61" s="341"/>
      <c r="L61" s="341"/>
      <c r="M61" s="342"/>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43" t="s">
        <v>39</v>
      </c>
      <c r="E71" s="343"/>
      <c r="F71" s="4" t="s">
        <v>46</v>
      </c>
      <c r="G71" s="3">
        <v>1</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v>0.6</v>
      </c>
      <c r="H75" s="16">
        <v>0.60099999999999998</v>
      </c>
      <c r="I75" s="16">
        <v>0.7</v>
      </c>
      <c r="J75" s="16">
        <v>0.70099999999999996</v>
      </c>
      <c r="K75" s="16">
        <v>0.84899999999999998</v>
      </c>
      <c r="L75" s="16">
        <v>0.85</v>
      </c>
      <c r="M75" s="16" t="s">
        <v>500</v>
      </c>
      <c r="O75" s="2"/>
      <c r="AE75" s="3" t="s">
        <v>46</v>
      </c>
      <c r="AF75" s="3">
        <v>1</v>
      </c>
      <c r="AG75" s="3">
        <f>+IF(AF75&gt;=$G$71,1,0)</f>
        <v>1</v>
      </c>
      <c r="AH75" s="3">
        <f>+IF(AG75=0,0,IF(AG75=1,(SUM($AG$75:AG75)-1),1))</f>
        <v>0</v>
      </c>
      <c r="AI75" s="3">
        <f>+IF(AH75=0,0,IF(MOD(AH75,$U$69)=0,1,0))</f>
        <v>0</v>
      </c>
      <c r="AJ75" s="3">
        <f>+IF(AE75=$F$71,1,0)</f>
        <v>1</v>
      </c>
      <c r="AK75" s="3">
        <f>+MAX(AI75:AJ75)</f>
        <v>1</v>
      </c>
    </row>
    <row r="76" spans="2:37" x14ac:dyDescent="0.25">
      <c r="B76" s="2"/>
      <c r="D76" s="360" t="s">
        <v>40</v>
      </c>
      <c r="E76" s="360"/>
      <c r="F76" s="16" t="s">
        <v>500</v>
      </c>
      <c r="G76" s="16">
        <v>0.6</v>
      </c>
      <c r="H76" s="16">
        <v>0.60099999999999998</v>
      </c>
      <c r="I76" s="16">
        <v>0.7</v>
      </c>
      <c r="J76" s="16">
        <v>0.70099999999999996</v>
      </c>
      <c r="K76" s="16">
        <v>0.84899999999999998</v>
      </c>
      <c r="L76" s="16">
        <v>0.85</v>
      </c>
      <c r="M76" s="16" t="s">
        <v>500</v>
      </c>
      <c r="O76" s="2"/>
      <c r="AE76" s="3" t="s">
        <v>40</v>
      </c>
      <c r="AF76" s="3">
        <v>2</v>
      </c>
      <c r="AG76" s="3">
        <f t="shared" ref="AG76:AG86" si="0">+IF(AF76&gt;=$G$71,1,0)</f>
        <v>1</v>
      </c>
      <c r="AH76" s="3">
        <f>+IF(AG76=0,0,IF(AG76=1,(SUM($AG$75:AG76)-1),1))</f>
        <v>1</v>
      </c>
      <c r="AI76" s="3">
        <f t="shared" ref="AI76:AI86" si="1">+IF(AH76=0,0,IF(MOD(AH76,$U$69)=0,1,0))</f>
        <v>1</v>
      </c>
      <c r="AJ76" s="3">
        <f t="shared" ref="AJ76:AJ86" si="2">+IF(AE76=$F$71,1,0)</f>
        <v>0</v>
      </c>
      <c r="AK76" s="3">
        <f t="shared" ref="AK76:AK86" si="3">+MAX(AI76:AJ76)</f>
        <v>1</v>
      </c>
    </row>
    <row r="77" spans="2:37" x14ac:dyDescent="0.25">
      <c r="B77" s="2"/>
      <c r="D77" s="360" t="s">
        <v>47</v>
      </c>
      <c r="E77" s="360"/>
      <c r="F77" s="16" t="s">
        <v>500</v>
      </c>
      <c r="G77" s="16">
        <v>0.6</v>
      </c>
      <c r="H77" s="16">
        <v>0.60099999999999998</v>
      </c>
      <c r="I77" s="16">
        <v>0.7</v>
      </c>
      <c r="J77" s="16">
        <v>0.70099999999999996</v>
      </c>
      <c r="K77" s="16">
        <v>0.84899999999999998</v>
      </c>
      <c r="L77" s="16">
        <v>0.85</v>
      </c>
      <c r="M77" s="16" t="s">
        <v>500</v>
      </c>
      <c r="O77" s="2"/>
      <c r="AE77" s="3" t="s">
        <v>47</v>
      </c>
      <c r="AF77" s="3">
        <v>3</v>
      </c>
      <c r="AG77" s="3">
        <f t="shared" si="0"/>
        <v>1</v>
      </c>
      <c r="AH77" s="3">
        <f>+IF(AG77=0,0,IF(AG77=1,(SUM($AG$75:AG77)-1),1))</f>
        <v>2</v>
      </c>
      <c r="AI77" s="3">
        <f t="shared" si="1"/>
        <v>1</v>
      </c>
      <c r="AJ77" s="3">
        <f t="shared" si="2"/>
        <v>0</v>
      </c>
      <c r="AK77" s="3">
        <f t="shared" si="3"/>
        <v>1</v>
      </c>
    </row>
    <row r="78" spans="2:37" x14ac:dyDescent="0.25">
      <c r="B78" s="2"/>
      <c r="D78" s="360" t="s">
        <v>48</v>
      </c>
      <c r="E78" s="360"/>
      <c r="F78" s="16" t="s">
        <v>500</v>
      </c>
      <c r="G78" s="16">
        <v>0.6</v>
      </c>
      <c r="H78" s="16">
        <v>0.60099999999999998</v>
      </c>
      <c r="I78" s="16">
        <v>0.7</v>
      </c>
      <c r="J78" s="16">
        <v>0.70099999999999996</v>
      </c>
      <c r="K78" s="16">
        <v>0.84899999999999998</v>
      </c>
      <c r="L78" s="16">
        <v>0.85</v>
      </c>
      <c r="M78" s="16" t="s">
        <v>500</v>
      </c>
      <c r="O78" s="2"/>
      <c r="AE78" s="3" t="s">
        <v>48</v>
      </c>
      <c r="AF78" s="3">
        <v>4</v>
      </c>
      <c r="AG78" s="3">
        <f t="shared" si="0"/>
        <v>1</v>
      </c>
      <c r="AH78" s="3">
        <f>+IF(AG78=0,0,IF(AG78=1,(SUM($AG$75:AG78)-1),1))</f>
        <v>3</v>
      </c>
      <c r="AI78" s="3">
        <f t="shared" si="1"/>
        <v>1</v>
      </c>
      <c r="AJ78" s="3">
        <f t="shared" si="2"/>
        <v>0</v>
      </c>
      <c r="AK78" s="3">
        <f t="shared" si="3"/>
        <v>1</v>
      </c>
    </row>
    <row r="79" spans="2:37" x14ac:dyDescent="0.25">
      <c r="B79" s="2"/>
      <c r="D79" s="360" t="s">
        <v>49</v>
      </c>
      <c r="E79" s="360"/>
      <c r="F79" s="16" t="s">
        <v>500</v>
      </c>
      <c r="G79" s="16">
        <v>0.6</v>
      </c>
      <c r="H79" s="16">
        <v>0.60099999999999998</v>
      </c>
      <c r="I79" s="16">
        <v>0.7</v>
      </c>
      <c r="J79" s="16">
        <v>0.70099999999999996</v>
      </c>
      <c r="K79" s="16">
        <v>0.84899999999999998</v>
      </c>
      <c r="L79" s="16">
        <v>0.85</v>
      </c>
      <c r="M79" s="16" t="s">
        <v>500</v>
      </c>
      <c r="O79" s="2"/>
      <c r="AE79" s="3" t="s">
        <v>49</v>
      </c>
      <c r="AF79" s="3">
        <v>5</v>
      </c>
      <c r="AG79" s="3">
        <f t="shared" si="0"/>
        <v>1</v>
      </c>
      <c r="AH79" s="3">
        <f>+IF(AG79=0,0,IF(AG79=1,(SUM($AG$75:AG79)-1),1))</f>
        <v>4</v>
      </c>
      <c r="AI79" s="3">
        <f t="shared" si="1"/>
        <v>1</v>
      </c>
      <c r="AJ79" s="3">
        <f t="shared" si="2"/>
        <v>0</v>
      </c>
      <c r="AK79" s="3">
        <f t="shared" si="3"/>
        <v>1</v>
      </c>
    </row>
    <row r="80" spans="2:37" x14ac:dyDescent="0.25">
      <c r="B80" s="2"/>
      <c r="D80" s="360" t="s">
        <v>50</v>
      </c>
      <c r="E80" s="360"/>
      <c r="F80" s="16" t="s">
        <v>500</v>
      </c>
      <c r="G80" s="16">
        <v>0.6</v>
      </c>
      <c r="H80" s="16">
        <v>0.60099999999999998</v>
      </c>
      <c r="I80" s="16">
        <v>0.7</v>
      </c>
      <c r="J80" s="16">
        <v>0.70099999999999996</v>
      </c>
      <c r="K80" s="16">
        <v>0.84899999999999998</v>
      </c>
      <c r="L80" s="16">
        <v>0.85</v>
      </c>
      <c r="M80" s="16" t="s">
        <v>500</v>
      </c>
      <c r="O80" s="2"/>
      <c r="AE80" s="3" t="s">
        <v>50</v>
      </c>
      <c r="AF80" s="3">
        <v>6</v>
      </c>
      <c r="AG80" s="3">
        <f t="shared" si="0"/>
        <v>1</v>
      </c>
      <c r="AH80" s="3">
        <f>+IF(AG80=0,0,IF(AG80=1,(SUM($AG$75:AG80)-1),1))</f>
        <v>5</v>
      </c>
      <c r="AI80" s="3">
        <f t="shared" si="1"/>
        <v>1</v>
      </c>
      <c r="AJ80" s="3">
        <f t="shared" si="2"/>
        <v>0</v>
      </c>
      <c r="AK80" s="3">
        <f t="shared" si="3"/>
        <v>1</v>
      </c>
    </row>
    <row r="81" spans="2:37" x14ac:dyDescent="0.25">
      <c r="B81" s="2"/>
      <c r="D81" s="360" t="s">
        <v>53</v>
      </c>
      <c r="E81" s="360"/>
      <c r="F81" s="16" t="s">
        <v>500</v>
      </c>
      <c r="G81" s="16">
        <v>0.6</v>
      </c>
      <c r="H81" s="16">
        <v>0.60099999999999998</v>
      </c>
      <c r="I81" s="16">
        <v>0.7</v>
      </c>
      <c r="J81" s="16">
        <v>0.70099999999999996</v>
      </c>
      <c r="K81" s="16">
        <v>0.84899999999999998</v>
      </c>
      <c r="L81" s="16">
        <v>0.85</v>
      </c>
      <c r="M81" s="16" t="s">
        <v>500</v>
      </c>
      <c r="O81" s="2"/>
      <c r="AE81" s="3" t="s">
        <v>53</v>
      </c>
      <c r="AF81" s="3">
        <v>7</v>
      </c>
      <c r="AG81" s="3">
        <f t="shared" si="0"/>
        <v>1</v>
      </c>
      <c r="AH81" s="3">
        <f>+IF(AG81=0,0,IF(AG81=1,(SUM($AG$75:AG81)-1),1))</f>
        <v>6</v>
      </c>
      <c r="AI81" s="3">
        <f t="shared" si="1"/>
        <v>1</v>
      </c>
      <c r="AJ81" s="3">
        <f t="shared" si="2"/>
        <v>0</v>
      </c>
      <c r="AK81" s="3">
        <f t="shared" si="3"/>
        <v>1</v>
      </c>
    </row>
    <row r="82" spans="2:37" x14ac:dyDescent="0.25">
      <c r="B82" s="2"/>
      <c r="D82" s="360" t="s">
        <v>54</v>
      </c>
      <c r="E82" s="360"/>
      <c r="F82" s="16" t="s">
        <v>500</v>
      </c>
      <c r="G82" s="16">
        <v>0.6</v>
      </c>
      <c r="H82" s="16">
        <v>0.60099999999999998</v>
      </c>
      <c r="I82" s="16">
        <v>0.7</v>
      </c>
      <c r="J82" s="16">
        <v>0.70099999999999996</v>
      </c>
      <c r="K82" s="16">
        <v>0.84899999999999998</v>
      </c>
      <c r="L82" s="16">
        <v>0.85</v>
      </c>
      <c r="M82" s="16" t="s">
        <v>500</v>
      </c>
      <c r="O82" s="2"/>
      <c r="AE82" s="3" t="s">
        <v>54</v>
      </c>
      <c r="AF82" s="3">
        <v>8</v>
      </c>
      <c r="AG82" s="3">
        <f t="shared" si="0"/>
        <v>1</v>
      </c>
      <c r="AH82" s="3">
        <f>+IF(AG82=0,0,IF(AG82=1,(SUM($AG$75:AG82)-1),1))</f>
        <v>7</v>
      </c>
      <c r="AI82" s="3">
        <f t="shared" si="1"/>
        <v>1</v>
      </c>
      <c r="AJ82" s="3">
        <f t="shared" si="2"/>
        <v>0</v>
      </c>
      <c r="AK82" s="3">
        <f t="shared" si="3"/>
        <v>1</v>
      </c>
    </row>
    <row r="83" spans="2:37" x14ac:dyDescent="0.25">
      <c r="B83" s="2"/>
      <c r="D83" s="360" t="s">
        <v>55</v>
      </c>
      <c r="E83" s="360"/>
      <c r="F83" s="16" t="s">
        <v>500</v>
      </c>
      <c r="G83" s="16">
        <v>0.6</v>
      </c>
      <c r="H83" s="16">
        <v>0.60099999999999998</v>
      </c>
      <c r="I83" s="16">
        <v>0.7</v>
      </c>
      <c r="J83" s="16">
        <v>0.70099999999999996</v>
      </c>
      <c r="K83" s="16">
        <v>0.84899999999999998</v>
      </c>
      <c r="L83" s="16">
        <v>0.85</v>
      </c>
      <c r="M83" s="16" t="s">
        <v>500</v>
      </c>
      <c r="O83" s="2"/>
      <c r="AE83" s="3" t="s">
        <v>55</v>
      </c>
      <c r="AF83" s="3">
        <v>9</v>
      </c>
      <c r="AG83" s="3">
        <f t="shared" si="0"/>
        <v>1</v>
      </c>
      <c r="AH83" s="3">
        <f>+IF(AG83=0,0,IF(AG83=1,(SUM($AG$75:AG83)-1),1))</f>
        <v>8</v>
      </c>
      <c r="AI83" s="3">
        <f t="shared" si="1"/>
        <v>1</v>
      </c>
      <c r="AJ83" s="3">
        <f t="shared" si="2"/>
        <v>0</v>
      </c>
      <c r="AK83" s="3">
        <f t="shared" si="3"/>
        <v>1</v>
      </c>
    </row>
    <row r="84" spans="2:37" x14ac:dyDescent="0.25">
      <c r="B84" s="2"/>
      <c r="D84" s="360" t="s">
        <v>56</v>
      </c>
      <c r="E84" s="360"/>
      <c r="F84" s="16" t="s">
        <v>500</v>
      </c>
      <c r="G84" s="16">
        <v>0.6</v>
      </c>
      <c r="H84" s="16">
        <v>0.60099999999999998</v>
      </c>
      <c r="I84" s="16">
        <v>0.7</v>
      </c>
      <c r="J84" s="16">
        <v>0.70099999999999996</v>
      </c>
      <c r="K84" s="16">
        <v>0.84899999999999998</v>
      </c>
      <c r="L84" s="16">
        <v>0.85</v>
      </c>
      <c r="M84" s="16" t="s">
        <v>500</v>
      </c>
      <c r="O84" s="2"/>
      <c r="AE84" s="3" t="s">
        <v>56</v>
      </c>
      <c r="AF84" s="3">
        <v>10</v>
      </c>
      <c r="AG84" s="3">
        <f t="shared" si="0"/>
        <v>1</v>
      </c>
      <c r="AH84" s="3">
        <f>+IF(AG84=0,0,IF(AG84=1,(SUM($AG$75:AG84)-1),1))</f>
        <v>9</v>
      </c>
      <c r="AI84" s="3">
        <f t="shared" si="1"/>
        <v>1</v>
      </c>
      <c r="AJ84" s="3">
        <f t="shared" si="2"/>
        <v>0</v>
      </c>
      <c r="AK84" s="3">
        <f t="shared" si="3"/>
        <v>1</v>
      </c>
    </row>
    <row r="85" spans="2:37" x14ac:dyDescent="0.25">
      <c r="B85" s="2"/>
      <c r="D85" s="360" t="s">
        <v>57</v>
      </c>
      <c r="E85" s="360"/>
      <c r="F85" s="16" t="s">
        <v>500</v>
      </c>
      <c r="G85" s="16">
        <v>0.6</v>
      </c>
      <c r="H85" s="16">
        <v>0.60099999999999998</v>
      </c>
      <c r="I85" s="16">
        <v>0.7</v>
      </c>
      <c r="J85" s="16">
        <v>0.70099999999999996</v>
      </c>
      <c r="K85" s="16">
        <v>0.84899999999999998</v>
      </c>
      <c r="L85" s="16">
        <v>0.85</v>
      </c>
      <c r="M85" s="16" t="s">
        <v>500</v>
      </c>
      <c r="O85" s="2"/>
      <c r="AE85" s="3" t="s">
        <v>57</v>
      </c>
      <c r="AF85" s="3">
        <v>11</v>
      </c>
      <c r="AG85" s="3">
        <f t="shared" si="0"/>
        <v>1</v>
      </c>
      <c r="AH85" s="3">
        <f>+IF(AG85=0,0,IF(AG85=1,(SUM($AG$75:AG85)-1),1))</f>
        <v>10</v>
      </c>
      <c r="AI85" s="3">
        <f t="shared" si="1"/>
        <v>1</v>
      </c>
      <c r="AJ85" s="3">
        <f t="shared" si="2"/>
        <v>0</v>
      </c>
      <c r="AK85" s="3">
        <f t="shared" si="3"/>
        <v>1</v>
      </c>
    </row>
    <row r="86" spans="2:37" x14ac:dyDescent="0.25">
      <c r="B86" s="2"/>
      <c r="D86" s="360" t="s">
        <v>58</v>
      </c>
      <c r="E86" s="360"/>
      <c r="F86" s="16" t="s">
        <v>500</v>
      </c>
      <c r="G86" s="16">
        <v>0.6</v>
      </c>
      <c r="H86" s="16">
        <v>0.60099999999999998</v>
      </c>
      <c r="I86" s="16">
        <v>0.7</v>
      </c>
      <c r="J86" s="16">
        <v>0.70099999999999996</v>
      </c>
      <c r="K86" s="16">
        <v>0.84899999999999998</v>
      </c>
      <c r="L86" s="16">
        <v>0.85</v>
      </c>
      <c r="M86" s="16" t="s">
        <v>500</v>
      </c>
      <c r="O86" s="2"/>
      <c r="AE86" s="3" t="s">
        <v>58</v>
      </c>
      <c r="AF86" s="65">
        <v>12</v>
      </c>
      <c r="AG86" s="3">
        <f t="shared" si="0"/>
        <v>1</v>
      </c>
      <c r="AH86" s="3">
        <f>+IF(AG86=0,0,IF(AG86=1,(SUM($AG$75:AG86)-1),1))</f>
        <v>11</v>
      </c>
      <c r="AI86" s="3">
        <f t="shared" si="1"/>
        <v>1</v>
      </c>
      <c r="AJ86" s="3">
        <f t="shared" si="2"/>
        <v>0</v>
      </c>
      <c r="AK86" s="3">
        <f t="shared" si="3"/>
        <v>1</v>
      </c>
    </row>
    <row r="87" spans="2:37" ht="3.75" customHeight="1" x14ac:dyDescent="0.25">
      <c r="B87" s="2"/>
      <c r="O87" s="2"/>
    </row>
    <row r="88" spans="2:37" ht="180" customHeight="1" x14ac:dyDescent="0.25">
      <c r="B88" s="2"/>
      <c r="D88" s="338" t="s">
        <v>59</v>
      </c>
      <c r="E88" s="339"/>
      <c r="F88" s="340" t="s">
        <v>1373</v>
      </c>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53.25" customHeight="1" x14ac:dyDescent="0.25">
      <c r="B97" s="2"/>
      <c r="D97" s="359" t="s">
        <v>35</v>
      </c>
      <c r="E97" s="359"/>
      <c r="F97" s="344" t="s">
        <v>1403</v>
      </c>
      <c r="G97" s="344"/>
      <c r="H97" s="344"/>
      <c r="I97" s="344"/>
      <c r="J97" s="344"/>
      <c r="K97" s="344"/>
      <c r="L97" s="344"/>
      <c r="M97" s="344"/>
      <c r="O97" s="2"/>
    </row>
    <row r="98" spans="2:15" ht="53.25" customHeight="1" x14ac:dyDescent="0.25">
      <c r="B98" s="2"/>
      <c r="D98" s="359" t="s">
        <v>36</v>
      </c>
      <c r="E98" s="359"/>
      <c r="F98" s="344" t="s">
        <v>1386</v>
      </c>
      <c r="G98" s="344"/>
      <c r="H98" s="344"/>
      <c r="I98" s="344"/>
      <c r="J98" s="344"/>
      <c r="K98" s="344"/>
      <c r="L98" s="344"/>
      <c r="M98" s="344"/>
      <c r="O98" s="2"/>
    </row>
    <row r="99" spans="2:15" ht="3.95" customHeight="1" x14ac:dyDescent="0.25">
      <c r="B99" s="2"/>
      <c r="O99" s="2"/>
    </row>
    <row r="100" spans="2:15" ht="58.5" customHeight="1" x14ac:dyDescent="0.25">
      <c r="B100" s="2"/>
      <c r="D100" s="338" t="s">
        <v>62</v>
      </c>
      <c r="E100" s="339"/>
      <c r="F100" s="340" t="s">
        <v>1374</v>
      </c>
      <c r="G100" s="341"/>
      <c r="H100" s="341"/>
      <c r="I100" s="341"/>
      <c r="J100" s="341"/>
      <c r="K100" s="341"/>
      <c r="L100" s="341"/>
      <c r="M100" s="342"/>
      <c r="O100" s="2"/>
    </row>
    <row r="101" spans="2:15" ht="3.95" customHeight="1" x14ac:dyDescent="0.25">
      <c r="B101" s="2"/>
      <c r="O101" s="2"/>
    </row>
    <row r="102" spans="2:15" ht="19.5" customHeight="1" x14ac:dyDescent="0.25">
      <c r="B102" s="2"/>
      <c r="D102" s="329" t="s">
        <v>64</v>
      </c>
      <c r="E102" s="330"/>
      <c r="F102" s="19" t="s">
        <v>65</v>
      </c>
      <c r="G102" s="4" t="s">
        <v>2</v>
      </c>
      <c r="K102" s="20"/>
      <c r="O102" s="2"/>
    </row>
    <row r="103" spans="2:15" ht="19.5" customHeight="1" x14ac:dyDescent="0.25">
      <c r="B103" s="2"/>
      <c r="D103" s="331"/>
      <c r="E103" s="332"/>
      <c r="F103" s="19" t="s">
        <v>66</v>
      </c>
      <c r="G103" s="4"/>
      <c r="K103" s="21"/>
      <c r="O103" s="2"/>
    </row>
    <row r="104" spans="2:15" ht="27.75" customHeight="1" x14ac:dyDescent="0.25">
      <c r="B104" s="2"/>
      <c r="D104" s="331"/>
      <c r="E104" s="332"/>
      <c r="F104" s="19" t="s">
        <v>67</v>
      </c>
      <c r="G104" s="333"/>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Subdirector(a) Mejoramiento Organizacional</v>
      </c>
      <c r="H108" s="334"/>
      <c r="I108" s="334"/>
      <c r="J108" s="334"/>
      <c r="K108" s="334"/>
      <c r="L108" s="334"/>
      <c r="M108" s="335"/>
      <c r="O108" s="2"/>
    </row>
    <row r="109" spans="2:15" ht="17.25" customHeight="1" x14ac:dyDescent="0.25">
      <c r="B109" s="2"/>
      <c r="D109" s="331"/>
      <c r="E109" s="332"/>
      <c r="F109" s="19" t="s">
        <v>2042</v>
      </c>
      <c r="G109" s="333" t="str">
        <f>+IF(M23="Si","Coordinador(a) Planeación y Sistemas","")</f>
        <v>Coordinador(a) Planeación y Sistemas</v>
      </c>
      <c r="H109" s="334"/>
      <c r="I109" s="334"/>
      <c r="J109" s="334"/>
      <c r="K109" s="334"/>
      <c r="L109" s="334"/>
      <c r="M109" s="335"/>
      <c r="O109" s="2"/>
    </row>
    <row r="110" spans="2:15" ht="17.25" customHeight="1" x14ac:dyDescent="0.25">
      <c r="B110" s="2"/>
      <c r="D110" s="331"/>
      <c r="E110" s="332"/>
      <c r="F110" s="19" t="s">
        <v>2043</v>
      </c>
      <c r="G110" s="333" t="str">
        <f>+IF(M24="Si","Coordinador(a) Centro Zonal","")</f>
        <v>Coordinador(a) Centro Zonal</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461" priority="32">
      <formula>+IF($F$43="no",1,0)</formula>
    </cfRule>
  </conditionalFormatting>
  <conditionalFormatting sqref="F32:M33">
    <cfRule type="expression" dxfId="460" priority="31">
      <formula>+IF($Q$30="NA",1,0)</formula>
    </cfRule>
  </conditionalFormatting>
  <conditionalFormatting sqref="F33:M33">
    <cfRule type="expression" dxfId="459" priority="30">
      <formula>+IF($Q$33=0,1,0)</formula>
    </cfRule>
  </conditionalFormatting>
  <conditionalFormatting sqref="F47:M47">
    <cfRule type="expression" dxfId="458" priority="29">
      <formula>+IF($Q$47=0,1,0)</formula>
    </cfRule>
  </conditionalFormatting>
  <conditionalFormatting sqref="F73:G73">
    <cfRule type="cellIs" dxfId="457" priority="15" operator="equal">
      <formula>"optimo"</formula>
    </cfRule>
    <cfRule type="cellIs" dxfId="456" priority="16" operator="equal">
      <formula>"critico"</formula>
    </cfRule>
  </conditionalFormatting>
  <conditionalFormatting sqref="H73:I73">
    <cfRule type="cellIs" dxfId="455" priority="13" operator="equal">
      <formula>"Adecuado"</formula>
    </cfRule>
    <cfRule type="cellIs" dxfId="454" priority="14" operator="equal">
      <formula>"en riesgo"</formula>
    </cfRule>
  </conditionalFormatting>
  <conditionalFormatting sqref="J73:K73">
    <cfRule type="cellIs" dxfId="453" priority="11" operator="equal">
      <formula>"Adecuado"</formula>
    </cfRule>
    <cfRule type="cellIs" dxfId="452" priority="12" operator="equal">
      <formula>"en riesgo"</formula>
    </cfRule>
  </conditionalFormatting>
  <conditionalFormatting sqref="L73:M73">
    <cfRule type="cellIs" dxfId="451" priority="9" operator="equal">
      <formula>"optimo"</formula>
    </cfRule>
    <cfRule type="cellIs" dxfId="450" priority="10" operator="equal">
      <formula>"critico"</formula>
    </cfRule>
  </conditionalFormatting>
  <conditionalFormatting sqref="F75:J86 M75:M86">
    <cfRule type="expression" dxfId="449" priority="8">
      <formula>+IF($AK75=0,1)</formula>
    </cfRule>
  </conditionalFormatting>
  <conditionalFormatting sqref="F103:G104">
    <cfRule type="expression" dxfId="448" priority="7">
      <formula>+IF($G$102="No",1,0)</formula>
    </cfRule>
  </conditionalFormatting>
  <conditionalFormatting sqref="F51">
    <cfRule type="expression" dxfId="447" priority="6">
      <formula>+IF($F$43="no",1,0)</formula>
    </cfRule>
  </conditionalFormatting>
  <conditionalFormatting sqref="I51">
    <cfRule type="expression" dxfId="446" priority="5">
      <formula>+IF($F$51="no",1,0)</formula>
    </cfRule>
  </conditionalFormatting>
  <conditionalFormatting sqref="K75:L86">
    <cfRule type="expression" dxfId="445" priority="4">
      <formula>+IF($AK75=0,1)</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7">
    <tabColor rgb="FF0070C0"/>
  </sheetPr>
  <dimension ref="B1:AV113"/>
  <sheetViews>
    <sheetView topLeftCell="A49" zoomScale="90" zoomScaleNormal="90" workbookViewId="0">
      <selection activeCell="G79" sqref="G79"/>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436</v>
      </c>
      <c r="O10" s="2"/>
    </row>
    <row r="11" spans="2:24" ht="3.95" customHeight="1" x14ac:dyDescent="0.25">
      <c r="B11" s="2"/>
      <c r="D11" s="6"/>
      <c r="O11" s="2"/>
    </row>
    <row r="12" spans="2:24" ht="36" customHeight="1" x14ac:dyDescent="0.25">
      <c r="B12" s="2"/>
      <c r="D12" s="338" t="s">
        <v>5</v>
      </c>
      <c r="E12" s="339"/>
      <c r="F12" s="340" t="s">
        <v>437</v>
      </c>
      <c r="G12" s="341"/>
      <c r="H12" s="341"/>
      <c r="I12" s="341"/>
      <c r="J12" s="341"/>
      <c r="K12" s="341"/>
      <c r="L12" s="341"/>
      <c r="M12" s="342"/>
      <c r="O12" s="2"/>
      <c r="W12" s="3" t="str">
        <f>+F23</f>
        <v>Trimestral</v>
      </c>
      <c r="X12" s="3" t="str">
        <f>+F71</f>
        <v>Marzo</v>
      </c>
    </row>
    <row r="13" spans="2:24" ht="3.95" customHeight="1" x14ac:dyDescent="0.25">
      <c r="B13" s="2"/>
      <c r="O13" s="2"/>
    </row>
    <row r="14" spans="2:24" ht="38.25" customHeight="1" x14ac:dyDescent="0.25">
      <c r="B14" s="2"/>
      <c r="D14" s="338" t="s">
        <v>6</v>
      </c>
      <c r="E14" s="339"/>
      <c r="F14" s="340" t="s">
        <v>1394</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8.75" customHeight="1" x14ac:dyDescent="0.25">
      <c r="B22" s="2"/>
      <c r="D22" s="337" t="s">
        <v>8</v>
      </c>
      <c r="E22" s="337"/>
      <c r="F22" s="17">
        <v>0.92</v>
      </c>
      <c r="G22" s="337" t="s">
        <v>9</v>
      </c>
      <c r="H22" s="337"/>
      <c r="I22" s="17">
        <v>0.95</v>
      </c>
      <c r="K22" s="337" t="s">
        <v>10</v>
      </c>
      <c r="L22" s="337"/>
      <c r="M22" s="9" t="s">
        <v>496</v>
      </c>
      <c r="O22" s="2"/>
    </row>
    <row r="23" spans="2:17" ht="19.5" customHeight="1" x14ac:dyDescent="0.25">
      <c r="B23" s="2"/>
      <c r="D23" s="337" t="s">
        <v>11</v>
      </c>
      <c r="E23" s="337"/>
      <c r="F23" s="4" t="s">
        <v>71</v>
      </c>
      <c r="G23" s="337" t="s">
        <v>12</v>
      </c>
      <c r="H23" s="337"/>
      <c r="I23" s="4" t="s">
        <v>497</v>
      </c>
      <c r="K23" s="337" t="s">
        <v>13</v>
      </c>
      <c r="L23" s="337"/>
      <c r="M23" s="9" t="s">
        <v>496</v>
      </c>
      <c r="O23" s="2"/>
    </row>
    <row r="24" spans="2:17" ht="20.100000000000001" customHeight="1" x14ac:dyDescent="0.25">
      <c r="B24" s="2"/>
      <c r="D24" s="337" t="s">
        <v>14</v>
      </c>
      <c r="E24" s="337"/>
      <c r="F24" s="4" t="s">
        <v>81</v>
      </c>
      <c r="G24" s="337" t="s">
        <v>15</v>
      </c>
      <c r="H24" s="337"/>
      <c r="I24" s="4" t="s">
        <v>103</v>
      </c>
      <c r="K24" s="337" t="s">
        <v>16</v>
      </c>
      <c r="L24" s="337"/>
      <c r="M24" s="9" t="s">
        <v>496</v>
      </c>
      <c r="O24" s="2"/>
    </row>
    <row r="25" spans="2:17" ht="20.100000000000001" customHeight="1" x14ac:dyDescent="0.25">
      <c r="B25" s="2"/>
      <c r="D25" s="337" t="s">
        <v>17</v>
      </c>
      <c r="E25" s="337"/>
      <c r="F25" s="4" t="s">
        <v>683</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NA</v>
      </c>
    </row>
    <row r="31" spans="2:17" ht="24" customHeight="1" x14ac:dyDescent="0.25">
      <c r="B31" s="2"/>
      <c r="D31" s="347"/>
      <c r="E31" s="348"/>
      <c r="F31" s="4" t="s">
        <v>425</v>
      </c>
      <c r="G31" s="340" t="s">
        <v>426</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1025</v>
      </c>
      <c r="G33" s="340"/>
      <c r="H33" s="341"/>
      <c r="I33" s="341"/>
      <c r="J33" s="341"/>
      <c r="K33" s="341"/>
      <c r="L33" s="341"/>
      <c r="M33" s="342"/>
      <c r="O33" s="2"/>
      <c r="Q33" s="3" t="str">
        <f>+IFERROR(IF(VLOOKUP(G33,base!$A$26:$C$40,3,FALSE)=F31,1,0),"")</f>
        <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1716</v>
      </c>
      <c r="G35" s="340" t="s">
        <v>1592</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2</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500</v>
      </c>
      <c r="G45" s="340" t="s">
        <v>512</v>
      </c>
      <c r="H45" s="341"/>
      <c r="I45" s="341"/>
      <c r="J45" s="341"/>
      <c r="K45" s="341"/>
      <c r="L45" s="341"/>
      <c r="M45" s="342"/>
      <c r="O45" s="2"/>
      <c r="Q45" s="3" t="str">
        <f>+IFERROR(VLOOKUP(G45,base!$A$41:$C$45,3,FALSE),"")</f>
        <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503</v>
      </c>
      <c r="G47" s="340"/>
      <c r="H47" s="341"/>
      <c r="I47" s="341"/>
      <c r="J47" s="341"/>
      <c r="K47" s="341"/>
      <c r="L47" s="341"/>
      <c r="M47" s="342"/>
      <c r="O47" s="2"/>
      <c r="Q47" s="3" t="e">
        <f>+IF(VLOOKUP(G47,base!$A$46:$C$66,3,FALSE)=F45,1,0)</f>
        <v>#N/A</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920</v>
      </c>
      <c r="G49" s="340" t="s">
        <v>899</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17"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37" t="s">
        <v>34</v>
      </c>
      <c r="E59" s="337"/>
      <c r="F59" s="344" t="s">
        <v>1395</v>
      </c>
      <c r="G59" s="344"/>
      <c r="H59" s="344"/>
      <c r="I59" s="344"/>
      <c r="J59" s="344"/>
      <c r="K59" s="344"/>
      <c r="L59" s="344"/>
      <c r="M59" s="344"/>
      <c r="O59" s="2"/>
    </row>
    <row r="60" spans="2:15" ht="46.5" customHeight="1" x14ac:dyDescent="0.25">
      <c r="B60" s="2"/>
      <c r="D60" s="359" t="s">
        <v>35</v>
      </c>
      <c r="E60" s="359"/>
      <c r="F60" s="344" t="s">
        <v>1396</v>
      </c>
      <c r="G60" s="344"/>
      <c r="H60" s="344"/>
      <c r="I60" s="344"/>
      <c r="J60" s="344"/>
      <c r="K60" s="344"/>
      <c r="L60" s="344"/>
      <c r="M60" s="344"/>
      <c r="O60" s="2"/>
    </row>
    <row r="61" spans="2:15" ht="46.5" customHeight="1" x14ac:dyDescent="0.25">
      <c r="B61" s="2"/>
      <c r="D61" s="359" t="s">
        <v>36</v>
      </c>
      <c r="E61" s="359"/>
      <c r="F61" s="340" t="s">
        <v>1397</v>
      </c>
      <c r="G61" s="341"/>
      <c r="H61" s="341"/>
      <c r="I61" s="341"/>
      <c r="J61" s="341"/>
      <c r="K61" s="341"/>
      <c r="L61" s="341"/>
      <c r="M61" s="342"/>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43" t="s">
        <v>39</v>
      </c>
      <c r="E71" s="343"/>
      <c r="F71" s="4" t="s">
        <v>47</v>
      </c>
      <c r="G71" s="3">
        <v>3</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v>0.6</v>
      </c>
      <c r="H77" s="16">
        <v>0.60099999999999998</v>
      </c>
      <c r="I77" s="16">
        <v>0.75</v>
      </c>
      <c r="J77" s="16">
        <v>0.751</v>
      </c>
      <c r="K77" s="16">
        <v>0.999</v>
      </c>
      <c r="L77" s="16" t="s">
        <v>500</v>
      </c>
      <c r="M77" s="16">
        <v>1</v>
      </c>
      <c r="O77" s="2"/>
      <c r="AE77" s="3" t="s">
        <v>47</v>
      </c>
      <c r="AF77" s="3">
        <v>3</v>
      </c>
      <c r="AG77" s="3">
        <f t="shared" si="0"/>
        <v>1</v>
      </c>
      <c r="AH77" s="3">
        <f>+IF(AG77=0,0,IF(AG77=1,(SUM($AG$75:AG77)-1),1))</f>
        <v>0</v>
      </c>
      <c r="AI77" s="3">
        <f t="shared" si="1"/>
        <v>0</v>
      </c>
      <c r="AJ77" s="3">
        <f t="shared" si="2"/>
        <v>1</v>
      </c>
      <c r="AK77" s="3">
        <f t="shared" si="3"/>
        <v>1</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2</v>
      </c>
      <c r="AI79" s="3">
        <f t="shared" si="1"/>
        <v>0</v>
      </c>
      <c r="AJ79" s="3">
        <f t="shared" si="2"/>
        <v>0</v>
      </c>
      <c r="AK79" s="3">
        <f t="shared" si="3"/>
        <v>0</v>
      </c>
    </row>
    <row r="80" spans="2:37" x14ac:dyDescent="0.25">
      <c r="B80" s="2"/>
      <c r="D80" s="360" t="s">
        <v>50</v>
      </c>
      <c r="E80" s="360"/>
      <c r="F80" s="16" t="s">
        <v>500</v>
      </c>
      <c r="G80" s="16">
        <v>0.6</v>
      </c>
      <c r="H80" s="16">
        <v>0.60099999999999998</v>
      </c>
      <c r="I80" s="16">
        <v>0.75</v>
      </c>
      <c r="J80" s="16">
        <v>0.751</v>
      </c>
      <c r="K80" s="16">
        <v>0.999</v>
      </c>
      <c r="L80" s="16" t="s">
        <v>500</v>
      </c>
      <c r="M80" s="16">
        <v>1</v>
      </c>
      <c r="O80" s="2"/>
      <c r="AE80" s="3" t="s">
        <v>50</v>
      </c>
      <c r="AF80" s="3">
        <v>6</v>
      </c>
      <c r="AG80" s="3">
        <f t="shared" si="0"/>
        <v>1</v>
      </c>
      <c r="AH80" s="3">
        <f>+IF(AG80=0,0,IF(AG80=1,(SUM($AG$75:AG80)-1),1))</f>
        <v>3</v>
      </c>
      <c r="AI80" s="3">
        <f t="shared" si="1"/>
        <v>1</v>
      </c>
      <c r="AJ80" s="3">
        <f t="shared" si="2"/>
        <v>0</v>
      </c>
      <c r="AK80" s="3">
        <f t="shared" si="3"/>
        <v>1</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4</v>
      </c>
      <c r="AI81" s="3">
        <f t="shared" si="1"/>
        <v>0</v>
      </c>
      <c r="AJ81" s="3">
        <f t="shared" si="2"/>
        <v>0</v>
      </c>
      <c r="AK81" s="3">
        <f t="shared" si="3"/>
        <v>0</v>
      </c>
    </row>
    <row r="82" spans="2:37" x14ac:dyDescent="0.25">
      <c r="B82" s="2"/>
      <c r="D82" s="360" t="s">
        <v>54</v>
      </c>
      <c r="E82" s="360"/>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60" t="s">
        <v>55</v>
      </c>
      <c r="E83" s="360"/>
      <c r="F83" s="16" t="s">
        <v>500</v>
      </c>
      <c r="G83" s="16">
        <v>0.6</v>
      </c>
      <c r="H83" s="16">
        <v>0.60099999999999998</v>
      </c>
      <c r="I83" s="16">
        <v>0.75</v>
      </c>
      <c r="J83" s="16">
        <v>0.751</v>
      </c>
      <c r="K83" s="16">
        <v>0.999</v>
      </c>
      <c r="L83" s="16" t="s">
        <v>500</v>
      </c>
      <c r="M83" s="16">
        <v>1</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60" t="s">
        <v>58</v>
      </c>
      <c r="E86" s="360"/>
      <c r="F86" s="16" t="s">
        <v>500</v>
      </c>
      <c r="G86" s="16">
        <v>0.6</v>
      </c>
      <c r="H86" s="16">
        <v>0.60099999999999998</v>
      </c>
      <c r="I86" s="16">
        <v>0.75</v>
      </c>
      <c r="J86" s="16">
        <v>0.751</v>
      </c>
      <c r="K86" s="16">
        <v>0.999</v>
      </c>
      <c r="L86" s="16" t="s">
        <v>500</v>
      </c>
      <c r="M86" s="16">
        <v>1</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218.25" customHeight="1" x14ac:dyDescent="0.25">
      <c r="B88" s="2"/>
      <c r="D88" s="338" t="s">
        <v>59</v>
      </c>
      <c r="E88" s="339"/>
      <c r="F88" s="340" t="s">
        <v>1375</v>
      </c>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53.25" customHeight="1" x14ac:dyDescent="0.25">
      <c r="B97" s="2"/>
      <c r="D97" s="359" t="s">
        <v>35</v>
      </c>
      <c r="E97" s="359"/>
      <c r="F97" s="344" t="s">
        <v>1398</v>
      </c>
      <c r="G97" s="344"/>
      <c r="H97" s="344"/>
      <c r="I97" s="344"/>
      <c r="J97" s="344"/>
      <c r="K97" s="344"/>
      <c r="L97" s="344"/>
      <c r="M97" s="344"/>
      <c r="O97" s="2"/>
    </row>
    <row r="98" spans="2:15" ht="53.25" customHeight="1" x14ac:dyDescent="0.25">
      <c r="B98" s="2"/>
      <c r="D98" s="359" t="s">
        <v>36</v>
      </c>
      <c r="E98" s="359"/>
      <c r="F98" s="344" t="s">
        <v>1398</v>
      </c>
      <c r="G98" s="344"/>
      <c r="H98" s="344"/>
      <c r="I98" s="344"/>
      <c r="J98" s="344"/>
      <c r="K98" s="344"/>
      <c r="L98" s="344"/>
      <c r="M98" s="344"/>
      <c r="O98" s="2"/>
    </row>
    <row r="99" spans="2:15" ht="3.95" customHeight="1" x14ac:dyDescent="0.25">
      <c r="B99" s="2"/>
      <c r="O99" s="2"/>
    </row>
    <row r="100" spans="2:15" ht="58.5" customHeight="1" x14ac:dyDescent="0.25">
      <c r="B100" s="2"/>
      <c r="D100" s="338" t="s">
        <v>62</v>
      </c>
      <c r="E100" s="339"/>
      <c r="F100" s="340"/>
      <c r="G100" s="341"/>
      <c r="H100" s="341"/>
      <c r="I100" s="341"/>
      <c r="J100" s="341"/>
      <c r="K100" s="341"/>
      <c r="L100" s="341"/>
      <c r="M100" s="342"/>
      <c r="O100" s="2"/>
    </row>
    <row r="101" spans="2:15" ht="3.95" customHeight="1" x14ac:dyDescent="0.25">
      <c r="B101" s="2"/>
      <c r="O101" s="2"/>
    </row>
    <row r="102" spans="2:15" ht="19.5" customHeight="1" x14ac:dyDescent="0.25">
      <c r="B102" s="2"/>
      <c r="D102" s="329" t="s">
        <v>64</v>
      </c>
      <c r="E102" s="330"/>
      <c r="F102" s="19" t="s">
        <v>65</v>
      </c>
      <c r="G102" s="4" t="s">
        <v>1</v>
      </c>
      <c r="K102" s="20"/>
      <c r="O102" s="2"/>
    </row>
    <row r="103" spans="2:15" ht="19.5" customHeight="1" x14ac:dyDescent="0.25">
      <c r="B103" s="2"/>
      <c r="D103" s="331"/>
      <c r="E103" s="332"/>
      <c r="F103" s="19" t="s">
        <v>66</v>
      </c>
      <c r="G103" s="4" t="s">
        <v>1897</v>
      </c>
      <c r="K103" s="21"/>
      <c r="O103" s="2"/>
    </row>
    <row r="104" spans="2:15" ht="27.75" customHeight="1" x14ac:dyDescent="0.25">
      <c r="B104" s="2"/>
      <c r="D104" s="331"/>
      <c r="E104" s="332"/>
      <c r="F104" s="19" t="s">
        <v>67</v>
      </c>
      <c r="G104" s="333" t="s">
        <v>1898</v>
      </c>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Subdirector(a) Mejoramiento Organizacional</v>
      </c>
      <c r="H108" s="334"/>
      <c r="I108" s="334"/>
      <c r="J108" s="334"/>
      <c r="K108" s="334"/>
      <c r="L108" s="334"/>
      <c r="M108" s="335"/>
      <c r="O108" s="2"/>
    </row>
    <row r="109" spans="2:15" ht="17.25" customHeight="1" x14ac:dyDescent="0.25">
      <c r="B109" s="2"/>
      <c r="D109" s="331"/>
      <c r="E109" s="332"/>
      <c r="F109" s="19" t="s">
        <v>2042</v>
      </c>
      <c r="G109" s="333" t="str">
        <f>+IF(M23="Si","Coordinador(a) Planeación y Sistemas","")</f>
        <v>Coordinador(a) Planeación y Sistemas</v>
      </c>
      <c r="H109" s="334"/>
      <c r="I109" s="334"/>
      <c r="J109" s="334"/>
      <c r="K109" s="334"/>
      <c r="L109" s="334"/>
      <c r="M109" s="335"/>
      <c r="O109" s="2"/>
    </row>
    <row r="110" spans="2:15" ht="17.25" customHeight="1" x14ac:dyDescent="0.25">
      <c r="B110" s="2"/>
      <c r="D110" s="331"/>
      <c r="E110" s="332"/>
      <c r="F110" s="19" t="s">
        <v>2043</v>
      </c>
      <c r="G110" s="333" t="str">
        <f>+IF(M24="Si","Coordinador(a) Centro Zonal","")</f>
        <v>Coordinador(a) Centro Zonal</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444" priority="31">
      <formula>+IF($F$43="no",1,0)</formula>
    </cfRule>
  </conditionalFormatting>
  <conditionalFormatting sqref="F32:M33">
    <cfRule type="expression" dxfId="443" priority="30">
      <formula>+IF($Q$30="NA",1,0)</formula>
    </cfRule>
  </conditionalFormatting>
  <conditionalFormatting sqref="F33:M33">
    <cfRule type="expression" dxfId="442" priority="29">
      <formula>+IF($Q$33=0,1,0)</formula>
    </cfRule>
  </conditionalFormatting>
  <conditionalFormatting sqref="F47:M47">
    <cfRule type="expression" dxfId="441" priority="28">
      <formula>+IF($Q$47=0,1,0)</formula>
    </cfRule>
  </conditionalFormatting>
  <conditionalFormatting sqref="F73:G73">
    <cfRule type="cellIs" dxfId="440" priority="14" operator="equal">
      <formula>"optimo"</formula>
    </cfRule>
    <cfRule type="cellIs" dxfId="439" priority="15" operator="equal">
      <formula>"critico"</formula>
    </cfRule>
  </conditionalFormatting>
  <conditionalFormatting sqref="H73:I73">
    <cfRule type="cellIs" dxfId="438" priority="12" operator="equal">
      <formula>"Adecuado"</formula>
    </cfRule>
    <cfRule type="cellIs" dxfId="437" priority="13" operator="equal">
      <formula>"en riesgo"</formula>
    </cfRule>
  </conditionalFormatting>
  <conditionalFormatting sqref="J73:K73">
    <cfRule type="cellIs" dxfId="436" priority="10" operator="equal">
      <formula>"Adecuado"</formula>
    </cfRule>
    <cfRule type="cellIs" dxfId="435" priority="11" operator="equal">
      <formula>"en riesgo"</formula>
    </cfRule>
  </conditionalFormatting>
  <conditionalFormatting sqref="L73:M73">
    <cfRule type="cellIs" dxfId="434" priority="8" operator="equal">
      <formula>"optimo"</formula>
    </cfRule>
    <cfRule type="cellIs" dxfId="433" priority="9" operator="equal">
      <formula>"critico"</formula>
    </cfRule>
  </conditionalFormatting>
  <conditionalFormatting sqref="F75:M86">
    <cfRule type="expression" dxfId="432" priority="7">
      <formula>+IF($AK75=0,1)</formula>
    </cfRule>
  </conditionalFormatting>
  <conditionalFormatting sqref="F103:G104">
    <cfRule type="expression" dxfId="431" priority="6">
      <formula>+IF($G$102="No",1,0)</formula>
    </cfRule>
  </conditionalFormatting>
  <conditionalFormatting sqref="F51">
    <cfRule type="expression" dxfId="430" priority="5">
      <formula>+IF($F$43="no",1,0)</formula>
    </cfRule>
  </conditionalFormatting>
  <conditionalFormatting sqref="I51">
    <cfRule type="expression" dxfId="429"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8">
    <tabColor rgb="FF0070C0"/>
  </sheetPr>
  <dimension ref="B1:AV113"/>
  <sheetViews>
    <sheetView topLeftCell="A40" zoomScale="90" zoomScaleNormal="90" workbookViewId="0"/>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438</v>
      </c>
      <c r="O10" s="2"/>
    </row>
    <row r="11" spans="2:24" ht="3.95" customHeight="1" x14ac:dyDescent="0.25">
      <c r="B11" s="2"/>
      <c r="D11" s="6"/>
      <c r="O11" s="2"/>
    </row>
    <row r="12" spans="2:24" ht="36" customHeight="1" x14ac:dyDescent="0.25">
      <c r="B12" s="2"/>
      <c r="D12" s="338" t="s">
        <v>5</v>
      </c>
      <c r="E12" s="339"/>
      <c r="F12" s="340" t="s">
        <v>1430</v>
      </c>
      <c r="G12" s="341"/>
      <c r="H12" s="341"/>
      <c r="I12" s="341"/>
      <c r="J12" s="341"/>
      <c r="K12" s="341"/>
      <c r="L12" s="341"/>
      <c r="M12" s="342"/>
      <c r="O12" s="2"/>
      <c r="W12" s="3" t="str">
        <f>+F23</f>
        <v>Cuatrimestral</v>
      </c>
      <c r="X12" s="3" t="str">
        <f>+F71</f>
        <v>Abril</v>
      </c>
    </row>
    <row r="13" spans="2:24" ht="3.95" customHeight="1" x14ac:dyDescent="0.25">
      <c r="B13" s="2"/>
      <c r="O13" s="2"/>
    </row>
    <row r="14" spans="2:24" ht="38.25" customHeight="1" x14ac:dyDescent="0.25">
      <c r="B14" s="2"/>
      <c r="D14" s="338" t="s">
        <v>6</v>
      </c>
      <c r="E14" s="339"/>
      <c r="F14" s="340" t="s">
        <v>1388</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8.75" customHeight="1" x14ac:dyDescent="0.25">
      <c r="B22" s="2"/>
      <c r="D22" s="337" t="s">
        <v>8</v>
      </c>
      <c r="E22" s="337"/>
      <c r="F22" s="17">
        <v>0.71</v>
      </c>
      <c r="G22" s="337" t="s">
        <v>9</v>
      </c>
      <c r="H22" s="337"/>
      <c r="I22" s="17">
        <v>1</v>
      </c>
      <c r="K22" s="337" t="s">
        <v>10</v>
      </c>
      <c r="L22" s="337"/>
      <c r="M22" s="9" t="s">
        <v>496</v>
      </c>
      <c r="O22" s="2"/>
    </row>
    <row r="23" spans="2:17" ht="19.5" customHeight="1" x14ac:dyDescent="0.25">
      <c r="B23" s="2"/>
      <c r="D23" s="337" t="s">
        <v>11</v>
      </c>
      <c r="E23" s="337"/>
      <c r="F23" s="4" t="s">
        <v>1069</v>
      </c>
      <c r="G23" s="337" t="s">
        <v>12</v>
      </c>
      <c r="H23" s="337"/>
      <c r="I23" s="4" t="s">
        <v>497</v>
      </c>
      <c r="K23" s="337" t="s">
        <v>13</v>
      </c>
      <c r="L23" s="337"/>
      <c r="M23" s="9" t="s">
        <v>2</v>
      </c>
      <c r="O23" s="2"/>
    </row>
    <row r="24" spans="2:17" ht="20.100000000000001" customHeight="1" x14ac:dyDescent="0.25">
      <c r="B24" s="2"/>
      <c r="D24" s="337" t="s">
        <v>14</v>
      </c>
      <c r="E24" s="337"/>
      <c r="F24" s="4" t="s">
        <v>498</v>
      </c>
      <c r="G24" s="337" t="s">
        <v>15</v>
      </c>
      <c r="H24" s="337"/>
      <c r="I24" s="4" t="s">
        <v>103</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NA</v>
      </c>
    </row>
    <row r="31" spans="2:17" ht="24" customHeight="1" x14ac:dyDescent="0.25">
      <c r="B31" s="2"/>
      <c r="D31" s="347"/>
      <c r="E31" s="348"/>
      <c r="F31" s="4" t="s">
        <v>425</v>
      </c>
      <c r="G31" s="340" t="s">
        <v>426</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1025</v>
      </c>
      <c r="G33" s="340"/>
      <c r="H33" s="341"/>
      <c r="I33" s="341"/>
      <c r="J33" s="341"/>
      <c r="K33" s="341"/>
      <c r="L33" s="341"/>
      <c r="M33" s="342"/>
      <c r="O33" s="2"/>
      <c r="Q33" s="3" t="str">
        <f>+IFERROR(IF(VLOOKUP(G33,base!$A$26:$C$40,3,FALSE)=F31,1,0),"")</f>
        <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1716</v>
      </c>
      <c r="G35" s="340" t="s">
        <v>1592</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2</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500</v>
      </c>
      <c r="G45" s="340" t="s">
        <v>512</v>
      </c>
      <c r="H45" s="341"/>
      <c r="I45" s="341"/>
      <c r="J45" s="341"/>
      <c r="K45" s="341"/>
      <c r="L45" s="341"/>
      <c r="M45" s="342"/>
      <c r="O45" s="2"/>
      <c r="Q45" s="3" t="str">
        <f>+IFERROR(VLOOKUP(G45,base!$A$41:$C$45,3,FALSE),"")</f>
        <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503</v>
      </c>
      <c r="G47" s="340"/>
      <c r="H47" s="341"/>
      <c r="I47" s="341"/>
      <c r="J47" s="341"/>
      <c r="K47" s="341"/>
      <c r="L47" s="341"/>
      <c r="M47" s="342"/>
      <c r="O47" s="2"/>
      <c r="Q47" s="3" t="e">
        <f>+IF(VLOOKUP(G47,base!$A$46:$C$66,3,FALSE)=F45,1,0)</f>
        <v>#N/A</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920</v>
      </c>
      <c r="G49" s="340" t="s">
        <v>899</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29"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37" t="s">
        <v>34</v>
      </c>
      <c r="E59" s="337"/>
      <c r="F59" s="344" t="s">
        <v>1389</v>
      </c>
      <c r="G59" s="344"/>
      <c r="H59" s="344"/>
      <c r="I59" s="344"/>
      <c r="J59" s="344"/>
      <c r="K59" s="344"/>
      <c r="L59" s="344"/>
      <c r="M59" s="344"/>
      <c r="O59" s="2"/>
    </row>
    <row r="60" spans="2:15" ht="42.75" customHeight="1" x14ac:dyDescent="0.25">
      <c r="B60" s="2"/>
      <c r="D60" s="359" t="s">
        <v>35</v>
      </c>
      <c r="E60" s="359"/>
      <c r="F60" s="344" t="s">
        <v>1390</v>
      </c>
      <c r="G60" s="344"/>
      <c r="H60" s="344"/>
      <c r="I60" s="344"/>
      <c r="J60" s="344"/>
      <c r="K60" s="344"/>
      <c r="L60" s="344"/>
      <c r="M60" s="344"/>
      <c r="O60" s="2"/>
    </row>
    <row r="61" spans="2:15" ht="42.75" customHeight="1" x14ac:dyDescent="0.25">
      <c r="B61" s="2"/>
      <c r="D61" s="359" t="s">
        <v>36</v>
      </c>
      <c r="E61" s="359"/>
      <c r="F61" s="340" t="s">
        <v>1391</v>
      </c>
      <c r="G61" s="341"/>
      <c r="H61" s="341"/>
      <c r="I61" s="341"/>
      <c r="J61" s="341"/>
      <c r="K61" s="341"/>
      <c r="L61" s="341"/>
      <c r="M61" s="342"/>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4</v>
      </c>
    </row>
    <row r="70" spans="2:37" ht="3.95" customHeight="1" x14ac:dyDescent="0.25">
      <c r="B70" s="2"/>
      <c r="D70" s="7"/>
      <c r="E70" s="7"/>
      <c r="O70" s="2"/>
    </row>
    <row r="71" spans="2:37" ht="18.75" customHeight="1" x14ac:dyDescent="0.25">
      <c r="B71" s="2"/>
      <c r="D71" s="343" t="s">
        <v>39</v>
      </c>
      <c r="E71" s="343"/>
      <c r="F71" s="4" t="s">
        <v>48</v>
      </c>
      <c r="G71" s="3">
        <v>4</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60" t="s">
        <v>48</v>
      </c>
      <c r="E78" s="360"/>
      <c r="F78" s="16" t="s">
        <v>500</v>
      </c>
      <c r="G78" s="16">
        <v>0.1</v>
      </c>
      <c r="H78" s="16">
        <v>0.10100000000000001</v>
      </c>
      <c r="I78" s="16">
        <v>0.2</v>
      </c>
      <c r="J78" s="16">
        <v>0.20100000000000001</v>
      </c>
      <c r="K78" s="16">
        <v>0.29899999999999999</v>
      </c>
      <c r="L78" s="16">
        <v>0.3</v>
      </c>
      <c r="M78" s="16" t="s">
        <v>500</v>
      </c>
      <c r="O78" s="2"/>
      <c r="AE78" s="3" t="s">
        <v>48</v>
      </c>
      <c r="AF78" s="3">
        <v>4</v>
      </c>
      <c r="AG78" s="3">
        <f t="shared" si="0"/>
        <v>1</v>
      </c>
      <c r="AH78" s="3">
        <f>+IF(AG78=0,0,IF(AG78=1,(SUM($AG$75:AG78)-1),1))</f>
        <v>0</v>
      </c>
      <c r="AI78" s="3">
        <f t="shared" si="1"/>
        <v>0</v>
      </c>
      <c r="AJ78" s="3">
        <f t="shared" si="2"/>
        <v>1</v>
      </c>
      <c r="AK78" s="3">
        <f t="shared" si="3"/>
        <v>1</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1</v>
      </c>
      <c r="AI79" s="3">
        <f t="shared" si="1"/>
        <v>0</v>
      </c>
      <c r="AJ79" s="3">
        <f t="shared" si="2"/>
        <v>0</v>
      </c>
      <c r="AK79" s="3">
        <f t="shared" si="3"/>
        <v>0</v>
      </c>
    </row>
    <row r="80" spans="2:37" x14ac:dyDescent="0.25">
      <c r="B80" s="2"/>
      <c r="D80" s="360" t="s">
        <v>50</v>
      </c>
      <c r="E80" s="360"/>
      <c r="F80" s="16" t="s">
        <v>500</v>
      </c>
      <c r="G80" s="16" t="s">
        <v>500</v>
      </c>
      <c r="H80" s="16" t="s">
        <v>500</v>
      </c>
      <c r="I80" s="16" t="s">
        <v>500</v>
      </c>
      <c r="J80" s="16" t="s">
        <v>500</v>
      </c>
      <c r="K80" s="16" t="s">
        <v>500</v>
      </c>
      <c r="L80" s="16" t="s">
        <v>500</v>
      </c>
      <c r="M80" s="16" t="s">
        <v>500</v>
      </c>
      <c r="O80" s="2"/>
      <c r="AE80" s="3" t="s">
        <v>50</v>
      </c>
      <c r="AF80" s="3">
        <v>6</v>
      </c>
      <c r="AG80" s="3">
        <f t="shared" si="0"/>
        <v>1</v>
      </c>
      <c r="AH80" s="3">
        <f>+IF(AG80=0,0,IF(AG80=1,(SUM($AG$75:AG80)-1),1))</f>
        <v>2</v>
      </c>
      <c r="AI80" s="3">
        <f t="shared" si="1"/>
        <v>0</v>
      </c>
      <c r="AJ80" s="3">
        <f t="shared" si="2"/>
        <v>0</v>
      </c>
      <c r="AK80" s="3">
        <f t="shared" si="3"/>
        <v>0</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3</v>
      </c>
      <c r="AI81" s="3">
        <f t="shared" si="1"/>
        <v>0</v>
      </c>
      <c r="AJ81" s="3">
        <f t="shared" si="2"/>
        <v>0</v>
      </c>
      <c r="AK81" s="3">
        <f t="shared" si="3"/>
        <v>0</v>
      </c>
    </row>
    <row r="82" spans="2:37" x14ac:dyDescent="0.25">
      <c r="B82" s="2"/>
      <c r="D82" s="360" t="s">
        <v>54</v>
      </c>
      <c r="E82" s="360"/>
      <c r="F82" s="16" t="s">
        <v>500</v>
      </c>
      <c r="G82" s="16">
        <v>0.3</v>
      </c>
      <c r="H82" s="16">
        <v>0.30099999999999999</v>
      </c>
      <c r="I82" s="16">
        <v>0.4</v>
      </c>
      <c r="J82" s="16">
        <v>0.40100000000000002</v>
      </c>
      <c r="K82" s="16">
        <v>0.59899999999999998</v>
      </c>
      <c r="L82" s="16">
        <v>0.6</v>
      </c>
      <c r="M82" s="16" t="s">
        <v>500</v>
      </c>
      <c r="O82" s="2"/>
      <c r="AE82" s="3" t="s">
        <v>54</v>
      </c>
      <c r="AF82" s="3">
        <v>8</v>
      </c>
      <c r="AG82" s="3">
        <f t="shared" si="0"/>
        <v>1</v>
      </c>
      <c r="AH82" s="3">
        <f>+IF(AG82=0,0,IF(AG82=1,(SUM($AG$75:AG82)-1),1))</f>
        <v>4</v>
      </c>
      <c r="AI82" s="3">
        <f t="shared" si="1"/>
        <v>1</v>
      </c>
      <c r="AJ82" s="3">
        <f t="shared" si="2"/>
        <v>0</v>
      </c>
      <c r="AK82" s="3">
        <f t="shared" si="3"/>
        <v>1</v>
      </c>
    </row>
    <row r="83" spans="2:37" x14ac:dyDescent="0.25">
      <c r="B83" s="2"/>
      <c r="D83" s="360" t="s">
        <v>55</v>
      </c>
      <c r="E83" s="360"/>
      <c r="F83" s="16" t="s">
        <v>500</v>
      </c>
      <c r="G83" s="16" t="s">
        <v>500</v>
      </c>
      <c r="H83" s="16" t="s">
        <v>500</v>
      </c>
      <c r="I83" s="16" t="s">
        <v>500</v>
      </c>
      <c r="J83" s="16" t="s">
        <v>500</v>
      </c>
      <c r="K83" s="16" t="s">
        <v>500</v>
      </c>
      <c r="L83" s="16" t="s">
        <v>500</v>
      </c>
      <c r="M83" s="16" t="s">
        <v>500</v>
      </c>
      <c r="O83" s="2"/>
      <c r="AE83" s="3" t="s">
        <v>55</v>
      </c>
      <c r="AF83" s="3">
        <v>9</v>
      </c>
      <c r="AG83" s="3">
        <f t="shared" si="0"/>
        <v>1</v>
      </c>
      <c r="AH83" s="3">
        <f>+IF(AG83=0,0,IF(AG83=1,(SUM($AG$75:AG83)-1),1))</f>
        <v>5</v>
      </c>
      <c r="AI83" s="3">
        <f t="shared" si="1"/>
        <v>0</v>
      </c>
      <c r="AJ83" s="3">
        <f t="shared" si="2"/>
        <v>0</v>
      </c>
      <c r="AK83" s="3">
        <f t="shared" si="3"/>
        <v>0</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6</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7</v>
      </c>
      <c r="AI85" s="3">
        <f t="shared" si="1"/>
        <v>0</v>
      </c>
      <c r="AJ85" s="3">
        <f t="shared" si="2"/>
        <v>0</v>
      </c>
      <c r="AK85" s="3">
        <f t="shared" si="3"/>
        <v>0</v>
      </c>
    </row>
    <row r="86" spans="2:37" x14ac:dyDescent="0.25">
      <c r="B86" s="2"/>
      <c r="D86" s="360" t="s">
        <v>58</v>
      </c>
      <c r="E86" s="360"/>
      <c r="F86" s="16" t="s">
        <v>500</v>
      </c>
      <c r="G86" s="16">
        <v>0.8</v>
      </c>
      <c r="H86" s="16">
        <v>0.80100000000000005</v>
      </c>
      <c r="I86" s="16">
        <v>0.9</v>
      </c>
      <c r="J86" s="16">
        <v>0.90100000000000002</v>
      </c>
      <c r="K86" s="16">
        <v>0.999</v>
      </c>
      <c r="L86" s="16" t="s">
        <v>500</v>
      </c>
      <c r="M86" s="16">
        <v>1</v>
      </c>
      <c r="O86" s="2"/>
      <c r="AE86" s="3" t="s">
        <v>58</v>
      </c>
      <c r="AF86" s="65">
        <v>12</v>
      </c>
      <c r="AG86" s="3">
        <f t="shared" si="0"/>
        <v>1</v>
      </c>
      <c r="AH86" s="3">
        <f>+IF(AG86=0,0,IF(AG86=1,(SUM($AG$75:AG86)-1),1))</f>
        <v>8</v>
      </c>
      <c r="AI86" s="3">
        <f t="shared" si="1"/>
        <v>1</v>
      </c>
      <c r="AJ86" s="3">
        <f t="shared" si="2"/>
        <v>0</v>
      </c>
      <c r="AK86" s="3">
        <f t="shared" si="3"/>
        <v>1</v>
      </c>
    </row>
    <row r="87" spans="2:37" ht="3.75" customHeight="1" x14ac:dyDescent="0.25">
      <c r="B87" s="2"/>
      <c r="O87" s="2"/>
    </row>
    <row r="88" spans="2:37" ht="66" customHeight="1" x14ac:dyDescent="0.25">
      <c r="B88" s="2"/>
      <c r="D88" s="338" t="s">
        <v>59</v>
      </c>
      <c r="E88" s="339"/>
      <c r="F88" s="340"/>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53.25" customHeight="1" x14ac:dyDescent="0.25">
      <c r="B97" s="2"/>
      <c r="D97" s="359" t="s">
        <v>35</v>
      </c>
      <c r="E97" s="359"/>
      <c r="F97" s="344" t="s">
        <v>1392</v>
      </c>
      <c r="G97" s="344"/>
      <c r="H97" s="344"/>
      <c r="I97" s="344"/>
      <c r="J97" s="344"/>
      <c r="K97" s="344"/>
      <c r="L97" s="344"/>
      <c r="M97" s="344"/>
      <c r="O97" s="2"/>
    </row>
    <row r="98" spans="2:15" ht="53.25" customHeight="1" x14ac:dyDescent="0.25">
      <c r="B98" s="2"/>
      <c r="D98" s="359" t="s">
        <v>36</v>
      </c>
      <c r="E98" s="359"/>
      <c r="F98" s="344" t="s">
        <v>1393</v>
      </c>
      <c r="G98" s="344"/>
      <c r="H98" s="344"/>
      <c r="I98" s="344"/>
      <c r="J98" s="344"/>
      <c r="K98" s="344"/>
      <c r="L98" s="344"/>
      <c r="M98" s="344"/>
      <c r="O98" s="2"/>
    </row>
    <row r="99" spans="2:15" ht="3.95" customHeight="1" x14ac:dyDescent="0.25">
      <c r="B99" s="2"/>
      <c r="O99" s="2"/>
    </row>
    <row r="100" spans="2:15" ht="113.25" customHeight="1" x14ac:dyDescent="0.25">
      <c r="B100" s="2"/>
      <c r="D100" s="338" t="s">
        <v>62</v>
      </c>
      <c r="E100" s="339"/>
      <c r="F100" s="412" t="s">
        <v>1431</v>
      </c>
      <c r="G100" s="415"/>
      <c r="H100" s="415"/>
      <c r="I100" s="415"/>
      <c r="J100" s="415"/>
      <c r="K100" s="415"/>
      <c r="L100" s="415"/>
      <c r="M100" s="416"/>
      <c r="O100" s="2"/>
    </row>
    <row r="101" spans="2:15" ht="3.95" customHeight="1" x14ac:dyDescent="0.25">
      <c r="B101" s="2"/>
      <c r="O101" s="2"/>
    </row>
    <row r="102" spans="2:15" ht="19.5" customHeight="1" x14ac:dyDescent="0.25">
      <c r="B102" s="2"/>
      <c r="D102" s="329" t="s">
        <v>64</v>
      </c>
      <c r="E102" s="330"/>
      <c r="F102" s="19" t="s">
        <v>65</v>
      </c>
      <c r="G102" s="4" t="s">
        <v>1</v>
      </c>
      <c r="K102" s="20"/>
      <c r="O102" s="2"/>
    </row>
    <row r="103" spans="2:15" ht="19.5" customHeight="1" x14ac:dyDescent="0.25">
      <c r="B103" s="2"/>
      <c r="D103" s="331"/>
      <c r="E103" s="332"/>
      <c r="F103" s="19" t="s">
        <v>66</v>
      </c>
      <c r="G103" s="4" t="s">
        <v>439</v>
      </c>
      <c r="K103" s="21"/>
      <c r="O103" s="2"/>
    </row>
    <row r="104" spans="2:15" ht="27.75" customHeight="1" x14ac:dyDescent="0.25">
      <c r="B104" s="2"/>
      <c r="D104" s="331"/>
      <c r="E104" s="332"/>
      <c r="F104" s="19" t="s">
        <v>67</v>
      </c>
      <c r="G104" s="333" t="s">
        <v>1881</v>
      </c>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Subdirector(a) Mejoramiento Organizacional</v>
      </c>
      <c r="H108" s="334"/>
      <c r="I108" s="334"/>
      <c r="J108" s="334"/>
      <c r="K108" s="334"/>
      <c r="L108" s="334"/>
      <c r="M108" s="335"/>
      <c r="O108" s="2"/>
    </row>
    <row r="109" spans="2:15" ht="17.25" customHeight="1" x14ac:dyDescent="0.25">
      <c r="B109" s="2"/>
      <c r="D109" s="331"/>
      <c r="E109" s="332"/>
      <c r="F109" s="19" t="s">
        <v>2042</v>
      </c>
      <c r="G109" s="333" t="str">
        <f>+IF(M23="Si","Coordinador(a) Planeación y Sistemas","")</f>
        <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428" priority="31">
      <formula>+IF($F$43="no",1,0)</formula>
    </cfRule>
  </conditionalFormatting>
  <conditionalFormatting sqref="F32:M33">
    <cfRule type="expression" dxfId="427" priority="30">
      <formula>+IF($Q$30="NA",1,0)</formula>
    </cfRule>
  </conditionalFormatting>
  <conditionalFormatting sqref="F33:M33">
    <cfRule type="expression" dxfId="426" priority="29">
      <formula>+IF($Q$33=0,1,0)</formula>
    </cfRule>
  </conditionalFormatting>
  <conditionalFormatting sqref="F47:M47">
    <cfRule type="expression" dxfId="425" priority="28">
      <formula>+IF($Q$47=0,1,0)</formula>
    </cfRule>
  </conditionalFormatting>
  <conditionalFormatting sqref="F73:G73">
    <cfRule type="cellIs" dxfId="424" priority="14" operator="equal">
      <formula>"optimo"</formula>
    </cfRule>
    <cfRule type="cellIs" dxfId="423" priority="15" operator="equal">
      <formula>"critico"</formula>
    </cfRule>
  </conditionalFormatting>
  <conditionalFormatting sqref="H73:I73">
    <cfRule type="cellIs" dxfId="422" priority="12" operator="equal">
      <formula>"Adecuado"</formula>
    </cfRule>
    <cfRule type="cellIs" dxfId="421" priority="13" operator="equal">
      <formula>"en riesgo"</formula>
    </cfRule>
  </conditionalFormatting>
  <conditionalFormatting sqref="J73:K73">
    <cfRule type="cellIs" dxfId="420" priority="10" operator="equal">
      <formula>"Adecuado"</formula>
    </cfRule>
    <cfRule type="cellIs" dxfId="419" priority="11" operator="equal">
      <formula>"en riesgo"</formula>
    </cfRule>
  </conditionalFormatting>
  <conditionalFormatting sqref="L73:M73">
    <cfRule type="cellIs" dxfId="418" priority="8" operator="equal">
      <formula>"optimo"</formula>
    </cfRule>
    <cfRule type="cellIs" dxfId="417" priority="9" operator="equal">
      <formula>"critico"</formula>
    </cfRule>
  </conditionalFormatting>
  <conditionalFormatting sqref="F75:M86">
    <cfRule type="expression" dxfId="416" priority="7">
      <formula>+IF($AK75=0,1)</formula>
    </cfRule>
  </conditionalFormatting>
  <conditionalFormatting sqref="F103:G104">
    <cfRule type="expression" dxfId="415" priority="6">
      <formula>+IF($G$102="No",1,0)</formula>
    </cfRule>
  </conditionalFormatting>
  <conditionalFormatting sqref="F51">
    <cfRule type="expression" dxfId="414" priority="5">
      <formula>+IF($F$43="no",1,0)</formula>
    </cfRule>
  </conditionalFormatting>
  <conditionalFormatting sqref="I51">
    <cfRule type="expression" dxfId="413"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9">
    <tabColor rgb="FF0070C0"/>
  </sheetPr>
  <dimension ref="B1:AV113"/>
  <sheetViews>
    <sheetView zoomScale="90" zoomScaleNormal="90" workbookViewId="0">
      <selection activeCell="M25" sqref="M25"/>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439</v>
      </c>
      <c r="O10" s="2"/>
    </row>
    <row r="11" spans="2:24" ht="3.95" customHeight="1" x14ac:dyDescent="0.25">
      <c r="B11" s="2"/>
      <c r="D11" s="6"/>
      <c r="O11" s="2"/>
    </row>
    <row r="12" spans="2:24" ht="36" customHeight="1" x14ac:dyDescent="0.25">
      <c r="B12" s="2"/>
      <c r="D12" s="338" t="s">
        <v>5</v>
      </c>
      <c r="E12" s="339"/>
      <c r="F12" s="340" t="s">
        <v>440</v>
      </c>
      <c r="G12" s="341"/>
      <c r="H12" s="341"/>
      <c r="I12" s="341"/>
      <c r="J12" s="341"/>
      <c r="K12" s="341"/>
      <c r="L12" s="341"/>
      <c r="M12" s="342"/>
      <c r="O12" s="2"/>
      <c r="W12" s="3" t="str">
        <f>+F23</f>
        <v>Mensual</v>
      </c>
      <c r="X12" s="3" t="str">
        <f>+F71</f>
        <v>Enero</v>
      </c>
    </row>
    <row r="13" spans="2:24" ht="3.95" customHeight="1" x14ac:dyDescent="0.25">
      <c r="B13" s="2"/>
      <c r="O13" s="2"/>
    </row>
    <row r="14" spans="2:24" ht="38.25" customHeight="1" x14ac:dyDescent="0.25">
      <c r="B14" s="2"/>
      <c r="D14" s="338" t="s">
        <v>6</v>
      </c>
      <c r="E14" s="339"/>
      <c r="F14" s="340" t="s">
        <v>1382</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8.75" customHeight="1" x14ac:dyDescent="0.25">
      <c r="B22" s="2"/>
      <c r="D22" s="337" t="s">
        <v>8</v>
      </c>
      <c r="E22" s="337"/>
      <c r="F22" s="17">
        <v>0.25</v>
      </c>
      <c r="G22" s="337" t="s">
        <v>9</v>
      </c>
      <c r="H22" s="337"/>
      <c r="I22" s="17">
        <v>0.85</v>
      </c>
      <c r="K22" s="337" t="s">
        <v>10</v>
      </c>
      <c r="L22" s="337"/>
      <c r="M22" s="9" t="s">
        <v>496</v>
      </c>
      <c r="O22" s="2"/>
    </row>
    <row r="23" spans="2:17" ht="19.5" customHeight="1" x14ac:dyDescent="0.25">
      <c r="B23" s="2"/>
      <c r="D23" s="337" t="s">
        <v>11</v>
      </c>
      <c r="E23" s="337"/>
      <c r="F23" s="4" t="s">
        <v>84</v>
      </c>
      <c r="G23" s="337" t="s">
        <v>12</v>
      </c>
      <c r="H23" s="337"/>
      <c r="I23" s="4" t="s">
        <v>497</v>
      </c>
      <c r="K23" s="337" t="s">
        <v>13</v>
      </c>
      <c r="L23" s="337"/>
      <c r="M23" s="9" t="s">
        <v>496</v>
      </c>
      <c r="O23" s="2"/>
    </row>
    <row r="24" spans="2:17" ht="20.100000000000001" customHeight="1" x14ac:dyDescent="0.25">
      <c r="B24" s="2"/>
      <c r="D24" s="337" t="s">
        <v>14</v>
      </c>
      <c r="E24" s="337"/>
      <c r="F24" s="4" t="s">
        <v>498</v>
      </c>
      <c r="G24" s="337" t="s">
        <v>15</v>
      </c>
      <c r="H24" s="337"/>
      <c r="I24" s="4" t="s">
        <v>103</v>
      </c>
      <c r="K24" s="337" t="s">
        <v>16</v>
      </c>
      <c r="L24" s="337"/>
      <c r="M24" s="9" t="s">
        <v>496</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NA</v>
      </c>
    </row>
    <row r="31" spans="2:17" ht="24" customHeight="1" x14ac:dyDescent="0.25">
      <c r="B31" s="2"/>
      <c r="D31" s="347"/>
      <c r="E31" s="348"/>
      <c r="F31" s="4" t="s">
        <v>425</v>
      </c>
      <c r="G31" s="340" t="s">
        <v>426</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1025</v>
      </c>
      <c r="G33" s="340"/>
      <c r="H33" s="341"/>
      <c r="I33" s="341"/>
      <c r="J33" s="341"/>
      <c r="K33" s="341"/>
      <c r="L33" s="341"/>
      <c r="M33" s="342"/>
      <c r="O33" s="2"/>
      <c r="Q33" s="3" t="str">
        <f>+IFERROR(IF(VLOOKUP(G33,base!$A$26:$C$40,3,FALSE)=F31,1,0),"")</f>
        <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1716</v>
      </c>
      <c r="G35" s="340" t="s">
        <v>1592</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2</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500</v>
      </c>
      <c r="G45" s="340" t="s">
        <v>512</v>
      </c>
      <c r="H45" s="341"/>
      <c r="I45" s="341"/>
      <c r="J45" s="341"/>
      <c r="K45" s="341"/>
      <c r="L45" s="341"/>
      <c r="M45" s="342"/>
      <c r="O45" s="2"/>
      <c r="Q45" s="3" t="str">
        <f>+IFERROR(VLOOKUP(G45,base!$A$41:$C$45,3,FALSE),"")</f>
        <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503</v>
      </c>
      <c r="G47" s="340"/>
      <c r="H47" s="341"/>
      <c r="I47" s="341"/>
      <c r="J47" s="341"/>
      <c r="K47" s="341"/>
      <c r="L47" s="341"/>
      <c r="M47" s="342"/>
      <c r="O47" s="2"/>
      <c r="Q47" s="3" t="e">
        <f>+IF(VLOOKUP(G47,base!$A$46:$C$66,3,FALSE)=F45,1,0)</f>
        <v>#N/A</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920</v>
      </c>
      <c r="G49" s="340" t="s">
        <v>899</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29"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37" t="s">
        <v>34</v>
      </c>
      <c r="E59" s="337"/>
      <c r="F59" s="344" t="s">
        <v>1383</v>
      </c>
      <c r="G59" s="344"/>
      <c r="H59" s="344"/>
      <c r="I59" s="344"/>
      <c r="J59" s="344"/>
      <c r="K59" s="344"/>
      <c r="L59" s="344"/>
      <c r="M59" s="344"/>
      <c r="O59" s="2"/>
    </row>
    <row r="60" spans="2:15" ht="42" customHeight="1" x14ac:dyDescent="0.25">
      <c r="B60" s="2"/>
      <c r="D60" s="359" t="s">
        <v>35</v>
      </c>
      <c r="E60" s="359"/>
      <c r="F60" s="344" t="s">
        <v>1384</v>
      </c>
      <c r="G60" s="344"/>
      <c r="H60" s="344"/>
      <c r="I60" s="344"/>
      <c r="J60" s="344"/>
      <c r="K60" s="344"/>
      <c r="L60" s="344"/>
      <c r="M60" s="344"/>
      <c r="O60" s="2"/>
    </row>
    <row r="61" spans="2:15" ht="42" customHeight="1" x14ac:dyDescent="0.25">
      <c r="B61" s="2"/>
      <c r="D61" s="359" t="s">
        <v>36</v>
      </c>
      <c r="E61" s="359"/>
      <c r="F61" s="340" t="s">
        <v>1385</v>
      </c>
      <c r="G61" s="341"/>
      <c r="H61" s="341"/>
      <c r="I61" s="341"/>
      <c r="J61" s="341"/>
      <c r="K61" s="341"/>
      <c r="L61" s="341"/>
      <c r="M61" s="342"/>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43" t="s">
        <v>39</v>
      </c>
      <c r="E71" s="343"/>
      <c r="F71" s="4" t="s">
        <v>46</v>
      </c>
      <c r="G71" s="3">
        <v>1</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v>0.6</v>
      </c>
      <c r="H75" s="16">
        <v>0.60099999999999998</v>
      </c>
      <c r="I75" s="16">
        <v>0.7</v>
      </c>
      <c r="J75" s="16">
        <v>0.70099999999999996</v>
      </c>
      <c r="K75" s="16">
        <v>0.84899999999999998</v>
      </c>
      <c r="L75" s="16">
        <v>0.85</v>
      </c>
      <c r="M75" s="16" t="s">
        <v>500</v>
      </c>
      <c r="O75" s="2"/>
      <c r="AE75" s="3" t="s">
        <v>46</v>
      </c>
      <c r="AF75" s="3">
        <v>1</v>
      </c>
      <c r="AG75" s="3">
        <f>+IF(AF75&gt;=$G$71,1,0)</f>
        <v>1</v>
      </c>
      <c r="AH75" s="3">
        <f>+IF(AG75=0,0,IF(AG75=1,(SUM($AG$75:AG75)-1),1))</f>
        <v>0</v>
      </c>
      <c r="AI75" s="3">
        <f>+IF(AH75=0,0,IF(MOD(AH75,$U$69)=0,1,0))</f>
        <v>0</v>
      </c>
      <c r="AJ75" s="3">
        <f>+IF(AE75=$F$71,1,0)</f>
        <v>1</v>
      </c>
      <c r="AK75" s="3">
        <f>+MAX(AI75:AJ75)</f>
        <v>1</v>
      </c>
    </row>
    <row r="76" spans="2:37" x14ac:dyDescent="0.25">
      <c r="B76" s="2"/>
      <c r="D76" s="360" t="s">
        <v>40</v>
      </c>
      <c r="E76" s="360"/>
      <c r="F76" s="16" t="s">
        <v>500</v>
      </c>
      <c r="G76" s="16">
        <v>0.6</v>
      </c>
      <c r="H76" s="16">
        <v>0.60099999999999998</v>
      </c>
      <c r="I76" s="16">
        <v>0.7</v>
      </c>
      <c r="J76" s="16">
        <v>0.70099999999999996</v>
      </c>
      <c r="K76" s="16">
        <v>0.84899999999999998</v>
      </c>
      <c r="L76" s="16">
        <v>0.85</v>
      </c>
      <c r="M76" s="16" t="s">
        <v>500</v>
      </c>
      <c r="O76" s="2"/>
      <c r="AE76" s="3" t="s">
        <v>40</v>
      </c>
      <c r="AF76" s="3">
        <v>2</v>
      </c>
      <c r="AG76" s="3">
        <f t="shared" ref="AG76:AG86" si="0">+IF(AF76&gt;=$G$71,1,0)</f>
        <v>1</v>
      </c>
      <c r="AH76" s="3">
        <f>+IF(AG76=0,0,IF(AG76=1,(SUM($AG$75:AG76)-1),1))</f>
        <v>1</v>
      </c>
      <c r="AI76" s="3">
        <f t="shared" ref="AI76:AI86" si="1">+IF(AH76=0,0,IF(MOD(AH76,$U$69)=0,1,0))</f>
        <v>1</v>
      </c>
      <c r="AJ76" s="3">
        <f t="shared" ref="AJ76:AJ86" si="2">+IF(AE76=$F$71,1,0)</f>
        <v>0</v>
      </c>
      <c r="AK76" s="3">
        <f t="shared" ref="AK76:AK86" si="3">+MAX(AI76:AJ76)</f>
        <v>1</v>
      </c>
    </row>
    <row r="77" spans="2:37" x14ac:dyDescent="0.25">
      <c r="B77" s="2"/>
      <c r="D77" s="360" t="s">
        <v>47</v>
      </c>
      <c r="E77" s="360"/>
      <c r="F77" s="16" t="s">
        <v>500</v>
      </c>
      <c r="G77" s="16">
        <v>0.6</v>
      </c>
      <c r="H77" s="16">
        <v>0.60099999999999998</v>
      </c>
      <c r="I77" s="16">
        <v>0.7</v>
      </c>
      <c r="J77" s="16">
        <v>0.70099999999999996</v>
      </c>
      <c r="K77" s="16">
        <v>0.84899999999999998</v>
      </c>
      <c r="L77" s="16">
        <v>0.85</v>
      </c>
      <c r="M77" s="16" t="s">
        <v>500</v>
      </c>
      <c r="O77" s="2"/>
      <c r="AE77" s="3" t="s">
        <v>47</v>
      </c>
      <c r="AF77" s="3">
        <v>3</v>
      </c>
      <c r="AG77" s="3">
        <f t="shared" si="0"/>
        <v>1</v>
      </c>
      <c r="AH77" s="3">
        <f>+IF(AG77=0,0,IF(AG77=1,(SUM($AG$75:AG77)-1),1))</f>
        <v>2</v>
      </c>
      <c r="AI77" s="3">
        <f t="shared" si="1"/>
        <v>1</v>
      </c>
      <c r="AJ77" s="3">
        <f t="shared" si="2"/>
        <v>0</v>
      </c>
      <c r="AK77" s="3">
        <f t="shared" si="3"/>
        <v>1</v>
      </c>
    </row>
    <row r="78" spans="2:37" x14ac:dyDescent="0.25">
      <c r="B78" s="2"/>
      <c r="D78" s="360" t="s">
        <v>48</v>
      </c>
      <c r="E78" s="360"/>
      <c r="F78" s="16" t="s">
        <v>500</v>
      </c>
      <c r="G78" s="16">
        <v>0.6</v>
      </c>
      <c r="H78" s="16">
        <v>0.60099999999999998</v>
      </c>
      <c r="I78" s="16">
        <v>0.7</v>
      </c>
      <c r="J78" s="16">
        <v>0.70099999999999996</v>
      </c>
      <c r="K78" s="16">
        <v>0.84899999999999998</v>
      </c>
      <c r="L78" s="16">
        <v>0.85</v>
      </c>
      <c r="M78" s="16" t="s">
        <v>500</v>
      </c>
      <c r="O78" s="2"/>
      <c r="AE78" s="3" t="s">
        <v>48</v>
      </c>
      <c r="AF78" s="3">
        <v>4</v>
      </c>
      <c r="AG78" s="3">
        <f t="shared" si="0"/>
        <v>1</v>
      </c>
      <c r="AH78" s="3">
        <f>+IF(AG78=0,0,IF(AG78=1,(SUM($AG$75:AG78)-1),1))</f>
        <v>3</v>
      </c>
      <c r="AI78" s="3">
        <f t="shared" si="1"/>
        <v>1</v>
      </c>
      <c r="AJ78" s="3">
        <f t="shared" si="2"/>
        <v>0</v>
      </c>
      <c r="AK78" s="3">
        <f t="shared" si="3"/>
        <v>1</v>
      </c>
    </row>
    <row r="79" spans="2:37" x14ac:dyDescent="0.25">
      <c r="B79" s="2"/>
      <c r="D79" s="360" t="s">
        <v>49</v>
      </c>
      <c r="E79" s="360"/>
      <c r="F79" s="16" t="s">
        <v>500</v>
      </c>
      <c r="G79" s="16">
        <v>0.6</v>
      </c>
      <c r="H79" s="16">
        <v>0.60099999999999998</v>
      </c>
      <c r="I79" s="16">
        <v>0.7</v>
      </c>
      <c r="J79" s="16">
        <v>0.70099999999999996</v>
      </c>
      <c r="K79" s="16">
        <v>0.84899999999999998</v>
      </c>
      <c r="L79" s="16">
        <v>0.85</v>
      </c>
      <c r="M79" s="16" t="s">
        <v>500</v>
      </c>
      <c r="O79" s="2"/>
      <c r="AE79" s="3" t="s">
        <v>49</v>
      </c>
      <c r="AF79" s="3">
        <v>5</v>
      </c>
      <c r="AG79" s="3">
        <f t="shared" si="0"/>
        <v>1</v>
      </c>
      <c r="AH79" s="3">
        <f>+IF(AG79=0,0,IF(AG79=1,(SUM($AG$75:AG79)-1),1))</f>
        <v>4</v>
      </c>
      <c r="AI79" s="3">
        <f t="shared" si="1"/>
        <v>1</v>
      </c>
      <c r="AJ79" s="3">
        <f t="shared" si="2"/>
        <v>0</v>
      </c>
      <c r="AK79" s="3">
        <f t="shared" si="3"/>
        <v>1</v>
      </c>
    </row>
    <row r="80" spans="2:37" x14ac:dyDescent="0.25">
      <c r="B80" s="2"/>
      <c r="D80" s="360" t="s">
        <v>50</v>
      </c>
      <c r="E80" s="360"/>
      <c r="F80" s="16" t="s">
        <v>500</v>
      </c>
      <c r="G80" s="16">
        <v>0.6</v>
      </c>
      <c r="H80" s="16">
        <v>0.60099999999999998</v>
      </c>
      <c r="I80" s="16">
        <v>0.7</v>
      </c>
      <c r="J80" s="16">
        <v>0.70099999999999996</v>
      </c>
      <c r="K80" s="16">
        <v>0.84899999999999998</v>
      </c>
      <c r="L80" s="16">
        <v>0.85</v>
      </c>
      <c r="M80" s="16" t="s">
        <v>500</v>
      </c>
      <c r="O80" s="2"/>
      <c r="AE80" s="3" t="s">
        <v>50</v>
      </c>
      <c r="AF80" s="3">
        <v>6</v>
      </c>
      <c r="AG80" s="3">
        <f t="shared" si="0"/>
        <v>1</v>
      </c>
      <c r="AH80" s="3">
        <f>+IF(AG80=0,0,IF(AG80=1,(SUM($AG$75:AG80)-1),1))</f>
        <v>5</v>
      </c>
      <c r="AI80" s="3">
        <f t="shared" si="1"/>
        <v>1</v>
      </c>
      <c r="AJ80" s="3">
        <f t="shared" si="2"/>
        <v>0</v>
      </c>
      <c r="AK80" s="3">
        <f t="shared" si="3"/>
        <v>1</v>
      </c>
    </row>
    <row r="81" spans="2:37" x14ac:dyDescent="0.25">
      <c r="B81" s="2"/>
      <c r="D81" s="360" t="s">
        <v>53</v>
      </c>
      <c r="E81" s="360"/>
      <c r="F81" s="16" t="s">
        <v>500</v>
      </c>
      <c r="G81" s="16">
        <v>0.6</v>
      </c>
      <c r="H81" s="16">
        <v>0.60099999999999998</v>
      </c>
      <c r="I81" s="16">
        <v>0.7</v>
      </c>
      <c r="J81" s="16">
        <v>0.70099999999999996</v>
      </c>
      <c r="K81" s="16">
        <v>0.84899999999999998</v>
      </c>
      <c r="L81" s="16">
        <v>0.85</v>
      </c>
      <c r="M81" s="16" t="s">
        <v>500</v>
      </c>
      <c r="O81" s="2"/>
      <c r="AE81" s="3" t="s">
        <v>53</v>
      </c>
      <c r="AF81" s="3">
        <v>7</v>
      </c>
      <c r="AG81" s="3">
        <f t="shared" si="0"/>
        <v>1</v>
      </c>
      <c r="AH81" s="3">
        <f>+IF(AG81=0,0,IF(AG81=1,(SUM($AG$75:AG81)-1),1))</f>
        <v>6</v>
      </c>
      <c r="AI81" s="3">
        <f t="shared" si="1"/>
        <v>1</v>
      </c>
      <c r="AJ81" s="3">
        <f t="shared" si="2"/>
        <v>0</v>
      </c>
      <c r="AK81" s="3">
        <f t="shared" si="3"/>
        <v>1</v>
      </c>
    </row>
    <row r="82" spans="2:37" x14ac:dyDescent="0.25">
      <c r="B82" s="2"/>
      <c r="D82" s="360" t="s">
        <v>54</v>
      </c>
      <c r="E82" s="360"/>
      <c r="F82" s="16" t="s">
        <v>500</v>
      </c>
      <c r="G82" s="16">
        <v>0.6</v>
      </c>
      <c r="H82" s="16">
        <v>0.60099999999999998</v>
      </c>
      <c r="I82" s="16">
        <v>0.7</v>
      </c>
      <c r="J82" s="16">
        <v>0.70099999999999996</v>
      </c>
      <c r="K82" s="16">
        <v>0.84899999999999998</v>
      </c>
      <c r="L82" s="16">
        <v>0.85</v>
      </c>
      <c r="M82" s="16" t="s">
        <v>500</v>
      </c>
      <c r="O82" s="2"/>
      <c r="AE82" s="3" t="s">
        <v>54</v>
      </c>
      <c r="AF82" s="3">
        <v>8</v>
      </c>
      <c r="AG82" s="3">
        <f t="shared" si="0"/>
        <v>1</v>
      </c>
      <c r="AH82" s="3">
        <f>+IF(AG82=0,0,IF(AG82=1,(SUM($AG$75:AG82)-1),1))</f>
        <v>7</v>
      </c>
      <c r="AI82" s="3">
        <f t="shared" si="1"/>
        <v>1</v>
      </c>
      <c r="AJ82" s="3">
        <f t="shared" si="2"/>
        <v>0</v>
      </c>
      <c r="AK82" s="3">
        <f t="shared" si="3"/>
        <v>1</v>
      </c>
    </row>
    <row r="83" spans="2:37" x14ac:dyDescent="0.25">
      <c r="B83" s="2"/>
      <c r="D83" s="360" t="s">
        <v>55</v>
      </c>
      <c r="E83" s="360"/>
      <c r="F83" s="16" t="s">
        <v>500</v>
      </c>
      <c r="G83" s="16">
        <v>0.6</v>
      </c>
      <c r="H83" s="16">
        <v>0.60099999999999998</v>
      </c>
      <c r="I83" s="16">
        <v>0.7</v>
      </c>
      <c r="J83" s="16">
        <v>0.70099999999999996</v>
      </c>
      <c r="K83" s="16">
        <v>0.84899999999999998</v>
      </c>
      <c r="L83" s="16">
        <v>0.85</v>
      </c>
      <c r="M83" s="16" t="s">
        <v>500</v>
      </c>
      <c r="O83" s="2"/>
      <c r="AE83" s="3" t="s">
        <v>55</v>
      </c>
      <c r="AF83" s="3">
        <v>9</v>
      </c>
      <c r="AG83" s="3">
        <f t="shared" si="0"/>
        <v>1</v>
      </c>
      <c r="AH83" s="3">
        <f>+IF(AG83=0,0,IF(AG83=1,(SUM($AG$75:AG83)-1),1))</f>
        <v>8</v>
      </c>
      <c r="AI83" s="3">
        <f t="shared" si="1"/>
        <v>1</v>
      </c>
      <c r="AJ83" s="3">
        <f t="shared" si="2"/>
        <v>0</v>
      </c>
      <c r="AK83" s="3">
        <f t="shared" si="3"/>
        <v>1</v>
      </c>
    </row>
    <row r="84" spans="2:37" x14ac:dyDescent="0.25">
      <c r="B84" s="2"/>
      <c r="D84" s="360" t="s">
        <v>56</v>
      </c>
      <c r="E84" s="360"/>
      <c r="F84" s="16" t="s">
        <v>500</v>
      </c>
      <c r="G84" s="16">
        <v>0.6</v>
      </c>
      <c r="H84" s="16">
        <v>0.60099999999999998</v>
      </c>
      <c r="I84" s="16">
        <v>0.7</v>
      </c>
      <c r="J84" s="16">
        <v>0.70099999999999996</v>
      </c>
      <c r="K84" s="16">
        <v>0.84899999999999998</v>
      </c>
      <c r="L84" s="16">
        <v>0.85</v>
      </c>
      <c r="M84" s="16" t="s">
        <v>500</v>
      </c>
      <c r="O84" s="2"/>
      <c r="AE84" s="3" t="s">
        <v>56</v>
      </c>
      <c r="AF84" s="3">
        <v>10</v>
      </c>
      <c r="AG84" s="3">
        <f t="shared" si="0"/>
        <v>1</v>
      </c>
      <c r="AH84" s="3">
        <f>+IF(AG84=0,0,IF(AG84=1,(SUM($AG$75:AG84)-1),1))</f>
        <v>9</v>
      </c>
      <c r="AI84" s="3">
        <f t="shared" si="1"/>
        <v>1</v>
      </c>
      <c r="AJ84" s="3">
        <f t="shared" si="2"/>
        <v>0</v>
      </c>
      <c r="AK84" s="3">
        <f t="shared" si="3"/>
        <v>1</v>
      </c>
    </row>
    <row r="85" spans="2:37" x14ac:dyDescent="0.25">
      <c r="B85" s="2"/>
      <c r="D85" s="360" t="s">
        <v>57</v>
      </c>
      <c r="E85" s="360"/>
      <c r="F85" s="16" t="s">
        <v>500</v>
      </c>
      <c r="G85" s="16">
        <v>0.6</v>
      </c>
      <c r="H85" s="16">
        <v>0.60099999999999998</v>
      </c>
      <c r="I85" s="16">
        <v>0.7</v>
      </c>
      <c r="J85" s="16">
        <v>0.70099999999999996</v>
      </c>
      <c r="K85" s="16">
        <v>0.84899999999999998</v>
      </c>
      <c r="L85" s="16">
        <v>0.85</v>
      </c>
      <c r="M85" s="16" t="s">
        <v>500</v>
      </c>
      <c r="O85" s="2"/>
      <c r="AE85" s="3" t="s">
        <v>57</v>
      </c>
      <c r="AF85" s="3">
        <v>11</v>
      </c>
      <c r="AG85" s="3">
        <f t="shared" si="0"/>
        <v>1</v>
      </c>
      <c r="AH85" s="3">
        <f>+IF(AG85=0,0,IF(AG85=1,(SUM($AG$75:AG85)-1),1))</f>
        <v>10</v>
      </c>
      <c r="AI85" s="3">
        <f t="shared" si="1"/>
        <v>1</v>
      </c>
      <c r="AJ85" s="3">
        <f t="shared" si="2"/>
        <v>0</v>
      </c>
      <c r="AK85" s="3">
        <f t="shared" si="3"/>
        <v>1</v>
      </c>
    </row>
    <row r="86" spans="2:37" x14ac:dyDescent="0.25">
      <c r="B86" s="2"/>
      <c r="D86" s="360" t="s">
        <v>58</v>
      </c>
      <c r="E86" s="360"/>
      <c r="F86" s="16" t="s">
        <v>500</v>
      </c>
      <c r="G86" s="16">
        <v>0.6</v>
      </c>
      <c r="H86" s="16">
        <v>0.60099999999999998</v>
      </c>
      <c r="I86" s="16">
        <v>0.7</v>
      </c>
      <c r="J86" s="16">
        <v>0.70099999999999996</v>
      </c>
      <c r="K86" s="16">
        <v>0.84899999999999998</v>
      </c>
      <c r="L86" s="16">
        <v>0.85</v>
      </c>
      <c r="M86" s="16" t="s">
        <v>500</v>
      </c>
      <c r="O86" s="2"/>
      <c r="AE86" s="3" t="s">
        <v>58</v>
      </c>
      <c r="AF86" s="65">
        <v>12</v>
      </c>
      <c r="AG86" s="3">
        <f t="shared" si="0"/>
        <v>1</v>
      </c>
      <c r="AH86" s="3">
        <f>+IF(AG86=0,0,IF(AG86=1,(SUM($AG$75:AG86)-1),1))</f>
        <v>11</v>
      </c>
      <c r="AI86" s="3">
        <f t="shared" si="1"/>
        <v>1</v>
      </c>
      <c r="AJ86" s="3">
        <f t="shared" si="2"/>
        <v>0</v>
      </c>
      <c r="AK86" s="3">
        <f t="shared" si="3"/>
        <v>1</v>
      </c>
    </row>
    <row r="87" spans="2:37" ht="3.75" customHeight="1" x14ac:dyDescent="0.25">
      <c r="B87" s="2"/>
      <c r="O87" s="2"/>
    </row>
    <row r="88" spans="2:37" ht="332.25" customHeight="1" x14ac:dyDescent="0.25">
      <c r="B88" s="2"/>
      <c r="D88" s="338" t="s">
        <v>59</v>
      </c>
      <c r="E88" s="339"/>
      <c r="F88" s="340" t="s">
        <v>1376</v>
      </c>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53.25" customHeight="1" x14ac:dyDescent="0.25">
      <c r="B97" s="2"/>
      <c r="D97" s="359" t="s">
        <v>35</v>
      </c>
      <c r="E97" s="359"/>
      <c r="F97" s="344" t="s">
        <v>1386</v>
      </c>
      <c r="G97" s="344"/>
      <c r="H97" s="344"/>
      <c r="I97" s="344"/>
      <c r="J97" s="344"/>
      <c r="K97" s="344"/>
      <c r="L97" s="344"/>
      <c r="M97" s="344"/>
      <c r="O97" s="2"/>
    </row>
    <row r="98" spans="2:15" ht="53.25" customHeight="1" x14ac:dyDescent="0.25">
      <c r="B98" s="2"/>
      <c r="D98" s="359" t="s">
        <v>36</v>
      </c>
      <c r="E98" s="359"/>
      <c r="F98" s="344" t="s">
        <v>1386</v>
      </c>
      <c r="G98" s="344"/>
      <c r="H98" s="344"/>
      <c r="I98" s="344"/>
      <c r="J98" s="344"/>
      <c r="K98" s="344"/>
      <c r="L98" s="344"/>
      <c r="M98" s="344"/>
      <c r="O98" s="2"/>
    </row>
    <row r="99" spans="2:15" ht="3.95" customHeight="1" x14ac:dyDescent="0.25">
      <c r="B99" s="2"/>
      <c r="O99" s="2"/>
    </row>
    <row r="100" spans="2:15" ht="60.75" customHeight="1" x14ac:dyDescent="0.25">
      <c r="B100" s="2"/>
      <c r="D100" s="338" t="s">
        <v>62</v>
      </c>
      <c r="E100" s="339"/>
      <c r="F100" s="412" t="s">
        <v>1432</v>
      </c>
      <c r="G100" s="415"/>
      <c r="H100" s="415"/>
      <c r="I100" s="415"/>
      <c r="J100" s="415"/>
      <c r="K100" s="415"/>
      <c r="L100" s="415"/>
      <c r="M100" s="416"/>
      <c r="O100" s="2"/>
    </row>
    <row r="101" spans="2:15" ht="3.95" customHeight="1" x14ac:dyDescent="0.25">
      <c r="B101" s="2"/>
      <c r="O101" s="2"/>
    </row>
    <row r="102" spans="2:15" ht="19.5" customHeight="1" x14ac:dyDescent="0.25">
      <c r="B102" s="2"/>
      <c r="D102" s="329" t="s">
        <v>64</v>
      </c>
      <c r="E102" s="330"/>
      <c r="F102" s="19" t="s">
        <v>65</v>
      </c>
      <c r="G102" s="4" t="s">
        <v>1</v>
      </c>
      <c r="K102" s="20"/>
      <c r="O102" s="2"/>
    </row>
    <row r="103" spans="2:15" ht="19.5" customHeight="1" x14ac:dyDescent="0.25">
      <c r="B103" s="2"/>
      <c r="D103" s="331"/>
      <c r="E103" s="332"/>
      <c r="F103" s="19" t="s">
        <v>66</v>
      </c>
      <c r="G103" s="4" t="s">
        <v>435</v>
      </c>
      <c r="K103" s="21"/>
      <c r="O103" s="2"/>
    </row>
    <row r="104" spans="2:15" ht="27.75" customHeight="1" x14ac:dyDescent="0.25">
      <c r="B104" s="2"/>
      <c r="D104" s="331"/>
      <c r="E104" s="332"/>
      <c r="F104" s="19" t="s">
        <v>67</v>
      </c>
      <c r="G104" s="333" t="s">
        <v>1882</v>
      </c>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Subdirector(a) Mejoramiento Organizacional</v>
      </c>
      <c r="H108" s="334"/>
      <c r="I108" s="334"/>
      <c r="J108" s="334"/>
      <c r="K108" s="334"/>
      <c r="L108" s="334"/>
      <c r="M108" s="335"/>
      <c r="O108" s="2"/>
    </row>
    <row r="109" spans="2:15" ht="17.25" customHeight="1" x14ac:dyDescent="0.25">
      <c r="B109" s="2"/>
      <c r="D109" s="331"/>
      <c r="E109" s="332"/>
      <c r="F109" s="19" t="s">
        <v>2042</v>
      </c>
      <c r="G109" s="333" t="str">
        <f>+IF(M23="Si","Coordinador(a) Planeación y Sistemas","")</f>
        <v>Coordinador(a) Planeación y Sistemas</v>
      </c>
      <c r="H109" s="334"/>
      <c r="I109" s="334"/>
      <c r="J109" s="334"/>
      <c r="K109" s="334"/>
      <c r="L109" s="334"/>
      <c r="M109" s="335"/>
      <c r="O109" s="2"/>
    </row>
    <row r="110" spans="2:15" ht="17.25" customHeight="1" x14ac:dyDescent="0.25">
      <c r="B110" s="2"/>
      <c r="D110" s="331"/>
      <c r="E110" s="332"/>
      <c r="F110" s="19" t="s">
        <v>2043</v>
      </c>
      <c r="G110" s="333" t="str">
        <f>+IF(M24="Si","Coordinador(a) Centro Zonal","")</f>
        <v>Coordinador(a) Centro Zonal</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412" priority="32">
      <formula>+IF($F$43="no",1,0)</formula>
    </cfRule>
  </conditionalFormatting>
  <conditionalFormatting sqref="F32:M33">
    <cfRule type="expression" dxfId="411" priority="31">
      <formula>+IF($Q$30="NA",1,0)</formula>
    </cfRule>
  </conditionalFormatting>
  <conditionalFormatting sqref="F33:M33">
    <cfRule type="expression" dxfId="410" priority="30">
      <formula>+IF($Q$33=0,1,0)</formula>
    </cfRule>
  </conditionalFormatting>
  <conditionalFormatting sqref="F47:M47">
    <cfRule type="expression" dxfId="409" priority="29">
      <formula>+IF($Q$47=0,1,0)</formula>
    </cfRule>
  </conditionalFormatting>
  <conditionalFormatting sqref="F73:G73">
    <cfRule type="cellIs" dxfId="408" priority="15" operator="equal">
      <formula>"optimo"</formula>
    </cfRule>
    <cfRule type="cellIs" dxfId="407" priority="16" operator="equal">
      <formula>"critico"</formula>
    </cfRule>
  </conditionalFormatting>
  <conditionalFormatting sqref="H73:I73">
    <cfRule type="cellIs" dxfId="406" priority="13" operator="equal">
      <formula>"Adecuado"</formula>
    </cfRule>
    <cfRule type="cellIs" dxfId="405" priority="14" operator="equal">
      <formula>"en riesgo"</formula>
    </cfRule>
  </conditionalFormatting>
  <conditionalFormatting sqref="J73:K73">
    <cfRule type="cellIs" dxfId="404" priority="11" operator="equal">
      <formula>"Adecuado"</formula>
    </cfRule>
    <cfRule type="cellIs" dxfId="403" priority="12" operator="equal">
      <formula>"en riesgo"</formula>
    </cfRule>
  </conditionalFormatting>
  <conditionalFormatting sqref="L73:M73">
    <cfRule type="cellIs" dxfId="402" priority="9" operator="equal">
      <formula>"optimo"</formula>
    </cfRule>
    <cfRule type="cellIs" dxfId="401" priority="10" operator="equal">
      <formula>"critico"</formula>
    </cfRule>
  </conditionalFormatting>
  <conditionalFormatting sqref="F75:J86 M75:M86">
    <cfRule type="expression" dxfId="400" priority="8">
      <formula>+IF($AK75=0,1)</formula>
    </cfRule>
  </conditionalFormatting>
  <conditionalFormatting sqref="F103:G104">
    <cfRule type="expression" dxfId="399" priority="7">
      <formula>+IF($G$102="No",1,0)</formula>
    </cfRule>
  </conditionalFormatting>
  <conditionalFormatting sqref="F51">
    <cfRule type="expression" dxfId="398" priority="6">
      <formula>+IF($F$43="no",1,0)</formula>
    </cfRule>
  </conditionalFormatting>
  <conditionalFormatting sqref="I51">
    <cfRule type="expression" dxfId="397" priority="5">
      <formula>+IF($F$51="no",1,0)</formula>
    </cfRule>
  </conditionalFormatting>
  <conditionalFormatting sqref="K75:L86">
    <cfRule type="expression" dxfId="396" priority="4">
      <formula>+IF($AK75=0,1)</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4">
    <tabColor rgb="FF0070C0"/>
  </sheetPr>
  <dimension ref="B1:AV113"/>
  <sheetViews>
    <sheetView zoomScale="90" zoomScaleNormal="90" workbookViewId="0">
      <selection activeCell="R33" sqref="R33"/>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102" t="s">
        <v>4</v>
      </c>
      <c r="H10" s="4" t="s">
        <v>1878</v>
      </c>
      <c r="O10" s="2"/>
    </row>
    <row r="11" spans="2:24" ht="3.95" customHeight="1" x14ac:dyDescent="0.25">
      <c r="B11" s="2"/>
      <c r="D11" s="6"/>
      <c r="O11" s="2"/>
    </row>
    <row r="12" spans="2:24" ht="36" customHeight="1" x14ac:dyDescent="0.25">
      <c r="B12" s="2"/>
      <c r="D12" s="338" t="s">
        <v>5</v>
      </c>
      <c r="E12" s="339"/>
      <c r="F12" s="340" t="s">
        <v>2008</v>
      </c>
      <c r="G12" s="341"/>
      <c r="H12" s="341"/>
      <c r="I12" s="341"/>
      <c r="J12" s="341"/>
      <c r="K12" s="341"/>
      <c r="L12" s="341"/>
      <c r="M12" s="342"/>
      <c r="O12" s="2"/>
      <c r="W12" s="3" t="str">
        <f>+F23</f>
        <v>Cuatrimestral</v>
      </c>
      <c r="X12" s="3" t="str">
        <f>+F71</f>
        <v>Abril</v>
      </c>
    </row>
    <row r="13" spans="2:24" ht="3.95" customHeight="1" x14ac:dyDescent="0.25">
      <c r="B13" s="2"/>
      <c r="O13" s="2"/>
    </row>
    <row r="14" spans="2:24" ht="38.25" customHeight="1" x14ac:dyDescent="0.25">
      <c r="B14" s="2"/>
      <c r="D14" s="338" t="s">
        <v>6</v>
      </c>
      <c r="E14" s="339"/>
      <c r="F14" s="340" t="s">
        <v>2002</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103" t="s">
        <v>7</v>
      </c>
      <c r="O20" s="2"/>
    </row>
    <row r="21" spans="2:17" ht="3.95" customHeight="1" x14ac:dyDescent="0.25">
      <c r="B21" s="2"/>
      <c r="O21" s="2"/>
    </row>
    <row r="22" spans="2:17" ht="18.75" customHeight="1" x14ac:dyDescent="0.25">
      <c r="B22" s="2"/>
      <c r="D22" s="337" t="s">
        <v>8</v>
      </c>
      <c r="E22" s="337"/>
      <c r="F22" s="17" t="s">
        <v>1683</v>
      </c>
      <c r="G22" s="337" t="s">
        <v>9</v>
      </c>
      <c r="H22" s="337"/>
      <c r="I22" s="17">
        <v>0.75</v>
      </c>
      <c r="K22" s="337" t="s">
        <v>10</v>
      </c>
      <c r="L22" s="337"/>
      <c r="M22" s="9" t="s">
        <v>496</v>
      </c>
      <c r="O22" s="2"/>
    </row>
    <row r="23" spans="2:17" ht="19.5" customHeight="1" x14ac:dyDescent="0.25">
      <c r="B23" s="2"/>
      <c r="D23" s="337" t="s">
        <v>11</v>
      </c>
      <c r="E23" s="337"/>
      <c r="F23" s="4" t="s">
        <v>1069</v>
      </c>
      <c r="G23" s="337" t="s">
        <v>12</v>
      </c>
      <c r="H23" s="337"/>
      <c r="I23" s="4" t="s">
        <v>497</v>
      </c>
      <c r="K23" s="337" t="s">
        <v>13</v>
      </c>
      <c r="L23" s="337"/>
      <c r="M23" s="9" t="s">
        <v>2</v>
      </c>
      <c r="O23" s="2"/>
    </row>
    <row r="24" spans="2:17" ht="20.100000000000001" customHeight="1" x14ac:dyDescent="0.25">
      <c r="B24" s="2"/>
      <c r="D24" s="337" t="s">
        <v>14</v>
      </c>
      <c r="E24" s="337"/>
      <c r="F24" s="4" t="s">
        <v>498</v>
      </c>
      <c r="G24" s="337" t="s">
        <v>15</v>
      </c>
      <c r="H24" s="337"/>
      <c r="I24" s="4" t="s">
        <v>103</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103"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NA</v>
      </c>
    </row>
    <row r="31" spans="2:17" ht="24" customHeight="1" x14ac:dyDescent="0.25">
      <c r="B31" s="2"/>
      <c r="D31" s="347"/>
      <c r="E31" s="348"/>
      <c r="F31" s="4" t="s">
        <v>425</v>
      </c>
      <c r="G31" s="340" t="s">
        <v>426</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1602</v>
      </c>
      <c r="G33" s="340"/>
      <c r="H33" s="341"/>
      <c r="I33" s="341"/>
      <c r="J33" s="341"/>
      <c r="K33" s="341"/>
      <c r="L33" s="341"/>
      <c r="M33" s="342"/>
      <c r="O33" s="2"/>
      <c r="Q33" s="3" t="str">
        <f>+IFERROR(IF(VLOOKUP(G33,base!$A$26:$C$40,3,FALSE)=F31,1,0),"")</f>
        <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1716</v>
      </c>
      <c r="G35" s="340" t="s">
        <v>1592</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103"/>
      <c r="O40" s="2"/>
    </row>
    <row r="41" spans="2:17" x14ac:dyDescent="0.25">
      <c r="B41" s="2"/>
      <c r="D41" s="103" t="s">
        <v>25</v>
      </c>
      <c r="O41" s="2"/>
    </row>
    <row r="42" spans="2:17" ht="3.95" customHeight="1" x14ac:dyDescent="0.25">
      <c r="B42" s="2"/>
      <c r="O42" s="2"/>
    </row>
    <row r="43" spans="2:17" ht="20.100000000000001" customHeight="1" x14ac:dyDescent="0.25">
      <c r="B43" s="2"/>
      <c r="D43" s="337" t="s">
        <v>26</v>
      </c>
      <c r="E43" s="337"/>
      <c r="F43" s="4" t="s">
        <v>2</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c r="G45" s="340"/>
      <c r="H45" s="341"/>
      <c r="I45" s="341"/>
      <c r="J45" s="341"/>
      <c r="K45" s="341"/>
      <c r="L45" s="341"/>
      <c r="M45" s="342"/>
      <c r="O45" s="2"/>
      <c r="Q45" s="3" t="str">
        <f>+IFERROR(VLOOKUP(G45,base!$A$41:$C$45,3,FALSE),"")</f>
        <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1624</v>
      </c>
      <c r="G47" s="340"/>
      <c r="H47" s="341"/>
      <c r="I47" s="341"/>
      <c r="J47" s="341"/>
      <c r="K47" s="341"/>
      <c r="L47" s="341"/>
      <c r="M47" s="342"/>
      <c r="O47" s="2"/>
      <c r="Q47" s="3" t="e">
        <f>+IF(VLOOKUP(G47,base!$A$46:$C$66,3,FALSE)=F45,1,0)</f>
        <v>#N/A</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c r="G49" s="340"/>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29"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103" t="s">
        <v>33</v>
      </c>
      <c r="O57" s="2"/>
    </row>
    <row r="58" spans="2:15" ht="3.95" customHeight="1" x14ac:dyDescent="0.25">
      <c r="B58" s="2"/>
      <c r="O58" s="2"/>
    </row>
    <row r="59" spans="2:15" ht="37.5" customHeight="1" x14ac:dyDescent="0.25">
      <c r="B59" s="2"/>
      <c r="D59" s="337" t="s">
        <v>34</v>
      </c>
      <c r="E59" s="337"/>
      <c r="F59" s="344" t="s">
        <v>2009</v>
      </c>
      <c r="G59" s="344"/>
      <c r="H59" s="344"/>
      <c r="I59" s="344"/>
      <c r="J59" s="344"/>
      <c r="K59" s="344"/>
      <c r="L59" s="344"/>
      <c r="M59" s="344"/>
      <c r="O59" s="2"/>
    </row>
    <row r="60" spans="2:15" ht="37.5" customHeight="1" x14ac:dyDescent="0.25">
      <c r="B60" s="2"/>
      <c r="D60" s="359" t="s">
        <v>35</v>
      </c>
      <c r="E60" s="359"/>
      <c r="F60" s="344" t="s">
        <v>2003</v>
      </c>
      <c r="G60" s="344"/>
      <c r="H60" s="344"/>
      <c r="I60" s="344"/>
      <c r="J60" s="344"/>
      <c r="K60" s="344"/>
      <c r="L60" s="344"/>
      <c r="M60" s="344"/>
      <c r="O60" s="2"/>
    </row>
    <row r="61" spans="2:15" ht="37.5" customHeight="1" x14ac:dyDescent="0.25">
      <c r="B61" s="2"/>
      <c r="D61" s="359" t="s">
        <v>36</v>
      </c>
      <c r="E61" s="359"/>
      <c r="F61" s="340" t="s">
        <v>2004</v>
      </c>
      <c r="G61" s="341"/>
      <c r="H61" s="341"/>
      <c r="I61" s="341"/>
      <c r="J61" s="341"/>
      <c r="K61" s="341"/>
      <c r="L61" s="341"/>
      <c r="M61" s="342"/>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103"/>
      <c r="E68" s="103"/>
      <c r="O68" s="2"/>
    </row>
    <row r="69" spans="2:37" ht="18.75" customHeight="1" x14ac:dyDescent="0.25">
      <c r="B69" s="2"/>
      <c r="O69" s="2"/>
      <c r="U69" s="3">
        <f>+IFERROR(VLOOKUP(F23,base!$A$1:$B$8,2,FALSE),"")</f>
        <v>4</v>
      </c>
    </row>
    <row r="70" spans="2:37" ht="3.95" customHeight="1" x14ac:dyDescent="0.25">
      <c r="B70" s="2"/>
      <c r="D70" s="103"/>
      <c r="E70" s="103"/>
      <c r="O70" s="2"/>
    </row>
    <row r="71" spans="2:37" ht="18.75" customHeight="1" x14ac:dyDescent="0.25">
      <c r="B71" s="2"/>
      <c r="D71" s="343" t="s">
        <v>39</v>
      </c>
      <c r="E71" s="343"/>
      <c r="F71" s="4" t="s">
        <v>48</v>
      </c>
      <c r="G71" s="3">
        <v>3</v>
      </c>
      <c r="O71" s="2"/>
    </row>
    <row r="72" spans="2:37" ht="3.95" customHeight="1" x14ac:dyDescent="0.25">
      <c r="B72" s="2"/>
      <c r="D72" s="103"/>
      <c r="E72" s="103"/>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c r="G75" s="16"/>
      <c r="H75" s="16"/>
      <c r="I75" s="16"/>
      <c r="J75" s="16"/>
      <c r="K75" s="16"/>
      <c r="L75" s="16"/>
      <c r="M75" s="16"/>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c r="G76" s="16"/>
      <c r="H76" s="16"/>
      <c r="I76" s="16"/>
      <c r="J76" s="16"/>
      <c r="K76" s="16"/>
      <c r="L76" s="16"/>
      <c r="M76" s="16"/>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c r="G77" s="16"/>
      <c r="H77" s="16"/>
      <c r="I77" s="16"/>
      <c r="J77" s="16"/>
      <c r="K77" s="16"/>
      <c r="L77" s="16"/>
      <c r="M77" s="16"/>
      <c r="O77" s="2"/>
      <c r="AE77" s="3" t="s">
        <v>47</v>
      </c>
      <c r="AF77" s="3">
        <v>3</v>
      </c>
      <c r="AG77" s="3">
        <f t="shared" si="0"/>
        <v>1</v>
      </c>
      <c r="AH77" s="3">
        <f>+IF(AG77=0,0,IF(AG77=1,(SUM($AG$75:AG77)-1),1))</f>
        <v>0</v>
      </c>
      <c r="AI77" s="3">
        <f t="shared" si="1"/>
        <v>0</v>
      </c>
      <c r="AJ77" s="3">
        <f t="shared" si="2"/>
        <v>0</v>
      </c>
      <c r="AK77" s="3">
        <f t="shared" si="3"/>
        <v>0</v>
      </c>
    </row>
    <row r="78" spans="2:37" x14ac:dyDescent="0.25">
      <c r="B78" s="2"/>
      <c r="D78" s="360" t="s">
        <v>48</v>
      </c>
      <c r="E78" s="360"/>
      <c r="F78" s="16"/>
      <c r="G78" s="16">
        <v>0.1</v>
      </c>
      <c r="H78" s="16">
        <f>+G78+0.001</f>
        <v>0.10100000000000001</v>
      </c>
      <c r="I78" s="16">
        <v>0.2</v>
      </c>
      <c r="J78" s="16">
        <f>+I78+0.001</f>
        <v>0.20100000000000001</v>
      </c>
      <c r="K78" s="16">
        <f>+L78-0.001</f>
        <v>0.29899999999999999</v>
      </c>
      <c r="L78" s="16">
        <v>0.3</v>
      </c>
      <c r="M78" s="16"/>
      <c r="O78" s="2"/>
      <c r="AE78" s="3" t="s">
        <v>48</v>
      </c>
      <c r="AF78" s="3">
        <v>4</v>
      </c>
      <c r="AG78" s="3">
        <f t="shared" si="0"/>
        <v>1</v>
      </c>
      <c r="AH78" s="3">
        <f>+IF(AG78=0,0,IF(AG78=1,(SUM($AG$75:AG78)-1),1))</f>
        <v>1</v>
      </c>
      <c r="AI78" s="3">
        <f t="shared" si="1"/>
        <v>0</v>
      </c>
      <c r="AJ78" s="3">
        <f t="shared" si="2"/>
        <v>1</v>
      </c>
      <c r="AK78" s="3">
        <f t="shared" si="3"/>
        <v>1</v>
      </c>
    </row>
    <row r="79" spans="2:37" x14ac:dyDescent="0.25">
      <c r="B79" s="2"/>
      <c r="D79" s="360" t="s">
        <v>49</v>
      </c>
      <c r="E79" s="360"/>
      <c r="F79" s="16"/>
      <c r="G79" s="16"/>
      <c r="H79" s="16"/>
      <c r="I79" s="16"/>
      <c r="J79" s="16"/>
      <c r="K79" s="16"/>
      <c r="L79" s="16"/>
      <c r="M79" s="16"/>
      <c r="O79" s="2"/>
      <c r="AE79" s="3" t="s">
        <v>49</v>
      </c>
      <c r="AF79" s="3">
        <v>5</v>
      </c>
      <c r="AG79" s="3">
        <f t="shared" si="0"/>
        <v>1</v>
      </c>
      <c r="AH79" s="3">
        <f>+IF(AG79=0,0,IF(AG79=1,(SUM($AG$75:AG79)-1),1))</f>
        <v>2</v>
      </c>
      <c r="AI79" s="3">
        <f t="shared" si="1"/>
        <v>0</v>
      </c>
      <c r="AJ79" s="3">
        <f t="shared" si="2"/>
        <v>0</v>
      </c>
      <c r="AK79" s="3">
        <f t="shared" si="3"/>
        <v>0</v>
      </c>
    </row>
    <row r="80" spans="2:37" x14ac:dyDescent="0.25">
      <c r="B80" s="2"/>
      <c r="D80" s="360" t="s">
        <v>50</v>
      </c>
      <c r="E80" s="360"/>
      <c r="F80" s="16"/>
      <c r="G80" s="16"/>
      <c r="H80" s="16"/>
      <c r="I80" s="16"/>
      <c r="J80" s="16"/>
      <c r="K80" s="16"/>
      <c r="L80" s="16"/>
      <c r="M80" s="16"/>
      <c r="O80" s="2"/>
      <c r="AE80" s="3" t="s">
        <v>50</v>
      </c>
      <c r="AF80" s="3">
        <v>6</v>
      </c>
      <c r="AG80" s="3">
        <f t="shared" si="0"/>
        <v>1</v>
      </c>
      <c r="AH80" s="3">
        <f>+IF(AG80=0,0,IF(AG80=1,(SUM($AG$75:AG80)-1),1))</f>
        <v>3</v>
      </c>
      <c r="AI80" s="3">
        <f t="shared" si="1"/>
        <v>0</v>
      </c>
      <c r="AJ80" s="3">
        <f t="shared" si="2"/>
        <v>0</v>
      </c>
      <c r="AK80" s="3">
        <f t="shared" si="3"/>
        <v>0</v>
      </c>
    </row>
    <row r="81" spans="2:37" x14ac:dyDescent="0.25">
      <c r="B81" s="2"/>
      <c r="D81" s="360" t="s">
        <v>53</v>
      </c>
      <c r="E81" s="360"/>
      <c r="F81" s="35"/>
      <c r="G81" s="35"/>
      <c r="H81" s="35"/>
      <c r="I81" s="35"/>
      <c r="J81" s="35"/>
      <c r="K81" s="35"/>
      <c r="L81" s="35"/>
      <c r="M81" s="35"/>
      <c r="O81" s="2"/>
      <c r="AE81" s="3" t="s">
        <v>53</v>
      </c>
      <c r="AF81" s="3">
        <v>7</v>
      </c>
      <c r="AG81" s="3">
        <f t="shared" si="0"/>
        <v>1</v>
      </c>
      <c r="AH81" s="3">
        <f>+IF(AG81=0,0,IF(AG81=1,(SUM($AG$75:AG81)-1),1))</f>
        <v>4</v>
      </c>
      <c r="AI81" s="3">
        <f t="shared" si="1"/>
        <v>1</v>
      </c>
      <c r="AJ81" s="3">
        <f t="shared" si="2"/>
        <v>0</v>
      </c>
      <c r="AK81" s="3">
        <f t="shared" si="3"/>
        <v>1</v>
      </c>
    </row>
    <row r="82" spans="2:37" x14ac:dyDescent="0.25">
      <c r="B82" s="2"/>
      <c r="D82" s="360" t="s">
        <v>54</v>
      </c>
      <c r="E82" s="360"/>
      <c r="F82" s="16"/>
      <c r="G82" s="16">
        <v>0.3</v>
      </c>
      <c r="H82" s="16">
        <f>+G82+0.001</f>
        <v>0.30099999999999999</v>
      </c>
      <c r="I82" s="16">
        <v>0.4</v>
      </c>
      <c r="J82" s="16">
        <f>+I82+0.001</f>
        <v>0.40100000000000002</v>
      </c>
      <c r="K82" s="16">
        <f>+L82-0.001</f>
        <v>0.59899999999999998</v>
      </c>
      <c r="L82" s="16">
        <v>0.6</v>
      </c>
      <c r="M82" s="16"/>
      <c r="O82" s="2"/>
      <c r="AE82" s="3" t="s">
        <v>54</v>
      </c>
      <c r="AF82" s="3">
        <v>8</v>
      </c>
      <c r="AG82" s="3">
        <f t="shared" si="0"/>
        <v>1</v>
      </c>
      <c r="AH82" s="3">
        <f>+IF(AG82=0,0,IF(AG82=1,(SUM($AG$75:AG82)-1),1))</f>
        <v>5</v>
      </c>
      <c r="AI82" s="3">
        <f t="shared" si="1"/>
        <v>0</v>
      </c>
      <c r="AJ82" s="3">
        <f t="shared" si="2"/>
        <v>0</v>
      </c>
      <c r="AK82" s="3">
        <f t="shared" si="3"/>
        <v>0</v>
      </c>
    </row>
    <row r="83" spans="2:37" x14ac:dyDescent="0.25">
      <c r="B83" s="2"/>
      <c r="D83" s="360" t="s">
        <v>55</v>
      </c>
      <c r="E83" s="360"/>
      <c r="F83" s="16"/>
      <c r="G83" s="16"/>
      <c r="H83" s="16"/>
      <c r="I83" s="16"/>
      <c r="J83" s="16"/>
      <c r="K83" s="16"/>
      <c r="L83" s="16"/>
      <c r="M83" s="16"/>
      <c r="O83" s="2"/>
      <c r="AE83" s="3" t="s">
        <v>55</v>
      </c>
      <c r="AF83" s="3">
        <v>9</v>
      </c>
      <c r="AG83" s="3">
        <f t="shared" si="0"/>
        <v>1</v>
      </c>
      <c r="AH83" s="3">
        <f>+IF(AG83=0,0,IF(AG83=1,(SUM($AG$75:AG83)-1),1))</f>
        <v>6</v>
      </c>
      <c r="AI83" s="3">
        <f t="shared" si="1"/>
        <v>0</v>
      </c>
      <c r="AJ83" s="3">
        <f t="shared" si="2"/>
        <v>0</v>
      </c>
      <c r="AK83" s="3">
        <f t="shared" si="3"/>
        <v>0</v>
      </c>
    </row>
    <row r="84" spans="2:37" x14ac:dyDescent="0.25">
      <c r="B84" s="2"/>
      <c r="D84" s="360" t="s">
        <v>56</v>
      </c>
      <c r="E84" s="360"/>
      <c r="F84" s="16"/>
      <c r="G84" s="16"/>
      <c r="H84" s="16"/>
      <c r="I84" s="16"/>
      <c r="J84" s="16"/>
      <c r="K84" s="16"/>
      <c r="L84" s="16"/>
      <c r="M84" s="16"/>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60" t="s">
        <v>57</v>
      </c>
      <c r="E85" s="360"/>
      <c r="F85" s="35"/>
      <c r="G85" s="35"/>
      <c r="H85" s="35"/>
      <c r="I85" s="35"/>
      <c r="J85" s="35"/>
      <c r="K85" s="35"/>
      <c r="L85" s="35"/>
      <c r="M85" s="35"/>
      <c r="O85" s="2"/>
      <c r="AE85" s="3" t="s">
        <v>57</v>
      </c>
      <c r="AF85" s="3">
        <v>11</v>
      </c>
      <c r="AG85" s="3">
        <f t="shared" si="0"/>
        <v>1</v>
      </c>
      <c r="AH85" s="3">
        <f>+IF(AG85=0,0,IF(AG85=1,(SUM($AG$75:AG85)-1),1))</f>
        <v>8</v>
      </c>
      <c r="AI85" s="3">
        <f t="shared" si="1"/>
        <v>1</v>
      </c>
      <c r="AJ85" s="3">
        <f t="shared" si="2"/>
        <v>0</v>
      </c>
      <c r="AK85" s="3">
        <f t="shared" si="3"/>
        <v>1</v>
      </c>
    </row>
    <row r="86" spans="2:37" x14ac:dyDescent="0.25">
      <c r="B86" s="2"/>
      <c r="D86" s="360" t="s">
        <v>58</v>
      </c>
      <c r="E86" s="360"/>
      <c r="F86" s="16"/>
      <c r="G86" s="16">
        <v>0.6</v>
      </c>
      <c r="H86" s="16">
        <f>+G86+0.001</f>
        <v>0.60099999999999998</v>
      </c>
      <c r="I86" s="16">
        <v>0.7</v>
      </c>
      <c r="J86" s="16">
        <f>+I86+0.001</f>
        <v>0.70099999999999996</v>
      </c>
      <c r="K86" s="16">
        <f>+L86-0.001</f>
        <v>0.749</v>
      </c>
      <c r="L86" s="16">
        <v>0.75</v>
      </c>
      <c r="M86" s="16"/>
      <c r="O86" s="2"/>
      <c r="AE86" s="3" t="s">
        <v>58</v>
      </c>
      <c r="AF86" s="65">
        <v>12</v>
      </c>
      <c r="AG86" s="3">
        <f t="shared" si="0"/>
        <v>1</v>
      </c>
      <c r="AH86" s="3">
        <f>+IF(AG86=0,0,IF(AG86=1,(SUM($AG$75:AG86)-1),1))</f>
        <v>9</v>
      </c>
      <c r="AI86" s="3">
        <f t="shared" si="1"/>
        <v>0</v>
      </c>
      <c r="AJ86" s="3">
        <f t="shared" si="2"/>
        <v>0</v>
      </c>
      <c r="AK86" s="3">
        <f t="shared" si="3"/>
        <v>0</v>
      </c>
    </row>
    <row r="87" spans="2:37" ht="3.75" customHeight="1" x14ac:dyDescent="0.25">
      <c r="B87" s="2"/>
      <c r="O87" s="2"/>
    </row>
    <row r="88" spans="2:37" ht="73.5" customHeight="1" x14ac:dyDescent="0.25">
      <c r="B88" s="2"/>
      <c r="D88" s="338" t="s">
        <v>59</v>
      </c>
      <c r="E88" s="339"/>
      <c r="F88" s="340"/>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134" t="s">
        <v>2005</v>
      </c>
      <c r="K92" s="2"/>
      <c r="L92" s="2"/>
      <c r="M92" s="2"/>
      <c r="N92" s="2"/>
      <c r="O92" s="2"/>
    </row>
    <row r="93" spans="2:37" ht="3.95" customHeight="1" x14ac:dyDescent="0.25">
      <c r="B93" s="2"/>
      <c r="O93" s="2"/>
    </row>
    <row r="94" spans="2:37" x14ac:dyDescent="0.25">
      <c r="B94" s="2"/>
      <c r="D94" s="103" t="s">
        <v>60</v>
      </c>
      <c r="O94" s="2"/>
    </row>
    <row r="95" spans="2:37" ht="3.95" customHeight="1" x14ac:dyDescent="0.25">
      <c r="B95" s="2"/>
      <c r="O95" s="2"/>
    </row>
    <row r="96" spans="2:37" ht="20.100000000000001" customHeight="1" x14ac:dyDescent="0.25">
      <c r="B96" s="2"/>
      <c r="D96" s="337" t="s">
        <v>61</v>
      </c>
      <c r="E96" s="337"/>
      <c r="O96" s="2"/>
    </row>
    <row r="97" spans="2:15" ht="36" customHeight="1" x14ac:dyDescent="0.25">
      <c r="B97" s="2"/>
      <c r="D97" s="359" t="s">
        <v>35</v>
      </c>
      <c r="E97" s="359"/>
      <c r="F97" s="344" t="s">
        <v>2006</v>
      </c>
      <c r="G97" s="344"/>
      <c r="H97" s="344"/>
      <c r="I97" s="344"/>
      <c r="J97" s="344"/>
      <c r="K97" s="344"/>
      <c r="L97" s="344"/>
      <c r="M97" s="344"/>
      <c r="O97" s="2"/>
    </row>
    <row r="98" spans="2:15" ht="36" customHeight="1" x14ac:dyDescent="0.25">
      <c r="B98" s="2"/>
      <c r="D98" s="359" t="s">
        <v>36</v>
      </c>
      <c r="E98" s="359"/>
      <c r="F98" s="344" t="s">
        <v>2007</v>
      </c>
      <c r="G98" s="344"/>
      <c r="H98" s="344"/>
      <c r="I98" s="344"/>
      <c r="J98" s="344"/>
      <c r="K98" s="344"/>
      <c r="L98" s="344"/>
      <c r="M98" s="344"/>
      <c r="O98" s="2"/>
    </row>
    <row r="99" spans="2:15" ht="3.95" customHeight="1" x14ac:dyDescent="0.25">
      <c r="B99" s="2"/>
      <c r="O99" s="2"/>
    </row>
    <row r="100" spans="2:15" ht="60.75" customHeight="1" x14ac:dyDescent="0.25">
      <c r="B100" s="2"/>
      <c r="D100" s="338" t="s">
        <v>62</v>
      </c>
      <c r="E100" s="339"/>
      <c r="F100" s="344"/>
      <c r="G100" s="344"/>
      <c r="H100" s="344"/>
      <c r="I100" s="344"/>
      <c r="J100" s="344"/>
      <c r="K100" s="344"/>
      <c r="L100" s="344"/>
      <c r="M100" s="344"/>
      <c r="O100" s="2"/>
    </row>
    <row r="101" spans="2:15" ht="3.95" customHeight="1" x14ac:dyDescent="0.25">
      <c r="B101" s="2"/>
      <c r="O101" s="2"/>
    </row>
    <row r="102" spans="2:15" ht="19.5" customHeight="1" x14ac:dyDescent="0.25">
      <c r="B102" s="2"/>
      <c r="D102" s="329" t="s">
        <v>64</v>
      </c>
      <c r="E102" s="330"/>
      <c r="F102" s="19" t="s">
        <v>65</v>
      </c>
      <c r="G102" s="4" t="s">
        <v>2</v>
      </c>
      <c r="K102" s="20"/>
      <c r="O102" s="2"/>
    </row>
    <row r="103" spans="2:15" ht="19.5" customHeight="1" x14ac:dyDescent="0.25">
      <c r="B103" s="2"/>
      <c r="D103" s="331"/>
      <c r="E103" s="332"/>
      <c r="F103" s="19" t="s">
        <v>66</v>
      </c>
      <c r="G103" s="4"/>
      <c r="K103" s="21"/>
      <c r="O103" s="2"/>
    </row>
    <row r="104" spans="2:15" ht="27.75" customHeight="1" x14ac:dyDescent="0.25">
      <c r="B104" s="2"/>
      <c r="D104" s="331"/>
      <c r="E104" s="332"/>
      <c r="F104" s="19" t="s">
        <v>67</v>
      </c>
      <c r="G104" s="333"/>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Subdirector(a) Mejoramiento Organizacional</v>
      </c>
      <c r="H108" s="334"/>
      <c r="I108" s="334"/>
      <c r="J108" s="334"/>
      <c r="K108" s="334"/>
      <c r="L108" s="334"/>
      <c r="M108" s="335"/>
      <c r="O108" s="2"/>
    </row>
    <row r="109" spans="2:15" ht="17.25" customHeight="1" x14ac:dyDescent="0.25">
      <c r="B109" s="2"/>
      <c r="D109" s="331"/>
      <c r="E109" s="332"/>
      <c r="F109" s="19" t="s">
        <v>2042</v>
      </c>
      <c r="G109" s="333" t="str">
        <f>+IF(M23="Si","Coordinador(a) Planeación y Sistemas","")</f>
        <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0:E100"/>
    <mergeCell ref="F100:M100"/>
    <mergeCell ref="D102:E104"/>
    <mergeCell ref="G104:M104"/>
    <mergeCell ref="D106:E106"/>
    <mergeCell ref="F106:M106"/>
    <mergeCell ref="D98:E98"/>
    <mergeCell ref="F98:M98"/>
    <mergeCell ref="D81:E81"/>
    <mergeCell ref="D82:E82"/>
    <mergeCell ref="D83:E83"/>
    <mergeCell ref="D84:E84"/>
    <mergeCell ref="D85:E85"/>
    <mergeCell ref="D86:E86"/>
    <mergeCell ref="D88:E88"/>
    <mergeCell ref="F88:M88"/>
    <mergeCell ref="D96:E96"/>
    <mergeCell ref="D97:E97"/>
    <mergeCell ref="F97:M97"/>
    <mergeCell ref="D80:E80"/>
    <mergeCell ref="D61:E61"/>
    <mergeCell ref="F61:M61"/>
    <mergeCell ref="D67:E67"/>
    <mergeCell ref="D71:E71"/>
    <mergeCell ref="D73:E74"/>
    <mergeCell ref="F73:G73"/>
    <mergeCell ref="H73:I73"/>
    <mergeCell ref="J73:K73"/>
    <mergeCell ref="L73:M73"/>
    <mergeCell ref="D75:E75"/>
    <mergeCell ref="D76:E76"/>
    <mergeCell ref="D77:E77"/>
    <mergeCell ref="D78:E78"/>
    <mergeCell ref="D79:E79"/>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K75:L77">
    <cfRule type="expression" dxfId="395" priority="8">
      <formula>+IF($AK75=0,1)</formula>
    </cfRule>
  </conditionalFormatting>
  <conditionalFormatting sqref="K79:L80 K83:L84">
    <cfRule type="expression" dxfId="394" priority="4">
      <formula>+IF($AK79=0,1)</formula>
    </cfRule>
  </conditionalFormatting>
  <conditionalFormatting sqref="F44:M46 F48:M49">
    <cfRule type="expression" dxfId="393" priority="27">
      <formula>+IF($F$43="no",1,0)</formula>
    </cfRule>
  </conditionalFormatting>
  <conditionalFormatting sqref="F32:M32">
    <cfRule type="expression" dxfId="392" priority="26">
      <formula>+IF($Q$30="NA",1,0)</formula>
    </cfRule>
  </conditionalFormatting>
  <conditionalFormatting sqref="F73:G73">
    <cfRule type="cellIs" dxfId="391" priority="24" operator="equal">
      <formula>"optimo"</formula>
    </cfRule>
    <cfRule type="cellIs" dxfId="390" priority="25" operator="equal">
      <formula>"critico"</formula>
    </cfRule>
  </conditionalFormatting>
  <conditionalFormatting sqref="H73:I73">
    <cfRule type="cellIs" dxfId="389" priority="22" operator="equal">
      <formula>"Adecuado"</formula>
    </cfRule>
    <cfRule type="cellIs" dxfId="388" priority="23" operator="equal">
      <formula>"en riesgo"</formula>
    </cfRule>
  </conditionalFormatting>
  <conditionalFormatting sqref="J73:K73">
    <cfRule type="cellIs" dxfId="387" priority="20" operator="equal">
      <formula>"Adecuado"</formula>
    </cfRule>
    <cfRule type="cellIs" dxfId="386" priority="21" operator="equal">
      <formula>"en riesgo"</formula>
    </cfRule>
  </conditionalFormatting>
  <conditionalFormatting sqref="L73:M73">
    <cfRule type="cellIs" dxfId="385" priority="18" operator="equal">
      <formula>"optimo"</formula>
    </cfRule>
    <cfRule type="cellIs" dxfId="384" priority="19" operator="equal">
      <formula>"critico"</formula>
    </cfRule>
  </conditionalFormatting>
  <conditionalFormatting sqref="F75:F80 M75:M80 M83:M84 F83:F84">
    <cfRule type="expression" dxfId="383" priority="17">
      <formula>+IF($AK75=0,1)</formula>
    </cfRule>
  </conditionalFormatting>
  <conditionalFormatting sqref="F103:G104">
    <cfRule type="expression" dxfId="382" priority="16">
      <formula>+IF($G$102="No",1,0)</formula>
    </cfRule>
  </conditionalFormatting>
  <conditionalFormatting sqref="F51">
    <cfRule type="expression" dxfId="381" priority="15">
      <formula>+IF($F$43="no",1,0)</formula>
    </cfRule>
  </conditionalFormatting>
  <conditionalFormatting sqref="I51">
    <cfRule type="expression" dxfId="380" priority="14">
      <formula>+IF($F$51="no",1,0)</formula>
    </cfRule>
  </conditionalFormatting>
  <conditionalFormatting sqref="F33:M33">
    <cfRule type="expression" dxfId="379" priority="13">
      <formula>+IF($Q$30="NA",1,0)</formula>
    </cfRule>
  </conditionalFormatting>
  <conditionalFormatting sqref="F33:M33">
    <cfRule type="expression" dxfId="378" priority="12">
      <formula>+IF($Q$33=0,1,0)</formula>
    </cfRule>
  </conditionalFormatting>
  <conditionalFormatting sqref="F47:M47">
    <cfRule type="expression" dxfId="377" priority="11">
      <formula>+IF($F$43="no",1,0)</formula>
    </cfRule>
  </conditionalFormatting>
  <conditionalFormatting sqref="F47:M47">
    <cfRule type="expression" dxfId="376" priority="10">
      <formula>+IF($Q$47=0,1,0)</formula>
    </cfRule>
  </conditionalFormatting>
  <conditionalFormatting sqref="G75:J77">
    <cfRule type="expression" dxfId="375" priority="9">
      <formula>+IF($AK75=0,1)</formula>
    </cfRule>
  </conditionalFormatting>
  <conditionalFormatting sqref="G78:I78">
    <cfRule type="expression" dxfId="374" priority="7">
      <formula>+IF($AK78=0,1)</formula>
    </cfRule>
  </conditionalFormatting>
  <conditionalFormatting sqref="K78:L78">
    <cfRule type="expression" dxfId="373" priority="6">
      <formula>+IF($AK78=0,1)</formula>
    </cfRule>
  </conditionalFormatting>
  <conditionalFormatting sqref="G79:J80 G83:J84">
    <cfRule type="expression" dxfId="372" priority="5">
      <formula>+IF($AK79=0,1)</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0">
    <tabColor rgb="FF0070C0"/>
  </sheetPr>
  <dimension ref="B1:AV113"/>
  <sheetViews>
    <sheetView zoomScale="90" zoomScaleNormal="90" workbookViewId="0">
      <selection activeCell="F108" sqref="F108:M11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444</v>
      </c>
      <c r="O10" s="2"/>
    </row>
    <row r="11" spans="2:24" ht="3.95" customHeight="1" x14ac:dyDescent="0.25">
      <c r="B11" s="2"/>
      <c r="D11" s="6"/>
      <c r="O11" s="2"/>
    </row>
    <row r="12" spans="2:24" ht="36" customHeight="1" x14ac:dyDescent="0.25">
      <c r="B12" s="2"/>
      <c r="D12" s="338" t="s">
        <v>5</v>
      </c>
      <c r="E12" s="339"/>
      <c r="F12" s="340" t="s">
        <v>445</v>
      </c>
      <c r="G12" s="341"/>
      <c r="H12" s="341"/>
      <c r="I12" s="341"/>
      <c r="J12" s="341"/>
      <c r="K12" s="341"/>
      <c r="L12" s="341"/>
      <c r="M12" s="342"/>
      <c r="O12" s="2"/>
      <c r="W12" s="3" t="str">
        <f>+F23</f>
        <v>Trimestral</v>
      </c>
      <c r="X12" s="3" t="str">
        <f>+F71</f>
        <v>Junio</v>
      </c>
    </row>
    <row r="13" spans="2:24" ht="3.95" customHeight="1" x14ac:dyDescent="0.25">
      <c r="B13" s="2"/>
      <c r="O13" s="2"/>
    </row>
    <row r="14" spans="2:24" ht="38.25" customHeight="1" x14ac:dyDescent="0.25">
      <c r="B14" s="2"/>
      <c r="D14" s="338" t="s">
        <v>6</v>
      </c>
      <c r="E14" s="339"/>
      <c r="F14" s="340" t="s">
        <v>1883</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8.75" customHeight="1" x14ac:dyDescent="0.25">
      <c r="B22" s="2"/>
      <c r="D22" s="337" t="s">
        <v>8</v>
      </c>
      <c r="E22" s="337"/>
      <c r="F22" s="8">
        <v>0</v>
      </c>
      <c r="G22" s="337" t="s">
        <v>9</v>
      </c>
      <c r="H22" s="337"/>
      <c r="I22" s="8">
        <v>1133</v>
      </c>
      <c r="K22" s="337" t="s">
        <v>10</v>
      </c>
      <c r="L22" s="337"/>
      <c r="M22" s="9" t="s">
        <v>496</v>
      </c>
      <c r="O22" s="2"/>
    </row>
    <row r="23" spans="2:17" ht="19.5" customHeight="1" x14ac:dyDescent="0.25">
      <c r="B23" s="2"/>
      <c r="D23" s="337" t="s">
        <v>11</v>
      </c>
      <c r="E23" s="337"/>
      <c r="F23" s="4" t="s">
        <v>71</v>
      </c>
      <c r="G23" s="337" t="s">
        <v>12</v>
      </c>
      <c r="H23" s="337"/>
      <c r="I23" s="4" t="s">
        <v>514</v>
      </c>
      <c r="K23" s="337" t="s">
        <v>13</v>
      </c>
      <c r="L23" s="337"/>
      <c r="M23" s="9" t="s">
        <v>496</v>
      </c>
      <c r="O23" s="2"/>
    </row>
    <row r="24" spans="2:17" ht="20.100000000000001" customHeight="1" x14ac:dyDescent="0.25">
      <c r="B24" s="2"/>
      <c r="D24" s="337" t="s">
        <v>14</v>
      </c>
      <c r="E24" s="337"/>
      <c r="F24" s="4" t="s">
        <v>498</v>
      </c>
      <c r="G24" s="337" t="s">
        <v>15</v>
      </c>
      <c r="H24" s="337"/>
      <c r="I24" s="4" t="s">
        <v>103</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NA</v>
      </c>
    </row>
    <row r="31" spans="2:17" ht="24" customHeight="1" x14ac:dyDescent="0.25">
      <c r="B31" s="2"/>
      <c r="D31" s="347"/>
      <c r="E31" s="348"/>
      <c r="F31" s="4" t="s">
        <v>441</v>
      </c>
      <c r="G31" s="340" t="s">
        <v>442</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1025</v>
      </c>
      <c r="G33" s="340"/>
      <c r="H33" s="341"/>
      <c r="I33" s="341"/>
      <c r="J33" s="341"/>
      <c r="K33" s="341"/>
      <c r="L33" s="341"/>
      <c r="M33" s="342"/>
      <c r="O33" s="2"/>
      <c r="Q33" s="3" t="str">
        <f>+IFERROR(IF(VLOOKUP(G33,base!$A$26:$C$40,3,FALSE)=F31,1,0),"")</f>
        <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1716</v>
      </c>
      <c r="G35" s="340" t="s">
        <v>1592</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501</v>
      </c>
      <c r="G45" s="340" t="s">
        <v>515</v>
      </c>
      <c r="H45" s="341"/>
      <c r="I45" s="341"/>
      <c r="J45" s="341"/>
      <c r="K45" s="341"/>
      <c r="L45" s="341"/>
      <c r="M45" s="342"/>
      <c r="O45" s="2"/>
      <c r="Q45" s="3" t="str">
        <f>+IFERROR(VLOOKUP(G45,base!$A$41:$C$45,3,FALSE),"")</f>
        <v>misional</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503</v>
      </c>
      <c r="G47" s="340" t="s">
        <v>995</v>
      </c>
      <c r="H47" s="341"/>
      <c r="I47" s="341"/>
      <c r="J47" s="341"/>
      <c r="K47" s="341"/>
      <c r="L47" s="341"/>
      <c r="M47" s="342"/>
      <c r="O47" s="2"/>
      <c r="Q47" s="3">
        <f>+IF(VLOOKUP(G47,base!$A$46:$C$66,3,FALSE)=F45,1,0)</f>
        <v>1</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920</v>
      </c>
      <c r="G49" s="340" t="s">
        <v>899</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496</v>
      </c>
      <c r="G51" s="337" t="s">
        <v>32</v>
      </c>
      <c r="H51" s="337"/>
      <c r="I51" s="8">
        <v>1133</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75.75" customHeight="1" x14ac:dyDescent="0.25">
      <c r="B59" s="2"/>
      <c r="D59" s="337" t="s">
        <v>34</v>
      </c>
      <c r="E59" s="337"/>
      <c r="F59" s="344" t="s">
        <v>1434</v>
      </c>
      <c r="G59" s="344"/>
      <c r="H59" s="344"/>
      <c r="I59" s="344"/>
      <c r="J59" s="344"/>
      <c r="K59" s="344"/>
      <c r="L59" s="344"/>
      <c r="M59" s="344"/>
      <c r="O59" s="2"/>
    </row>
    <row r="60" spans="2:15" ht="66" customHeight="1" x14ac:dyDescent="0.25">
      <c r="B60" s="2"/>
      <c r="D60" s="359" t="s">
        <v>35</v>
      </c>
      <c r="E60" s="359"/>
      <c r="F60" s="344" t="s">
        <v>1435</v>
      </c>
      <c r="G60" s="344"/>
      <c r="H60" s="344"/>
      <c r="I60" s="344"/>
      <c r="J60" s="344"/>
      <c r="K60" s="344"/>
      <c r="L60" s="344"/>
      <c r="M60" s="344"/>
      <c r="O60" s="2"/>
    </row>
    <row r="61" spans="2:15" ht="41.25" customHeight="1" x14ac:dyDescent="0.25">
      <c r="B61" s="2"/>
      <c r="D61" s="359" t="s">
        <v>36</v>
      </c>
      <c r="E61" s="359"/>
      <c r="F61" s="340" t="s">
        <v>1436</v>
      </c>
      <c r="G61" s="341"/>
      <c r="H61" s="341"/>
      <c r="I61" s="341"/>
      <c r="J61" s="341"/>
      <c r="K61" s="341"/>
      <c r="L61" s="341"/>
      <c r="M61" s="342"/>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43" t="s">
        <v>39</v>
      </c>
      <c r="E71" s="343"/>
      <c r="F71" s="4" t="s">
        <v>50</v>
      </c>
      <c r="G71" s="3">
        <v>3</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v>0.79900000000000004</v>
      </c>
      <c r="H77" s="16">
        <v>0.8</v>
      </c>
      <c r="I77" s="16">
        <v>0.94899999999999995</v>
      </c>
      <c r="J77" s="16">
        <v>0.95</v>
      </c>
      <c r="K77" s="16">
        <v>0.999</v>
      </c>
      <c r="L77" s="16">
        <v>1</v>
      </c>
      <c r="M77" s="16" t="s">
        <v>500</v>
      </c>
      <c r="O77" s="2"/>
      <c r="AE77" s="3" t="s">
        <v>47</v>
      </c>
      <c r="AF77" s="3">
        <v>3</v>
      </c>
      <c r="AG77" s="3">
        <f t="shared" si="0"/>
        <v>1</v>
      </c>
      <c r="AH77" s="3">
        <f>+IF(AG77=0,0,IF(AG77=1,(SUM($AG$75:AG77)-1),1))</f>
        <v>0</v>
      </c>
      <c r="AI77" s="3">
        <f t="shared" si="1"/>
        <v>0</v>
      </c>
      <c r="AJ77" s="3">
        <f t="shared" si="2"/>
        <v>0</v>
      </c>
      <c r="AK77" s="3">
        <f t="shared" si="3"/>
        <v>0</v>
      </c>
    </row>
    <row r="78" spans="2:37" x14ac:dyDescent="0.25">
      <c r="B78" s="2"/>
      <c r="D78" s="360" t="s">
        <v>48</v>
      </c>
      <c r="E78" s="360"/>
      <c r="F78" s="16" t="s">
        <v>500</v>
      </c>
      <c r="G78" s="16">
        <v>0.79900000000000004</v>
      </c>
      <c r="H78" s="16">
        <v>0.8</v>
      </c>
      <c r="I78" s="16">
        <v>0.94899999999999995</v>
      </c>
      <c r="J78" s="16">
        <v>0.95</v>
      </c>
      <c r="K78" s="16">
        <v>0.999</v>
      </c>
      <c r="L78" s="16">
        <v>1</v>
      </c>
      <c r="M78" s="16"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60" t="s">
        <v>49</v>
      </c>
      <c r="E79" s="360"/>
      <c r="F79" s="16" t="s">
        <v>500</v>
      </c>
      <c r="G79" s="16">
        <v>0.79900000000000004</v>
      </c>
      <c r="H79" s="16">
        <v>0.8</v>
      </c>
      <c r="I79" s="16">
        <v>0.94899999999999995</v>
      </c>
      <c r="J79" s="16">
        <v>0.95</v>
      </c>
      <c r="K79" s="16">
        <v>0.999</v>
      </c>
      <c r="L79" s="16">
        <v>1</v>
      </c>
      <c r="M79" s="16" t="s">
        <v>500</v>
      </c>
      <c r="O79" s="2"/>
      <c r="AE79" s="3" t="s">
        <v>49</v>
      </c>
      <c r="AF79" s="3">
        <v>5</v>
      </c>
      <c r="AG79" s="3">
        <f t="shared" si="0"/>
        <v>1</v>
      </c>
      <c r="AH79" s="3">
        <f>+IF(AG79=0,0,IF(AG79=1,(SUM($AG$75:AG79)-1),1))</f>
        <v>2</v>
      </c>
      <c r="AI79" s="3">
        <f t="shared" si="1"/>
        <v>0</v>
      </c>
      <c r="AJ79" s="3">
        <f t="shared" si="2"/>
        <v>0</v>
      </c>
      <c r="AK79" s="3">
        <f t="shared" si="3"/>
        <v>0</v>
      </c>
    </row>
    <row r="80" spans="2:37" x14ac:dyDescent="0.25">
      <c r="B80" s="2"/>
      <c r="D80" s="360" t="s">
        <v>50</v>
      </c>
      <c r="E80" s="360"/>
      <c r="F80" s="16">
        <v>0</v>
      </c>
      <c r="G80" s="16">
        <v>9.9000000000000005E-2</v>
      </c>
      <c r="H80" s="16">
        <v>0.1</v>
      </c>
      <c r="I80" s="16">
        <v>0.19900000000000001</v>
      </c>
      <c r="J80" s="16">
        <v>0.2</v>
      </c>
      <c r="K80" s="16" t="s">
        <v>1884</v>
      </c>
      <c r="L80" s="16">
        <v>0.25</v>
      </c>
      <c r="M80" s="16" t="s">
        <v>500</v>
      </c>
      <c r="O80" s="2"/>
      <c r="AE80" s="3" t="s">
        <v>50</v>
      </c>
      <c r="AF80" s="3">
        <v>6</v>
      </c>
      <c r="AG80" s="3">
        <f t="shared" si="0"/>
        <v>1</v>
      </c>
      <c r="AH80" s="3">
        <f>+IF(AG80=0,0,IF(AG80=1,(SUM($AG$75:AG80)-1),1))</f>
        <v>3</v>
      </c>
      <c r="AI80" s="3">
        <f t="shared" si="1"/>
        <v>1</v>
      </c>
      <c r="AJ80" s="3">
        <f t="shared" si="2"/>
        <v>1</v>
      </c>
      <c r="AK80" s="3">
        <f t="shared" si="3"/>
        <v>1</v>
      </c>
    </row>
    <row r="81" spans="2:37" x14ac:dyDescent="0.25">
      <c r="B81" s="2"/>
      <c r="D81" s="360" t="s">
        <v>53</v>
      </c>
      <c r="E81" s="360"/>
      <c r="F81" s="16" t="s">
        <v>500</v>
      </c>
      <c r="G81" s="16">
        <v>0.79900000000000004</v>
      </c>
      <c r="H81" s="16">
        <v>0.8</v>
      </c>
      <c r="I81" s="16">
        <v>0.94899999999999995</v>
      </c>
      <c r="J81" s="16">
        <v>0.95</v>
      </c>
      <c r="K81" s="16">
        <v>0.999</v>
      </c>
      <c r="L81" s="16">
        <v>1</v>
      </c>
      <c r="M81" s="16" t="s">
        <v>500</v>
      </c>
      <c r="O81" s="2"/>
      <c r="AE81" s="3" t="s">
        <v>53</v>
      </c>
      <c r="AF81" s="3">
        <v>7</v>
      </c>
      <c r="AG81" s="3">
        <f t="shared" si="0"/>
        <v>1</v>
      </c>
      <c r="AH81" s="3">
        <f>+IF(AG81=0,0,IF(AG81=1,(SUM($AG$75:AG81)-1),1))</f>
        <v>4</v>
      </c>
      <c r="AI81" s="3">
        <f t="shared" si="1"/>
        <v>0</v>
      </c>
      <c r="AJ81" s="3">
        <f t="shared" si="2"/>
        <v>0</v>
      </c>
      <c r="AK81" s="3">
        <f t="shared" si="3"/>
        <v>0</v>
      </c>
    </row>
    <row r="82" spans="2:37" x14ac:dyDescent="0.25">
      <c r="B82" s="2"/>
      <c r="D82" s="360" t="s">
        <v>54</v>
      </c>
      <c r="E82" s="360"/>
      <c r="F82" s="16" t="s">
        <v>500</v>
      </c>
      <c r="G82" s="16">
        <v>0.79900000000000004</v>
      </c>
      <c r="H82" s="16">
        <v>0.8</v>
      </c>
      <c r="I82" s="16">
        <v>0.94899999999999995</v>
      </c>
      <c r="J82" s="16">
        <v>0.95</v>
      </c>
      <c r="K82" s="16">
        <v>0.999</v>
      </c>
      <c r="L82" s="16">
        <v>1</v>
      </c>
      <c r="M82" s="16"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60" t="s">
        <v>55</v>
      </c>
      <c r="E83" s="360"/>
      <c r="F83" s="16">
        <v>0.25900000000000001</v>
      </c>
      <c r="G83" s="16">
        <v>0.39900000000000002</v>
      </c>
      <c r="H83" s="16">
        <v>0.4</v>
      </c>
      <c r="I83" s="16">
        <v>0.499</v>
      </c>
      <c r="J83" s="16">
        <v>0.5</v>
      </c>
      <c r="K83" s="16">
        <v>0.64900000000000002</v>
      </c>
      <c r="L83" s="16">
        <v>0.65</v>
      </c>
      <c r="M83" s="16" t="s">
        <v>500</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60" t="s">
        <v>56</v>
      </c>
      <c r="E84" s="360"/>
      <c r="F84" s="16" t="s">
        <v>500</v>
      </c>
      <c r="G84" s="16">
        <v>0.79900000000000004</v>
      </c>
      <c r="H84" s="16">
        <v>0.8</v>
      </c>
      <c r="I84" s="16">
        <v>0.94899999999999995</v>
      </c>
      <c r="J84" s="16">
        <v>0.95</v>
      </c>
      <c r="K84" s="16">
        <v>0.999</v>
      </c>
      <c r="L84" s="16">
        <v>1</v>
      </c>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60" t="s">
        <v>57</v>
      </c>
      <c r="E85" s="360"/>
      <c r="F85" s="16" t="s">
        <v>500</v>
      </c>
      <c r="G85" s="16">
        <v>0.79900000000000004</v>
      </c>
      <c r="H85" s="16">
        <v>0.8</v>
      </c>
      <c r="I85" s="16">
        <v>0.94899999999999995</v>
      </c>
      <c r="J85" s="16">
        <v>0.95</v>
      </c>
      <c r="K85" s="16">
        <v>0.999</v>
      </c>
      <c r="L85" s="16">
        <v>1</v>
      </c>
      <c r="M85" s="16"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60" t="s">
        <v>58</v>
      </c>
      <c r="E86" s="360"/>
      <c r="F86" s="16">
        <v>0.65900000000000003</v>
      </c>
      <c r="G86" s="16">
        <v>0.69899999999999995</v>
      </c>
      <c r="H86" s="16">
        <v>0.7</v>
      </c>
      <c r="I86" s="16">
        <v>0.79900000000000004</v>
      </c>
      <c r="J86" s="16">
        <v>0.8</v>
      </c>
      <c r="K86" s="16">
        <v>0.94399999999999995</v>
      </c>
      <c r="L86" s="16">
        <v>1</v>
      </c>
      <c r="M86" s="16" t="s">
        <v>500</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66" customHeight="1" x14ac:dyDescent="0.25">
      <c r="B88" s="2"/>
      <c r="D88" s="338" t="s">
        <v>59</v>
      </c>
      <c r="E88" s="339"/>
      <c r="F88" s="340"/>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2.75" customHeight="1" x14ac:dyDescent="0.25">
      <c r="B97" s="2"/>
      <c r="D97" s="359" t="s">
        <v>35</v>
      </c>
      <c r="E97" s="359"/>
      <c r="F97" s="344" t="s">
        <v>1437</v>
      </c>
      <c r="G97" s="344"/>
      <c r="H97" s="344"/>
      <c r="I97" s="344"/>
      <c r="J97" s="344"/>
      <c r="K97" s="344"/>
      <c r="L97" s="344"/>
      <c r="M97" s="344"/>
      <c r="O97" s="2"/>
    </row>
    <row r="98" spans="2:15" ht="42.75" customHeight="1" x14ac:dyDescent="0.25">
      <c r="B98" s="2"/>
      <c r="D98" s="359" t="s">
        <v>36</v>
      </c>
      <c r="E98" s="359"/>
      <c r="F98" s="344" t="s">
        <v>1437</v>
      </c>
      <c r="G98" s="344"/>
      <c r="H98" s="344"/>
      <c r="I98" s="344"/>
      <c r="J98" s="344"/>
      <c r="K98" s="344"/>
      <c r="L98" s="344"/>
      <c r="M98" s="344"/>
      <c r="O98" s="2"/>
    </row>
    <row r="99" spans="2:15" ht="3.95" customHeight="1" x14ac:dyDescent="0.25">
      <c r="B99" s="2"/>
      <c r="O99" s="2"/>
    </row>
    <row r="100" spans="2:15" ht="58.5" customHeight="1" x14ac:dyDescent="0.25">
      <c r="B100" s="2"/>
      <c r="D100" s="338" t="s">
        <v>62</v>
      </c>
      <c r="E100" s="339"/>
      <c r="F100" s="333"/>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2</v>
      </c>
      <c r="K102" s="20"/>
      <c r="O102" s="2"/>
    </row>
    <row r="103" spans="2:15" ht="19.5" customHeight="1" x14ac:dyDescent="0.25">
      <c r="B103" s="2"/>
      <c r="D103" s="331"/>
      <c r="E103" s="332"/>
      <c r="F103" s="19" t="s">
        <v>66</v>
      </c>
      <c r="G103" s="4"/>
      <c r="K103" s="21"/>
      <c r="O103" s="2"/>
    </row>
    <row r="104" spans="2:15" ht="27.75" customHeight="1" x14ac:dyDescent="0.25">
      <c r="B104" s="2"/>
      <c r="D104" s="331"/>
      <c r="E104" s="332"/>
      <c r="F104" s="19" t="s">
        <v>67</v>
      </c>
      <c r="G104" s="333"/>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Director(a)  Sistema Nacional de Bienestar Familiar</v>
      </c>
      <c r="H108" s="334"/>
      <c r="I108" s="334"/>
      <c r="J108" s="334"/>
      <c r="K108" s="334"/>
      <c r="L108" s="334"/>
      <c r="M108" s="335"/>
      <c r="O108" s="2"/>
    </row>
    <row r="109" spans="2:15" ht="17.25" customHeight="1" x14ac:dyDescent="0.25">
      <c r="B109" s="2"/>
      <c r="D109" s="331"/>
      <c r="E109" s="332"/>
      <c r="F109" s="19" t="s">
        <v>2042</v>
      </c>
      <c r="G109" s="333" t="str">
        <f>+IF(M23="Si","Coordinador(a) Planeación y Sistemas","")</f>
        <v>Coordinador(a) Planeación y Sistemas</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371" priority="26">
      <formula>+IF($F$43="no",1,0)</formula>
    </cfRule>
  </conditionalFormatting>
  <conditionalFormatting sqref="F32:M33">
    <cfRule type="expression" dxfId="370" priority="25">
      <formula>+IF($Q$30="NA",1,0)</formula>
    </cfRule>
  </conditionalFormatting>
  <conditionalFormatting sqref="F33:M33">
    <cfRule type="expression" dxfId="369" priority="24">
      <formula>+IF($Q$33=0,1,0)</formula>
    </cfRule>
  </conditionalFormatting>
  <conditionalFormatting sqref="F47:M47">
    <cfRule type="expression" dxfId="368" priority="23">
      <formula>+IF($Q$47=0,1,0)</formula>
    </cfRule>
  </conditionalFormatting>
  <conditionalFormatting sqref="F73:G73">
    <cfRule type="cellIs" dxfId="367" priority="18" operator="equal">
      <formula>"optimo"</formula>
    </cfRule>
    <cfRule type="cellIs" dxfId="366" priority="19" operator="equal">
      <formula>"critico"</formula>
    </cfRule>
  </conditionalFormatting>
  <conditionalFormatting sqref="H73:I73">
    <cfRule type="cellIs" dxfId="365" priority="16" operator="equal">
      <formula>"Adecuado"</formula>
    </cfRule>
    <cfRule type="cellIs" dxfId="364" priority="17" operator="equal">
      <formula>"en riesgo"</formula>
    </cfRule>
  </conditionalFormatting>
  <conditionalFormatting sqref="J73:K73">
    <cfRule type="cellIs" dxfId="363" priority="14" operator="equal">
      <formula>"Adecuado"</formula>
    </cfRule>
    <cfRule type="cellIs" dxfId="362" priority="15" operator="equal">
      <formula>"en riesgo"</formula>
    </cfRule>
  </conditionalFormatting>
  <conditionalFormatting sqref="L73:M73">
    <cfRule type="cellIs" dxfId="361" priority="12" operator="equal">
      <formula>"optimo"</formula>
    </cfRule>
    <cfRule type="cellIs" dxfId="360" priority="13" operator="equal">
      <formula>"critico"</formula>
    </cfRule>
  </conditionalFormatting>
  <conditionalFormatting sqref="F75:M86">
    <cfRule type="expression" dxfId="359" priority="11">
      <formula>+IF($AK75=0,1)</formula>
    </cfRule>
  </conditionalFormatting>
  <conditionalFormatting sqref="F103:G104">
    <cfRule type="expression" dxfId="358" priority="10">
      <formula>+IF($G$102="No",1,0)</formula>
    </cfRule>
  </conditionalFormatting>
  <conditionalFormatting sqref="F51">
    <cfRule type="expression" dxfId="357" priority="9">
      <formula>+IF($F$43="no",1,0)</formula>
    </cfRule>
  </conditionalFormatting>
  <conditionalFormatting sqref="I51">
    <cfRule type="expression" dxfId="356" priority="8">
      <formula>+IF($F$51="no",1,0)</formula>
    </cfRule>
  </conditionalFormatting>
  <conditionalFormatting sqref="I22">
    <cfRule type="expression" dxfId="355" priority="5">
      <formula>+IF($F$51="no",1,0)</formula>
    </cfRule>
  </conditionalFormatting>
  <conditionalFormatting sqref="F22">
    <cfRule type="expression" dxfId="354"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1">
    <tabColor rgb="FF0070C0"/>
  </sheetPr>
  <dimension ref="B1:AV113"/>
  <sheetViews>
    <sheetView zoomScale="90" zoomScaleNormal="90" workbookViewId="0">
      <selection activeCell="Q61" sqref="Q61:X61"/>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446</v>
      </c>
      <c r="O10" s="2"/>
    </row>
    <row r="11" spans="2:24" ht="3.95" customHeight="1" x14ac:dyDescent="0.25">
      <c r="B11" s="2"/>
      <c r="D11" s="6"/>
      <c r="O11" s="2"/>
    </row>
    <row r="12" spans="2:24" ht="36" customHeight="1" x14ac:dyDescent="0.25">
      <c r="B12" s="2"/>
      <c r="D12" s="338" t="s">
        <v>5</v>
      </c>
      <c r="E12" s="339"/>
      <c r="F12" s="340" t="s">
        <v>2168</v>
      </c>
      <c r="G12" s="341"/>
      <c r="H12" s="341"/>
      <c r="I12" s="341"/>
      <c r="J12" s="341"/>
      <c r="K12" s="341"/>
      <c r="L12" s="341"/>
      <c r="M12" s="342"/>
      <c r="O12" s="2"/>
      <c r="W12" s="3" t="str">
        <f>+F23</f>
        <v>Bimestral</v>
      </c>
      <c r="X12" s="3" t="str">
        <f>+F71</f>
        <v>Julio</v>
      </c>
    </row>
    <row r="13" spans="2:24" ht="3.95" customHeight="1" x14ac:dyDescent="0.25">
      <c r="B13" s="2"/>
      <c r="O13" s="2"/>
    </row>
    <row r="14" spans="2:24" ht="38.25" customHeight="1" x14ac:dyDescent="0.25">
      <c r="B14" s="2"/>
      <c r="D14" s="338" t="s">
        <v>6</v>
      </c>
      <c r="E14" s="339"/>
      <c r="F14" s="340" t="s">
        <v>2169</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8.75" customHeight="1" x14ac:dyDescent="0.25">
      <c r="B22" s="2"/>
      <c r="D22" s="337" t="s">
        <v>8</v>
      </c>
      <c r="E22" s="337"/>
      <c r="F22" s="8">
        <v>150</v>
      </c>
      <c r="G22" s="337" t="s">
        <v>9</v>
      </c>
      <c r="H22" s="337"/>
      <c r="I22" s="8">
        <v>150</v>
      </c>
      <c r="K22" s="337" t="s">
        <v>10</v>
      </c>
      <c r="L22" s="337"/>
      <c r="M22" s="9" t="s">
        <v>496</v>
      </c>
      <c r="O22" s="2"/>
    </row>
    <row r="23" spans="2:17" ht="19.5" customHeight="1" x14ac:dyDescent="0.25">
      <c r="B23" s="2"/>
      <c r="D23" s="337" t="s">
        <v>11</v>
      </c>
      <c r="E23" s="337"/>
      <c r="F23" s="4" t="s">
        <v>513</v>
      </c>
      <c r="G23" s="337" t="s">
        <v>12</v>
      </c>
      <c r="H23" s="337"/>
      <c r="I23" s="4" t="s">
        <v>514</v>
      </c>
      <c r="K23" s="337" t="s">
        <v>13</v>
      </c>
      <c r="L23" s="337"/>
      <c r="M23" s="9" t="s">
        <v>496</v>
      </c>
      <c r="O23" s="2"/>
    </row>
    <row r="24" spans="2:17" ht="20.100000000000001" customHeight="1" x14ac:dyDescent="0.25">
      <c r="B24" s="2"/>
      <c r="D24" s="337" t="s">
        <v>14</v>
      </c>
      <c r="E24" s="337"/>
      <c r="F24" s="4" t="s">
        <v>81</v>
      </c>
      <c r="G24" s="337" t="s">
        <v>15</v>
      </c>
      <c r="H24" s="337"/>
      <c r="I24" s="4" t="s">
        <v>103</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44.25"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NA</v>
      </c>
    </row>
    <row r="31" spans="2:17" ht="24" customHeight="1" x14ac:dyDescent="0.25">
      <c r="B31" s="2"/>
      <c r="D31" s="347"/>
      <c r="E31" s="348"/>
      <c r="F31" s="4" t="s">
        <v>441</v>
      </c>
      <c r="G31" s="340" t="s">
        <v>442</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c r="G33" s="340"/>
      <c r="H33" s="341"/>
      <c r="I33" s="341"/>
      <c r="J33" s="341"/>
      <c r="K33" s="341"/>
      <c r="L33" s="341"/>
      <c r="M33" s="342"/>
      <c r="O33" s="2"/>
      <c r="Q33" s="3" t="str">
        <f>+IFERROR(IF(VLOOKUP(G33,base!$A$26:$C$40,3,FALSE)=F31,1,0),"")</f>
        <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1716</v>
      </c>
      <c r="G35" s="340" t="s">
        <v>1592</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501</v>
      </c>
      <c r="G45" s="340" t="s">
        <v>515</v>
      </c>
      <c r="H45" s="341"/>
      <c r="I45" s="341"/>
      <c r="J45" s="341"/>
      <c r="K45" s="341"/>
      <c r="L45" s="341"/>
      <c r="M45" s="342"/>
      <c r="O45" s="2"/>
      <c r="Q45" s="3" t="str">
        <f>+IFERROR(VLOOKUP(G45,base!$A$41:$C$45,3,FALSE),"")</f>
        <v>misional</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503</v>
      </c>
      <c r="G47" s="340" t="s">
        <v>995</v>
      </c>
      <c r="H47" s="341"/>
      <c r="I47" s="341"/>
      <c r="J47" s="341"/>
      <c r="K47" s="341"/>
      <c r="L47" s="341"/>
      <c r="M47" s="342"/>
      <c r="O47" s="2"/>
      <c r="Q47" s="3">
        <f>+IF(VLOOKUP(G47,base!$A$46:$C$66,3,FALSE)=F45,1,0)</f>
        <v>1</v>
      </c>
    </row>
    <row r="48" spans="2:17" ht="18" customHeight="1" x14ac:dyDescent="0.25">
      <c r="B48" s="2"/>
      <c r="D48" s="352" t="s">
        <v>29</v>
      </c>
      <c r="E48" s="353"/>
      <c r="F48" s="12" t="s">
        <v>22</v>
      </c>
      <c r="G48" s="356" t="s">
        <v>5</v>
      </c>
      <c r="H48" s="357"/>
      <c r="I48" s="357"/>
      <c r="J48" s="357"/>
      <c r="K48" s="357"/>
      <c r="L48" s="357"/>
      <c r="M48" s="358"/>
      <c r="O48" s="2"/>
    </row>
    <row r="49" spans="2:24" ht="29.25" customHeight="1" x14ac:dyDescent="0.25">
      <c r="B49" s="2"/>
      <c r="D49" s="354"/>
      <c r="E49" s="355"/>
      <c r="F49" s="13" t="s">
        <v>920</v>
      </c>
      <c r="G49" s="340" t="s">
        <v>899</v>
      </c>
      <c r="H49" s="341"/>
      <c r="I49" s="341"/>
      <c r="J49" s="341"/>
      <c r="K49" s="341"/>
      <c r="L49" s="341"/>
      <c r="M49" s="342"/>
      <c r="O49" s="2"/>
    </row>
    <row r="50" spans="2:24" ht="3.95" customHeight="1" x14ac:dyDescent="0.25">
      <c r="B50" s="2"/>
      <c r="O50" s="2"/>
    </row>
    <row r="51" spans="2:24" ht="20.100000000000001" customHeight="1" x14ac:dyDescent="0.25">
      <c r="B51" s="2"/>
      <c r="D51" s="337" t="s">
        <v>31</v>
      </c>
      <c r="E51" s="337"/>
      <c r="F51" s="4" t="s">
        <v>496</v>
      </c>
      <c r="G51" s="337" t="s">
        <v>32</v>
      </c>
      <c r="H51" s="337"/>
      <c r="I51" s="8">
        <v>350</v>
      </c>
      <c r="O51" s="2"/>
    </row>
    <row r="52" spans="2:24" ht="3.95" customHeight="1" x14ac:dyDescent="0.25">
      <c r="B52" s="2"/>
      <c r="O52" s="2"/>
    </row>
    <row r="53" spans="2:24" ht="3" customHeight="1" x14ac:dyDescent="0.25">
      <c r="B53" s="2"/>
      <c r="C53" s="2"/>
      <c r="D53" s="2"/>
      <c r="E53" s="2"/>
      <c r="F53" s="2"/>
      <c r="G53" s="2"/>
      <c r="H53" s="2"/>
      <c r="I53" s="2"/>
      <c r="J53" s="2"/>
      <c r="K53" s="2"/>
      <c r="L53" s="2"/>
      <c r="M53" s="2"/>
      <c r="N53" s="2"/>
      <c r="O53" s="2"/>
    </row>
    <row r="54" spans="2:24" ht="3" customHeight="1" x14ac:dyDescent="0.25"/>
    <row r="55" spans="2:24" ht="3.95" customHeight="1" x14ac:dyDescent="0.25">
      <c r="B55" s="2"/>
      <c r="C55" s="2"/>
      <c r="D55" s="2"/>
      <c r="E55" s="2"/>
      <c r="F55" s="2"/>
      <c r="G55" s="2"/>
      <c r="H55" s="2"/>
      <c r="I55" s="2"/>
      <c r="J55" s="2"/>
      <c r="K55" s="2"/>
      <c r="L55" s="2"/>
      <c r="M55" s="2"/>
      <c r="N55" s="2"/>
      <c r="O55" s="2"/>
    </row>
    <row r="56" spans="2:24" ht="3.95" customHeight="1" x14ac:dyDescent="0.25">
      <c r="B56" s="2"/>
      <c r="O56" s="2"/>
    </row>
    <row r="57" spans="2:24" x14ac:dyDescent="0.25">
      <c r="B57" s="2"/>
      <c r="D57" s="7" t="s">
        <v>33</v>
      </c>
      <c r="O57" s="2"/>
    </row>
    <row r="58" spans="2:24" ht="3.95" customHeight="1" x14ac:dyDescent="0.25">
      <c r="B58" s="2"/>
      <c r="O58" s="2"/>
    </row>
    <row r="59" spans="2:24" ht="54" customHeight="1" x14ac:dyDescent="0.25">
      <c r="B59" s="2"/>
      <c r="D59" s="337" t="s">
        <v>34</v>
      </c>
      <c r="E59" s="337"/>
      <c r="F59" s="344" t="s">
        <v>2172</v>
      </c>
      <c r="G59" s="344"/>
      <c r="H59" s="344"/>
      <c r="I59" s="344"/>
      <c r="J59" s="344"/>
      <c r="K59" s="344"/>
      <c r="L59" s="344"/>
      <c r="M59" s="344"/>
      <c r="O59" s="2"/>
      <c r="Q59" s="477"/>
      <c r="R59" s="477"/>
      <c r="S59" s="477"/>
      <c r="T59" s="477"/>
      <c r="U59" s="477"/>
      <c r="V59" s="477"/>
      <c r="W59" s="477"/>
      <c r="X59" s="477"/>
    </row>
    <row r="60" spans="2:24" ht="41.25" customHeight="1" x14ac:dyDescent="0.25">
      <c r="B60" s="2"/>
      <c r="D60" s="359" t="s">
        <v>35</v>
      </c>
      <c r="E60" s="359"/>
      <c r="F60" s="344" t="s">
        <v>2170</v>
      </c>
      <c r="G60" s="344"/>
      <c r="H60" s="344"/>
      <c r="I60" s="344"/>
      <c r="J60" s="344"/>
      <c r="K60" s="344"/>
      <c r="L60" s="344"/>
      <c r="M60" s="344"/>
      <c r="O60" s="2"/>
      <c r="Q60" s="477"/>
      <c r="R60" s="477"/>
      <c r="S60" s="477"/>
      <c r="T60" s="477"/>
      <c r="U60" s="477"/>
      <c r="V60" s="477"/>
      <c r="W60" s="477"/>
      <c r="X60" s="477"/>
    </row>
    <row r="61" spans="2:24" ht="41.25" customHeight="1" x14ac:dyDescent="0.25">
      <c r="B61" s="2"/>
      <c r="D61" s="359" t="s">
        <v>36</v>
      </c>
      <c r="E61" s="359"/>
      <c r="F61" s="344" t="s">
        <v>2171</v>
      </c>
      <c r="G61" s="344"/>
      <c r="H61" s="344"/>
      <c r="I61" s="344"/>
      <c r="J61" s="344"/>
      <c r="K61" s="344"/>
      <c r="L61" s="344"/>
      <c r="M61" s="344"/>
      <c r="O61" s="2"/>
      <c r="Q61" s="477"/>
      <c r="R61" s="477"/>
      <c r="S61" s="477"/>
      <c r="T61" s="477"/>
      <c r="U61" s="477"/>
      <c r="V61" s="477"/>
      <c r="W61" s="477"/>
      <c r="X61" s="477"/>
    </row>
    <row r="62" spans="2:24" ht="3.95" customHeight="1" x14ac:dyDescent="0.25">
      <c r="B62" s="2"/>
      <c r="O62" s="2"/>
    </row>
    <row r="63" spans="2:24" ht="3" customHeight="1" x14ac:dyDescent="0.25">
      <c r="B63" s="2"/>
      <c r="C63" s="2"/>
      <c r="D63" s="2"/>
      <c r="E63" s="2"/>
      <c r="F63" s="2"/>
      <c r="G63" s="2"/>
      <c r="H63" s="2"/>
      <c r="I63" s="2"/>
      <c r="J63" s="2"/>
      <c r="K63" s="2"/>
      <c r="L63" s="2"/>
      <c r="M63" s="2"/>
      <c r="N63" s="2"/>
      <c r="O63" s="2"/>
    </row>
    <row r="64" spans="2:24"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2</v>
      </c>
    </row>
    <row r="70" spans="2:37" ht="3.95" customHeight="1" x14ac:dyDescent="0.25">
      <c r="B70" s="2"/>
      <c r="D70" s="7"/>
      <c r="E70" s="7"/>
      <c r="O70" s="2"/>
    </row>
    <row r="71" spans="2:37" ht="18.75" customHeight="1" x14ac:dyDescent="0.25">
      <c r="B71" s="2"/>
      <c r="D71" s="343" t="s">
        <v>39</v>
      </c>
      <c r="E71" s="343"/>
      <c r="F71" s="4" t="s">
        <v>53</v>
      </c>
      <c r="G71" s="3">
        <v>3</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c r="H77" s="16"/>
      <c r="I77" s="16"/>
      <c r="J77" s="16"/>
      <c r="K77" s="16"/>
      <c r="L77" s="16"/>
      <c r="M77" s="16" t="s">
        <v>500</v>
      </c>
      <c r="O77" s="2"/>
      <c r="AE77" s="3" t="s">
        <v>47</v>
      </c>
      <c r="AF77" s="3">
        <v>3</v>
      </c>
      <c r="AG77" s="3">
        <f t="shared" si="0"/>
        <v>1</v>
      </c>
      <c r="AH77" s="3">
        <f>+IF(AG77=0,0,IF(AG77=1,(SUM($AG$75:AG77)-1),1))</f>
        <v>0</v>
      </c>
      <c r="AI77" s="3">
        <f t="shared" si="1"/>
        <v>0</v>
      </c>
      <c r="AJ77" s="3">
        <f t="shared" si="2"/>
        <v>0</v>
      </c>
      <c r="AK77" s="3">
        <f t="shared" si="3"/>
        <v>0</v>
      </c>
    </row>
    <row r="78" spans="2:37" x14ac:dyDescent="0.25">
      <c r="B78" s="2"/>
      <c r="D78" s="360" t="s">
        <v>48</v>
      </c>
      <c r="E78" s="360"/>
      <c r="F78" s="16" t="s">
        <v>500</v>
      </c>
      <c r="G78" s="16"/>
      <c r="H78" s="16"/>
      <c r="I78" s="16"/>
      <c r="J78" s="16"/>
      <c r="K78" s="16"/>
      <c r="L78" s="16"/>
      <c r="M78" s="16"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60" t="s">
        <v>49</v>
      </c>
      <c r="E79" s="360"/>
      <c r="F79" s="16" t="s">
        <v>500</v>
      </c>
      <c r="G79" s="16"/>
      <c r="H79" s="16"/>
      <c r="I79" s="16"/>
      <c r="J79" s="16"/>
      <c r="K79" s="16"/>
      <c r="L79" s="16"/>
      <c r="M79" s="16" t="s">
        <v>500</v>
      </c>
      <c r="O79" s="2"/>
      <c r="AE79" s="3" t="s">
        <v>49</v>
      </c>
      <c r="AF79" s="3">
        <v>5</v>
      </c>
      <c r="AG79" s="3">
        <f t="shared" si="0"/>
        <v>1</v>
      </c>
      <c r="AH79" s="3">
        <f>+IF(AG79=0,0,IF(AG79=1,(SUM($AG$75:AG79)-1),1))</f>
        <v>2</v>
      </c>
      <c r="AI79" s="3">
        <f t="shared" si="1"/>
        <v>1</v>
      </c>
      <c r="AJ79" s="3">
        <f t="shared" si="2"/>
        <v>0</v>
      </c>
      <c r="AK79" s="3">
        <f t="shared" si="3"/>
        <v>1</v>
      </c>
    </row>
    <row r="80" spans="2:37" x14ac:dyDescent="0.25">
      <c r="B80" s="2"/>
      <c r="D80" s="360" t="s">
        <v>50</v>
      </c>
      <c r="E80" s="360"/>
      <c r="F80" s="16"/>
      <c r="G80" s="16"/>
      <c r="H80" s="16"/>
      <c r="I80" s="16"/>
      <c r="J80" s="16"/>
      <c r="K80" s="16"/>
      <c r="L80" s="16"/>
      <c r="M80" s="16" t="s">
        <v>500</v>
      </c>
      <c r="O80" s="2"/>
      <c r="AE80" s="3" t="s">
        <v>50</v>
      </c>
      <c r="AF80" s="3">
        <v>6</v>
      </c>
      <c r="AG80" s="3">
        <f t="shared" si="0"/>
        <v>1</v>
      </c>
      <c r="AH80" s="3">
        <f>+IF(AG80=0,0,IF(AG80=1,(SUM($AG$75:AG80)-1),1))</f>
        <v>3</v>
      </c>
      <c r="AI80" s="3">
        <f t="shared" si="1"/>
        <v>0</v>
      </c>
      <c r="AJ80" s="3">
        <f t="shared" si="2"/>
        <v>0</v>
      </c>
      <c r="AK80" s="3">
        <f t="shared" si="3"/>
        <v>0</v>
      </c>
    </row>
    <row r="81" spans="2:37" x14ac:dyDescent="0.25">
      <c r="B81" s="2"/>
      <c r="D81" s="360" t="s">
        <v>53</v>
      </c>
      <c r="E81" s="360"/>
      <c r="F81" s="16" t="s">
        <v>500</v>
      </c>
      <c r="G81" s="16">
        <v>0.499</v>
      </c>
      <c r="H81" s="16">
        <v>0.5</v>
      </c>
      <c r="I81" s="16">
        <v>0.69899999999999995</v>
      </c>
      <c r="J81" s="16">
        <v>0.7</v>
      </c>
      <c r="K81" s="16">
        <v>0.94899999999999995</v>
      </c>
      <c r="L81" s="16">
        <v>0.95</v>
      </c>
      <c r="M81" s="16" t="s">
        <v>500</v>
      </c>
      <c r="O81" s="2"/>
      <c r="AE81" s="3" t="s">
        <v>53</v>
      </c>
      <c r="AF81" s="3">
        <v>7</v>
      </c>
      <c r="AG81" s="3">
        <f t="shared" si="0"/>
        <v>1</v>
      </c>
      <c r="AH81" s="3">
        <f>+IF(AG81=0,0,IF(AG81=1,(SUM($AG$75:AG81)-1),1))</f>
        <v>4</v>
      </c>
      <c r="AI81" s="3">
        <f t="shared" si="1"/>
        <v>1</v>
      </c>
      <c r="AJ81" s="3">
        <f t="shared" si="2"/>
        <v>1</v>
      </c>
      <c r="AK81" s="3">
        <f t="shared" si="3"/>
        <v>1</v>
      </c>
    </row>
    <row r="82" spans="2:37" x14ac:dyDescent="0.25">
      <c r="B82" s="2"/>
      <c r="D82" s="360" t="s">
        <v>54</v>
      </c>
      <c r="E82" s="360"/>
      <c r="F82" s="16" t="s">
        <v>500</v>
      </c>
      <c r="G82" s="16"/>
      <c r="H82" s="16"/>
      <c r="I82" s="16"/>
      <c r="J82" s="16"/>
      <c r="K82" s="16"/>
      <c r="L82" s="16"/>
      <c r="M82" s="16"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60" t="s">
        <v>55</v>
      </c>
      <c r="E83" s="360"/>
      <c r="F83" s="16"/>
      <c r="G83" s="16">
        <v>0.499</v>
      </c>
      <c r="H83" s="16">
        <v>0.5</v>
      </c>
      <c r="I83" s="16">
        <v>0.69899999999999995</v>
      </c>
      <c r="J83" s="16">
        <v>0.7</v>
      </c>
      <c r="K83" s="16">
        <v>0.94899999999999995</v>
      </c>
      <c r="L83" s="16">
        <v>0.95</v>
      </c>
      <c r="M83" s="16" t="s">
        <v>500</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60" t="s">
        <v>56</v>
      </c>
      <c r="E84" s="360"/>
      <c r="F84" s="16"/>
      <c r="G84" s="16"/>
      <c r="H84" s="16"/>
      <c r="I84" s="16"/>
      <c r="J84" s="16"/>
      <c r="K84" s="16"/>
      <c r="L84" s="16"/>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60" t="s">
        <v>57</v>
      </c>
      <c r="E85" s="360"/>
      <c r="F85" s="16"/>
      <c r="G85" s="16">
        <v>0.499</v>
      </c>
      <c r="H85" s="16">
        <v>0.5</v>
      </c>
      <c r="I85" s="16">
        <v>0.69899999999999995</v>
      </c>
      <c r="J85" s="16">
        <v>0.7</v>
      </c>
      <c r="K85" s="16">
        <v>0.999</v>
      </c>
      <c r="L85" s="16"/>
      <c r="M85" s="16">
        <v>1</v>
      </c>
      <c r="O85" s="2"/>
      <c r="AE85" s="3" t="s">
        <v>57</v>
      </c>
      <c r="AF85" s="3">
        <v>11</v>
      </c>
      <c r="AG85" s="3">
        <f t="shared" si="0"/>
        <v>1</v>
      </c>
      <c r="AH85" s="3">
        <f>+IF(AG85=0,0,IF(AG85=1,(SUM($AG$75:AG85)-1),1))</f>
        <v>8</v>
      </c>
      <c r="AI85" s="3">
        <f t="shared" si="1"/>
        <v>1</v>
      </c>
      <c r="AJ85" s="3">
        <f t="shared" si="2"/>
        <v>0</v>
      </c>
      <c r="AK85" s="3">
        <f t="shared" si="3"/>
        <v>1</v>
      </c>
    </row>
    <row r="86" spans="2:37" x14ac:dyDescent="0.25">
      <c r="B86" s="2"/>
      <c r="D86" s="360" t="s">
        <v>58</v>
      </c>
      <c r="E86" s="360"/>
      <c r="F86" s="16"/>
      <c r="G86" s="16"/>
      <c r="H86" s="16"/>
      <c r="I86" s="16"/>
      <c r="J86" s="16"/>
      <c r="K86" s="16"/>
      <c r="L86" s="16"/>
      <c r="M86" s="16" t="s">
        <v>500</v>
      </c>
      <c r="O86" s="2"/>
      <c r="AE86" s="3" t="s">
        <v>58</v>
      </c>
      <c r="AF86" s="65">
        <v>12</v>
      </c>
      <c r="AG86" s="3">
        <f t="shared" si="0"/>
        <v>1</v>
      </c>
      <c r="AH86" s="3">
        <f>+IF(AG86=0,0,IF(AG86=1,(SUM($AG$75:AG86)-1),1))</f>
        <v>9</v>
      </c>
      <c r="AI86" s="3">
        <f t="shared" si="1"/>
        <v>0</v>
      </c>
      <c r="AJ86" s="3">
        <f t="shared" si="2"/>
        <v>0</v>
      </c>
      <c r="AK86" s="3">
        <f t="shared" si="3"/>
        <v>0</v>
      </c>
    </row>
    <row r="87" spans="2:37" ht="3.75" customHeight="1" x14ac:dyDescent="0.25">
      <c r="B87" s="2"/>
      <c r="O87" s="2"/>
    </row>
    <row r="88" spans="2:37" ht="66" customHeight="1" x14ac:dyDescent="0.25">
      <c r="B88" s="2"/>
      <c r="D88" s="338" t="s">
        <v>59</v>
      </c>
      <c r="E88" s="339"/>
      <c r="F88" s="340" t="s">
        <v>2173</v>
      </c>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36" customHeight="1" x14ac:dyDescent="0.25">
      <c r="B97" s="2"/>
      <c r="D97" s="359" t="s">
        <v>35</v>
      </c>
      <c r="E97" s="359"/>
      <c r="F97" s="344" t="s">
        <v>1437</v>
      </c>
      <c r="G97" s="344"/>
      <c r="H97" s="344"/>
      <c r="I97" s="344"/>
      <c r="J97" s="344"/>
      <c r="K97" s="344"/>
      <c r="L97" s="344"/>
      <c r="M97" s="344"/>
      <c r="O97" s="2"/>
    </row>
    <row r="98" spans="2:15" ht="36" customHeight="1" x14ac:dyDescent="0.25">
      <c r="B98" s="2"/>
      <c r="D98" s="359" t="s">
        <v>36</v>
      </c>
      <c r="E98" s="359"/>
      <c r="F98" s="344" t="s">
        <v>1437</v>
      </c>
      <c r="G98" s="344"/>
      <c r="H98" s="344"/>
      <c r="I98" s="344"/>
      <c r="J98" s="344"/>
      <c r="K98" s="344"/>
      <c r="L98" s="344"/>
      <c r="M98" s="344"/>
      <c r="O98" s="2"/>
    </row>
    <row r="99" spans="2:15" ht="3.95" customHeight="1" x14ac:dyDescent="0.25">
      <c r="B99" s="2"/>
      <c r="O99" s="2"/>
    </row>
    <row r="100" spans="2:15" ht="58.5" customHeight="1" x14ac:dyDescent="0.25">
      <c r="B100" s="2"/>
      <c r="D100" s="338" t="s">
        <v>62</v>
      </c>
      <c r="E100" s="339"/>
      <c r="F100" s="333"/>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2</v>
      </c>
      <c r="K102" s="20"/>
      <c r="O102" s="2"/>
    </row>
    <row r="103" spans="2:15" ht="19.5" customHeight="1" x14ac:dyDescent="0.25">
      <c r="B103" s="2"/>
      <c r="D103" s="331"/>
      <c r="E103" s="332"/>
      <c r="F103" s="19" t="s">
        <v>66</v>
      </c>
      <c r="G103" s="4"/>
      <c r="K103" s="21"/>
      <c r="O103" s="2"/>
    </row>
    <row r="104" spans="2:15" ht="27.75" customHeight="1" x14ac:dyDescent="0.25">
      <c r="B104" s="2"/>
      <c r="D104" s="331"/>
      <c r="E104" s="332"/>
      <c r="F104" s="19" t="s">
        <v>67</v>
      </c>
      <c r="G104" s="333"/>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Director(a)  Sistema Nacional de Bienestar Familiar</v>
      </c>
      <c r="H108" s="334"/>
      <c r="I108" s="334"/>
      <c r="J108" s="334"/>
      <c r="K108" s="334"/>
      <c r="L108" s="334"/>
      <c r="M108" s="335"/>
      <c r="O108" s="2"/>
    </row>
    <row r="109" spans="2:15" ht="17.25" customHeight="1" x14ac:dyDescent="0.25">
      <c r="B109" s="2"/>
      <c r="D109" s="331"/>
      <c r="E109" s="332"/>
      <c r="F109" s="19" t="s">
        <v>2042</v>
      </c>
      <c r="G109" s="333" t="str">
        <f>+IF(M23="Si","Coordinador(a) Planeación y Sistemas","")</f>
        <v>Coordinador(a) Planeación y Sistemas</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4">
    <mergeCell ref="Q59:X59"/>
    <mergeCell ref="Q60:X60"/>
    <mergeCell ref="Q61:X61"/>
    <mergeCell ref="D102:E104"/>
    <mergeCell ref="G104:M104"/>
    <mergeCell ref="F88:M88"/>
    <mergeCell ref="D77:E77"/>
    <mergeCell ref="D78:E78"/>
    <mergeCell ref="D79:E79"/>
    <mergeCell ref="D80:E80"/>
    <mergeCell ref="D81:E81"/>
    <mergeCell ref="D82:E82"/>
    <mergeCell ref="D83:E83"/>
    <mergeCell ref="D84:E84"/>
    <mergeCell ref="D85:E85"/>
    <mergeCell ref="D86:E86"/>
    <mergeCell ref="D106:E106"/>
    <mergeCell ref="F106:M106"/>
    <mergeCell ref="D96:E96"/>
    <mergeCell ref="D97:E97"/>
    <mergeCell ref="F97:M97"/>
    <mergeCell ref="D98:E98"/>
    <mergeCell ref="F98:M98"/>
    <mergeCell ref="D100:E100"/>
    <mergeCell ref="F100:M100"/>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353" priority="27">
      <formula>+IF($F$43="no",1,0)</formula>
    </cfRule>
  </conditionalFormatting>
  <conditionalFormatting sqref="F32:M33">
    <cfRule type="expression" dxfId="352" priority="26">
      <formula>+IF($Q$30="NA",1,0)</formula>
    </cfRule>
  </conditionalFormatting>
  <conditionalFormatting sqref="F33:M33">
    <cfRule type="expression" dxfId="351" priority="25">
      <formula>+IF($Q$33=0,1,0)</formula>
    </cfRule>
  </conditionalFormatting>
  <conditionalFormatting sqref="F47:M47">
    <cfRule type="expression" dxfId="350" priority="24">
      <formula>+IF($Q$47=0,1,0)</formula>
    </cfRule>
  </conditionalFormatting>
  <conditionalFormatting sqref="F73:G73">
    <cfRule type="cellIs" dxfId="349" priority="19" operator="equal">
      <formula>"optimo"</formula>
    </cfRule>
    <cfRule type="cellIs" dxfId="348" priority="20" operator="equal">
      <formula>"critico"</formula>
    </cfRule>
  </conditionalFormatting>
  <conditionalFormatting sqref="H73:I73">
    <cfRule type="cellIs" dxfId="347" priority="17" operator="equal">
      <formula>"Adecuado"</formula>
    </cfRule>
    <cfRule type="cellIs" dxfId="346" priority="18" operator="equal">
      <formula>"en riesgo"</formula>
    </cfRule>
  </conditionalFormatting>
  <conditionalFormatting sqref="J73:K73">
    <cfRule type="cellIs" dxfId="345" priority="15" operator="equal">
      <formula>"Adecuado"</formula>
    </cfRule>
    <cfRule type="cellIs" dxfId="344" priority="16" operator="equal">
      <formula>"en riesgo"</formula>
    </cfRule>
  </conditionalFormatting>
  <conditionalFormatting sqref="L73:M73">
    <cfRule type="cellIs" dxfId="343" priority="13" operator="equal">
      <formula>"optimo"</formula>
    </cfRule>
    <cfRule type="cellIs" dxfId="342" priority="14" operator="equal">
      <formula>"critico"</formula>
    </cfRule>
  </conditionalFormatting>
  <conditionalFormatting sqref="F103:G104">
    <cfRule type="expression" dxfId="341" priority="11">
      <formula>+IF($G$102="No",1,0)</formula>
    </cfRule>
  </conditionalFormatting>
  <conditionalFormatting sqref="F51">
    <cfRule type="expression" dxfId="340" priority="10">
      <formula>+IF($F$43="no",1,0)</formula>
    </cfRule>
  </conditionalFormatting>
  <conditionalFormatting sqref="I51">
    <cfRule type="expression" dxfId="339" priority="9">
      <formula>+IF($F$51="no",1,0)</formula>
    </cfRule>
  </conditionalFormatting>
  <conditionalFormatting sqref="I22">
    <cfRule type="expression" dxfId="338" priority="6">
      <formula>+IF($F$51="no",1,0)</formula>
    </cfRule>
  </conditionalFormatting>
  <conditionalFormatting sqref="F22">
    <cfRule type="expression" dxfId="337" priority="5">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tabColor rgb="FF0070C0"/>
  </sheetPr>
  <dimension ref="B1:AV113"/>
  <sheetViews>
    <sheetView zoomScaleNormal="100" workbookViewId="0"/>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132</v>
      </c>
      <c r="O10" s="2"/>
    </row>
    <row r="11" spans="2:24" ht="3.95" customHeight="1" x14ac:dyDescent="0.25">
      <c r="B11" s="2"/>
      <c r="D11" s="6"/>
      <c r="O11" s="2"/>
    </row>
    <row r="12" spans="2:24" ht="36" customHeight="1" x14ac:dyDescent="0.25">
      <c r="B12" s="2"/>
      <c r="D12" s="338" t="s">
        <v>5</v>
      </c>
      <c r="E12" s="339"/>
      <c r="F12" s="340" t="s">
        <v>133</v>
      </c>
      <c r="G12" s="341"/>
      <c r="H12" s="341"/>
      <c r="I12" s="341"/>
      <c r="J12" s="341"/>
      <c r="K12" s="341"/>
      <c r="L12" s="341"/>
      <c r="M12" s="342"/>
      <c r="O12" s="2"/>
      <c r="W12" s="3" t="str">
        <f>+F23</f>
        <v>Mensual</v>
      </c>
      <c r="X12" s="3" t="str">
        <f>+F71</f>
        <v>Mayo</v>
      </c>
    </row>
    <row r="13" spans="2:24" ht="3.95" customHeight="1" x14ac:dyDescent="0.25">
      <c r="B13" s="2"/>
      <c r="O13" s="2"/>
    </row>
    <row r="14" spans="2:24" ht="36" customHeight="1" x14ac:dyDescent="0.25">
      <c r="B14" s="2"/>
      <c r="D14" s="338" t="s">
        <v>6</v>
      </c>
      <c r="E14" s="339"/>
      <c r="F14" s="340" t="s">
        <v>602</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8" t="s">
        <v>512</v>
      </c>
      <c r="G22" s="337" t="s">
        <v>9</v>
      </c>
      <c r="H22" s="337"/>
      <c r="I22" s="8">
        <v>1100000</v>
      </c>
      <c r="K22" s="337" t="s">
        <v>10</v>
      </c>
      <c r="L22" s="337"/>
      <c r="M22" s="9" t="s">
        <v>496</v>
      </c>
      <c r="O22" s="2"/>
    </row>
    <row r="23" spans="2:17" ht="19.5" customHeight="1" x14ac:dyDescent="0.25">
      <c r="B23" s="2"/>
      <c r="D23" s="337" t="s">
        <v>11</v>
      </c>
      <c r="E23" s="337"/>
      <c r="F23" s="4" t="s">
        <v>84</v>
      </c>
      <c r="G23" s="337" t="s">
        <v>12</v>
      </c>
      <c r="H23" s="337"/>
      <c r="I23" s="4" t="s">
        <v>553</v>
      </c>
      <c r="K23" s="337" t="s">
        <v>13</v>
      </c>
      <c r="L23" s="337"/>
      <c r="M23" s="9" t="s">
        <v>496</v>
      </c>
      <c r="O23" s="2"/>
    </row>
    <row r="24" spans="2:17" ht="20.100000000000001" customHeight="1" x14ac:dyDescent="0.25">
      <c r="B24" s="2"/>
      <c r="D24" s="337" t="s">
        <v>14</v>
      </c>
      <c r="E24" s="337"/>
      <c r="F24" s="4" t="s">
        <v>498</v>
      </c>
      <c r="G24" s="337" t="s">
        <v>15</v>
      </c>
      <c r="H24" s="337"/>
      <c r="I24" s="4" t="s">
        <v>519</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20</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NA</v>
      </c>
    </row>
    <row r="31" spans="2:17" ht="24" customHeight="1" x14ac:dyDescent="0.25">
      <c r="B31" s="2"/>
      <c r="D31" s="347"/>
      <c r="E31" s="348"/>
      <c r="F31" s="4" t="s">
        <v>109</v>
      </c>
      <c r="G31" s="340" t="s">
        <v>110</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500</v>
      </c>
      <c r="G33" s="340"/>
      <c r="H33" s="341"/>
      <c r="I33" s="341"/>
      <c r="J33" s="341"/>
      <c r="K33" s="341"/>
      <c r="L33" s="341"/>
      <c r="M33" s="342"/>
      <c r="O33" s="2"/>
      <c r="Q33" s="3" t="str">
        <f>+IFERROR(IF(VLOOKUP(G33,base!$A$26:$C$40,3,FALSE)=F31,1,0),"")</f>
        <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1711</v>
      </c>
      <c r="G35" s="340" t="s">
        <v>1587</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2</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500</v>
      </c>
      <c r="G45" s="340" t="s">
        <v>512</v>
      </c>
      <c r="H45" s="341"/>
      <c r="I45" s="341"/>
      <c r="J45" s="341"/>
      <c r="K45" s="341"/>
      <c r="L45" s="341"/>
      <c r="M45" s="342"/>
      <c r="O45" s="2"/>
      <c r="Q45" s="3" t="str">
        <f>+IFERROR(VLOOKUP(G45,base!$A$41:$C$45,3,FALSE),"")</f>
        <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500</v>
      </c>
      <c r="G47" s="340" t="s">
        <v>512</v>
      </c>
      <c r="H47" s="341"/>
      <c r="I47" s="341"/>
      <c r="J47" s="341"/>
      <c r="K47" s="341"/>
      <c r="L47" s="341"/>
      <c r="M47" s="342"/>
      <c r="O47" s="2"/>
      <c r="Q47" s="3" t="e">
        <f>+IF(VLOOKUP(G47,base!$A$46:$C$66,3,FALSE)=F45,1,0)</f>
        <v>#N/A</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535</v>
      </c>
      <c r="G49" s="340" t="s">
        <v>30</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8"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75" customHeight="1" x14ac:dyDescent="0.25">
      <c r="B59" s="2"/>
      <c r="D59" s="337" t="s">
        <v>34</v>
      </c>
      <c r="E59" s="337"/>
      <c r="F59" s="344" t="s">
        <v>603</v>
      </c>
      <c r="G59" s="344"/>
      <c r="H59" s="344"/>
      <c r="I59" s="344"/>
      <c r="J59" s="344"/>
      <c r="K59" s="344"/>
      <c r="L59" s="344"/>
      <c r="M59" s="344"/>
      <c r="O59" s="2"/>
    </row>
    <row r="60" spans="2:15" ht="27" customHeight="1" x14ac:dyDescent="0.25">
      <c r="B60" s="2"/>
      <c r="D60" s="359" t="s">
        <v>35</v>
      </c>
      <c r="E60" s="359"/>
      <c r="F60" s="344" t="s">
        <v>604</v>
      </c>
      <c r="G60" s="344"/>
      <c r="H60" s="344"/>
      <c r="I60" s="344"/>
      <c r="J60" s="344"/>
      <c r="K60" s="344"/>
      <c r="L60" s="344"/>
      <c r="M60" s="344"/>
      <c r="O60" s="2"/>
    </row>
    <row r="61" spans="2:15" ht="27" customHeight="1" x14ac:dyDescent="0.25">
      <c r="B61" s="2"/>
      <c r="D61" s="359" t="s">
        <v>36</v>
      </c>
      <c r="E61" s="359"/>
      <c r="F61" s="344" t="s">
        <v>590</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43" t="s">
        <v>39</v>
      </c>
      <c r="E71" s="343"/>
      <c r="F71" s="4" t="s">
        <v>49</v>
      </c>
      <c r="G71" s="3">
        <v>4</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60" t="s">
        <v>48</v>
      </c>
      <c r="E78" s="360"/>
      <c r="F78" s="16" t="s">
        <v>500</v>
      </c>
      <c r="G78" s="16">
        <v>0.39900000000000002</v>
      </c>
      <c r="H78" s="16">
        <v>0.4</v>
      </c>
      <c r="I78" s="16">
        <v>0.59899999999999998</v>
      </c>
      <c r="J78" s="16">
        <v>0.6</v>
      </c>
      <c r="K78" s="16">
        <v>0.69899999999999995</v>
      </c>
      <c r="L78" s="16">
        <v>0.7</v>
      </c>
      <c r="M78" s="16" t="s">
        <v>500</v>
      </c>
      <c r="O78" s="2"/>
      <c r="AE78" s="3" t="s">
        <v>48</v>
      </c>
      <c r="AF78" s="3">
        <v>4</v>
      </c>
      <c r="AG78" s="3">
        <f t="shared" si="0"/>
        <v>1</v>
      </c>
      <c r="AH78" s="3">
        <f>+IF(AG78=0,0,IF(AG78=1,(SUM($AG$75:AG78)-1),1))</f>
        <v>0</v>
      </c>
      <c r="AI78" s="3">
        <f t="shared" si="1"/>
        <v>0</v>
      </c>
      <c r="AJ78" s="3">
        <f t="shared" si="2"/>
        <v>0</v>
      </c>
      <c r="AK78" s="3">
        <f t="shared" si="3"/>
        <v>0</v>
      </c>
    </row>
    <row r="79" spans="2:37" x14ac:dyDescent="0.25">
      <c r="B79" s="2"/>
      <c r="D79" s="360" t="s">
        <v>49</v>
      </c>
      <c r="E79" s="360"/>
      <c r="F79" s="16" t="s">
        <v>500</v>
      </c>
      <c r="G79" s="16">
        <v>0.39900000000000002</v>
      </c>
      <c r="H79" s="16">
        <v>0.4</v>
      </c>
      <c r="I79" s="16">
        <v>0.499</v>
      </c>
      <c r="J79" s="16">
        <v>0.5</v>
      </c>
      <c r="K79" s="16">
        <v>0.59899999999999998</v>
      </c>
      <c r="L79" s="16">
        <v>0.6</v>
      </c>
      <c r="M79" s="16" t="s">
        <v>500</v>
      </c>
      <c r="O79" s="2"/>
      <c r="AE79" s="3" t="s">
        <v>49</v>
      </c>
      <c r="AF79" s="3">
        <v>5</v>
      </c>
      <c r="AG79" s="3">
        <f t="shared" si="0"/>
        <v>1</v>
      </c>
      <c r="AH79" s="3">
        <f>+IF(AG79=0,0,IF(AG79=1,(SUM($AG$75:AG79)-1),1))</f>
        <v>1</v>
      </c>
      <c r="AI79" s="3">
        <f t="shared" si="1"/>
        <v>1</v>
      </c>
      <c r="AJ79" s="3">
        <f t="shared" si="2"/>
        <v>1</v>
      </c>
      <c r="AK79" s="3">
        <f t="shared" si="3"/>
        <v>1</v>
      </c>
    </row>
    <row r="80" spans="2:37" x14ac:dyDescent="0.25">
      <c r="B80" s="2"/>
      <c r="D80" s="360" t="s">
        <v>50</v>
      </c>
      <c r="E80" s="360"/>
      <c r="F80" s="16" t="s">
        <v>500</v>
      </c>
      <c r="G80" s="16">
        <v>0.39900000000000002</v>
      </c>
      <c r="H80" s="16">
        <v>0.4</v>
      </c>
      <c r="I80" s="16">
        <v>0.59899999999999998</v>
      </c>
      <c r="J80" s="16">
        <v>0.6</v>
      </c>
      <c r="K80" s="16">
        <v>0.69899999999999995</v>
      </c>
      <c r="L80" s="16">
        <v>0.7</v>
      </c>
      <c r="M80" s="16" t="s">
        <v>500</v>
      </c>
      <c r="O80" s="2"/>
      <c r="AE80" s="3" t="s">
        <v>50</v>
      </c>
      <c r="AF80" s="3">
        <v>6</v>
      </c>
      <c r="AG80" s="3">
        <f t="shared" si="0"/>
        <v>1</v>
      </c>
      <c r="AH80" s="3">
        <f>+IF(AG80=0,0,IF(AG80=1,(SUM($AG$75:AG80)-1),1))</f>
        <v>2</v>
      </c>
      <c r="AI80" s="3">
        <f t="shared" si="1"/>
        <v>1</v>
      </c>
      <c r="AJ80" s="3">
        <f t="shared" si="2"/>
        <v>0</v>
      </c>
      <c r="AK80" s="3">
        <f t="shared" si="3"/>
        <v>1</v>
      </c>
    </row>
    <row r="81" spans="2:37" x14ac:dyDescent="0.25">
      <c r="B81" s="2"/>
      <c r="D81" s="360" t="s">
        <v>53</v>
      </c>
      <c r="E81" s="360"/>
      <c r="F81" s="16" t="s">
        <v>500</v>
      </c>
      <c r="G81" s="16">
        <v>0.499</v>
      </c>
      <c r="H81" s="16">
        <v>0.5</v>
      </c>
      <c r="I81" s="16">
        <v>0.69899999999999995</v>
      </c>
      <c r="J81" s="16">
        <v>0.7</v>
      </c>
      <c r="K81" s="16">
        <v>0.79900000000000004</v>
      </c>
      <c r="L81" s="16">
        <v>0.8</v>
      </c>
      <c r="M81" s="16" t="s">
        <v>500</v>
      </c>
      <c r="O81" s="2"/>
      <c r="AE81" s="3" t="s">
        <v>53</v>
      </c>
      <c r="AF81" s="3">
        <v>7</v>
      </c>
      <c r="AG81" s="3">
        <f t="shared" si="0"/>
        <v>1</v>
      </c>
      <c r="AH81" s="3">
        <f>+IF(AG81=0,0,IF(AG81=1,(SUM($AG$75:AG81)-1),1))</f>
        <v>3</v>
      </c>
      <c r="AI81" s="3">
        <f t="shared" si="1"/>
        <v>1</v>
      </c>
      <c r="AJ81" s="3">
        <f t="shared" si="2"/>
        <v>0</v>
      </c>
      <c r="AK81" s="3">
        <f t="shared" si="3"/>
        <v>1</v>
      </c>
    </row>
    <row r="82" spans="2:37" x14ac:dyDescent="0.25">
      <c r="B82" s="2"/>
      <c r="D82" s="360" t="s">
        <v>54</v>
      </c>
      <c r="E82" s="360"/>
      <c r="F82" s="16" t="s">
        <v>500</v>
      </c>
      <c r="G82" s="16">
        <v>0.499</v>
      </c>
      <c r="H82" s="16">
        <v>0.5</v>
      </c>
      <c r="I82" s="16">
        <v>0.69899999999999995</v>
      </c>
      <c r="J82" s="16">
        <v>0.7</v>
      </c>
      <c r="K82" s="16">
        <v>0.89900000000000002</v>
      </c>
      <c r="L82" s="16">
        <v>0.9</v>
      </c>
      <c r="M82" s="16" t="s">
        <v>500</v>
      </c>
      <c r="O82" s="2"/>
      <c r="AE82" s="3" t="s">
        <v>54</v>
      </c>
      <c r="AF82" s="3">
        <v>8</v>
      </c>
      <c r="AG82" s="3">
        <f t="shared" si="0"/>
        <v>1</v>
      </c>
      <c r="AH82" s="3">
        <f>+IF(AG82=0,0,IF(AG82=1,(SUM($AG$75:AG82)-1),1))</f>
        <v>4</v>
      </c>
      <c r="AI82" s="3">
        <f t="shared" si="1"/>
        <v>1</v>
      </c>
      <c r="AJ82" s="3">
        <f t="shared" si="2"/>
        <v>0</v>
      </c>
      <c r="AK82" s="3">
        <f t="shared" si="3"/>
        <v>1</v>
      </c>
    </row>
    <row r="83" spans="2:37" x14ac:dyDescent="0.25">
      <c r="B83" s="2"/>
      <c r="D83" s="360" t="s">
        <v>55</v>
      </c>
      <c r="E83" s="360"/>
      <c r="F83" s="16" t="s">
        <v>500</v>
      </c>
      <c r="G83" s="16">
        <v>0.499</v>
      </c>
      <c r="H83" s="16">
        <v>0.5</v>
      </c>
      <c r="I83" s="16">
        <v>0.69899999999999995</v>
      </c>
      <c r="J83" s="16">
        <v>0.7</v>
      </c>
      <c r="K83" s="16">
        <v>0.89900000000000002</v>
      </c>
      <c r="L83" s="16">
        <v>0.9</v>
      </c>
      <c r="M83" s="16" t="s">
        <v>500</v>
      </c>
      <c r="O83" s="2"/>
      <c r="AE83" s="3" t="s">
        <v>55</v>
      </c>
      <c r="AF83" s="3">
        <v>9</v>
      </c>
      <c r="AG83" s="3">
        <f t="shared" si="0"/>
        <v>1</v>
      </c>
      <c r="AH83" s="3">
        <f>+IF(AG83=0,0,IF(AG83=1,(SUM($AG$75:AG83)-1),1))</f>
        <v>5</v>
      </c>
      <c r="AI83" s="3">
        <f t="shared" si="1"/>
        <v>1</v>
      </c>
      <c r="AJ83" s="3">
        <f t="shared" si="2"/>
        <v>0</v>
      </c>
      <c r="AK83" s="3">
        <f t="shared" si="3"/>
        <v>1</v>
      </c>
    </row>
    <row r="84" spans="2:37" x14ac:dyDescent="0.25">
      <c r="B84" s="2"/>
      <c r="D84" s="360" t="s">
        <v>56</v>
      </c>
      <c r="E84" s="360"/>
      <c r="F84" s="16" t="s">
        <v>500</v>
      </c>
      <c r="G84" s="16">
        <v>0.69899999999999995</v>
      </c>
      <c r="H84" s="16">
        <v>0.7</v>
      </c>
      <c r="I84" s="16">
        <v>0.79900000000000004</v>
      </c>
      <c r="J84" s="16">
        <v>0.8</v>
      </c>
      <c r="K84" s="16">
        <v>0.999</v>
      </c>
      <c r="L84" s="16" t="s">
        <v>500</v>
      </c>
      <c r="M84" s="16">
        <v>1</v>
      </c>
      <c r="O84" s="2"/>
      <c r="AE84" s="3" t="s">
        <v>56</v>
      </c>
      <c r="AF84" s="3">
        <v>10</v>
      </c>
      <c r="AG84" s="3">
        <f t="shared" si="0"/>
        <v>1</v>
      </c>
      <c r="AH84" s="3">
        <f>+IF(AG84=0,0,IF(AG84=1,(SUM($AG$75:AG84)-1),1))</f>
        <v>6</v>
      </c>
      <c r="AI84" s="3">
        <f t="shared" si="1"/>
        <v>1</v>
      </c>
      <c r="AJ84" s="3">
        <f t="shared" si="2"/>
        <v>0</v>
      </c>
      <c r="AK84" s="3">
        <f t="shared" si="3"/>
        <v>1</v>
      </c>
    </row>
    <row r="85" spans="2:37" x14ac:dyDescent="0.25">
      <c r="B85" s="2"/>
      <c r="D85" s="360" t="s">
        <v>57</v>
      </c>
      <c r="E85" s="360"/>
      <c r="F85" s="16" t="s">
        <v>500</v>
      </c>
      <c r="G85" s="16">
        <v>0.69899999999999995</v>
      </c>
      <c r="H85" s="16">
        <v>0.7</v>
      </c>
      <c r="I85" s="16">
        <v>0.79900000000000004</v>
      </c>
      <c r="J85" s="16">
        <v>0.8</v>
      </c>
      <c r="K85" s="16">
        <v>0.999</v>
      </c>
      <c r="L85" s="16" t="s">
        <v>500</v>
      </c>
      <c r="M85" s="16">
        <v>1</v>
      </c>
      <c r="O85" s="2"/>
      <c r="AE85" s="3" t="s">
        <v>57</v>
      </c>
      <c r="AF85" s="3">
        <v>11</v>
      </c>
      <c r="AG85" s="3">
        <f t="shared" si="0"/>
        <v>1</v>
      </c>
      <c r="AH85" s="3">
        <f>+IF(AG85=0,0,IF(AG85=1,(SUM($AG$75:AG85)-1),1))</f>
        <v>7</v>
      </c>
      <c r="AI85" s="3">
        <f t="shared" si="1"/>
        <v>1</v>
      </c>
      <c r="AJ85" s="3">
        <f t="shared" si="2"/>
        <v>0</v>
      </c>
      <c r="AK85" s="3">
        <f t="shared" si="3"/>
        <v>1</v>
      </c>
    </row>
    <row r="86" spans="2:37" x14ac:dyDescent="0.25">
      <c r="B86" s="2"/>
      <c r="D86" s="360" t="s">
        <v>58</v>
      </c>
      <c r="E86" s="360"/>
      <c r="F86" s="16" t="s">
        <v>500</v>
      </c>
      <c r="G86" s="16">
        <v>0.69899999999999995</v>
      </c>
      <c r="H86" s="16">
        <v>0.7</v>
      </c>
      <c r="I86" s="16">
        <v>0.79900000000000004</v>
      </c>
      <c r="J86" s="16">
        <v>0.8</v>
      </c>
      <c r="K86" s="16">
        <v>0.999</v>
      </c>
      <c r="L86" s="16" t="s">
        <v>500</v>
      </c>
      <c r="M86" s="16">
        <v>1</v>
      </c>
      <c r="O86" s="2"/>
      <c r="AE86" s="3" t="s">
        <v>58</v>
      </c>
      <c r="AF86" s="65">
        <v>12</v>
      </c>
      <c r="AG86" s="3">
        <f t="shared" si="0"/>
        <v>1</v>
      </c>
      <c r="AH86" s="3">
        <f>+IF(AG86=0,0,IF(AG86=1,(SUM($AG$75:AG86)-1),1))</f>
        <v>8</v>
      </c>
      <c r="AI86" s="3">
        <f t="shared" si="1"/>
        <v>1</v>
      </c>
      <c r="AJ86" s="3">
        <f t="shared" si="2"/>
        <v>0</v>
      </c>
      <c r="AK86" s="3">
        <f t="shared" si="3"/>
        <v>1</v>
      </c>
    </row>
    <row r="87" spans="2:37" ht="3.75" customHeight="1" x14ac:dyDescent="0.25">
      <c r="B87" s="2"/>
      <c r="O87" s="2"/>
    </row>
    <row r="88" spans="2:37" ht="66" customHeight="1" x14ac:dyDescent="0.25">
      <c r="B88" s="2"/>
      <c r="D88" s="338" t="s">
        <v>59</v>
      </c>
      <c r="E88" s="339"/>
      <c r="F88" s="340" t="s">
        <v>88</v>
      </c>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28.5" customHeight="1" x14ac:dyDescent="0.25">
      <c r="B97" s="2"/>
      <c r="D97" s="359" t="s">
        <v>35</v>
      </c>
      <c r="E97" s="359"/>
      <c r="F97" s="344" t="s">
        <v>591</v>
      </c>
      <c r="G97" s="344"/>
      <c r="H97" s="344"/>
      <c r="I97" s="344"/>
      <c r="J97" s="344"/>
      <c r="K97" s="344"/>
      <c r="L97" s="344"/>
      <c r="M97" s="344"/>
      <c r="O97" s="2"/>
    </row>
    <row r="98" spans="2:15" ht="28.5" customHeight="1" x14ac:dyDescent="0.25">
      <c r="B98" s="2"/>
      <c r="D98" s="359" t="s">
        <v>36</v>
      </c>
      <c r="E98" s="359"/>
      <c r="F98" s="344" t="s">
        <v>605</v>
      </c>
      <c r="G98" s="344"/>
      <c r="H98" s="344"/>
      <c r="I98" s="344"/>
      <c r="J98" s="344"/>
      <c r="K98" s="344"/>
      <c r="L98" s="344"/>
      <c r="M98" s="344"/>
      <c r="O98" s="2"/>
    </row>
    <row r="99" spans="2:15" ht="3.95" customHeight="1" x14ac:dyDescent="0.25">
      <c r="B99" s="2"/>
      <c r="O99" s="2"/>
    </row>
    <row r="100" spans="2:15" ht="58.5" customHeight="1" x14ac:dyDescent="0.25">
      <c r="B100" s="2"/>
      <c r="D100" s="338" t="s">
        <v>62</v>
      </c>
      <c r="E100" s="339"/>
      <c r="F100" s="340" t="s">
        <v>89</v>
      </c>
      <c r="G100" s="341"/>
      <c r="H100" s="341"/>
      <c r="I100" s="341"/>
      <c r="J100" s="341"/>
      <c r="K100" s="341"/>
      <c r="L100" s="341"/>
      <c r="M100" s="342"/>
      <c r="O100" s="2"/>
    </row>
    <row r="101" spans="2:15" ht="3.95" customHeight="1" x14ac:dyDescent="0.25">
      <c r="B101" s="2"/>
      <c r="O101" s="2"/>
    </row>
    <row r="102" spans="2:15" ht="19.5" customHeight="1" x14ac:dyDescent="0.25">
      <c r="B102" s="2"/>
      <c r="D102" s="329" t="s">
        <v>64</v>
      </c>
      <c r="E102" s="330"/>
      <c r="F102" s="19" t="s">
        <v>65</v>
      </c>
      <c r="G102" s="4" t="s">
        <v>2</v>
      </c>
      <c r="K102" s="20"/>
      <c r="O102" s="2"/>
    </row>
    <row r="103" spans="2:15" ht="19.5" customHeight="1" x14ac:dyDescent="0.25">
      <c r="B103" s="2"/>
      <c r="D103" s="331"/>
      <c r="E103" s="332"/>
      <c r="F103" s="19" t="s">
        <v>66</v>
      </c>
      <c r="G103" s="4"/>
      <c r="K103" s="21"/>
      <c r="O103" s="2"/>
    </row>
    <row r="104" spans="2:15" ht="27.75" customHeight="1" x14ac:dyDescent="0.25">
      <c r="B104" s="2"/>
      <c r="D104" s="331"/>
      <c r="E104" s="332"/>
      <c r="F104" s="19" t="s">
        <v>67</v>
      </c>
      <c r="G104" s="333"/>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69</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 xml:space="preserve">Director(a) Primera Infancia </v>
      </c>
      <c r="H108" s="334"/>
      <c r="I108" s="334"/>
      <c r="J108" s="334"/>
      <c r="K108" s="334"/>
      <c r="L108" s="334"/>
      <c r="M108" s="335"/>
      <c r="O108" s="2"/>
    </row>
    <row r="109" spans="2:15" ht="17.25" customHeight="1" x14ac:dyDescent="0.25">
      <c r="B109" s="2"/>
      <c r="D109" s="331"/>
      <c r="E109" s="332"/>
      <c r="F109" s="19" t="s">
        <v>2042</v>
      </c>
      <c r="G109" s="333" t="str">
        <f>+IF(M23="Si","Coordinador(a) Planeación y Sistemas","")</f>
        <v>Coordinador(a) Planeación y Sistemas</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3264" priority="31">
      <formula>+IF($F$43="no",1,0)</formula>
    </cfRule>
  </conditionalFormatting>
  <conditionalFormatting sqref="F32:M33">
    <cfRule type="expression" dxfId="3263" priority="30">
      <formula>+IF($Q$30="NA",1,0)</formula>
    </cfRule>
  </conditionalFormatting>
  <conditionalFormatting sqref="F33:M33">
    <cfRule type="expression" dxfId="3262" priority="29">
      <formula>+IF($Q$33=0,1,0)</formula>
    </cfRule>
  </conditionalFormatting>
  <conditionalFormatting sqref="F47:M47">
    <cfRule type="expression" dxfId="3261" priority="28">
      <formula>+IF($Q$47=0,1,0)</formula>
    </cfRule>
  </conditionalFormatting>
  <conditionalFormatting sqref="F73:G73">
    <cfRule type="cellIs" dxfId="3260" priority="26" operator="equal">
      <formula>"optimo"</formula>
    </cfRule>
    <cfRule type="cellIs" dxfId="3259" priority="27" operator="equal">
      <formula>"critico"</formula>
    </cfRule>
  </conditionalFormatting>
  <conditionalFormatting sqref="H73:I73">
    <cfRule type="cellIs" dxfId="3258" priority="24" operator="equal">
      <formula>"Adecuado"</formula>
    </cfRule>
    <cfRule type="cellIs" dxfId="3257" priority="25" operator="equal">
      <formula>"en riesgo"</formula>
    </cfRule>
  </conditionalFormatting>
  <conditionalFormatting sqref="J73:K73">
    <cfRule type="cellIs" dxfId="3256" priority="22" operator="equal">
      <formula>"Adecuado"</formula>
    </cfRule>
    <cfRule type="cellIs" dxfId="3255" priority="23" operator="equal">
      <formula>"en riesgo"</formula>
    </cfRule>
  </conditionalFormatting>
  <conditionalFormatting sqref="L73:M73">
    <cfRule type="cellIs" dxfId="3254" priority="20" operator="equal">
      <formula>"optimo"</formula>
    </cfRule>
    <cfRule type="cellIs" dxfId="3253" priority="21" operator="equal">
      <formula>"critico"</formula>
    </cfRule>
  </conditionalFormatting>
  <conditionalFormatting sqref="F75:M86">
    <cfRule type="expression" dxfId="3252" priority="19">
      <formula>+IF($AK75=0,1)</formula>
    </cfRule>
  </conditionalFormatting>
  <conditionalFormatting sqref="F103:G104">
    <cfRule type="expression" dxfId="3251" priority="18">
      <formula>+IF($G$102="No",1,0)</formula>
    </cfRule>
  </conditionalFormatting>
  <conditionalFormatting sqref="F51">
    <cfRule type="expression" dxfId="3250" priority="17">
      <formula>+IF($F$43="no",1,0)</formula>
    </cfRule>
  </conditionalFormatting>
  <conditionalFormatting sqref="I51">
    <cfRule type="expression" dxfId="3249" priority="16">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2">
    <tabColor rgb="FF0070C0"/>
  </sheetPr>
  <dimension ref="B1:AV113"/>
  <sheetViews>
    <sheetView topLeftCell="A70" zoomScale="90" zoomScaleNormal="90" workbookViewId="0">
      <selection activeCell="Q88" sqref="Q88"/>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447</v>
      </c>
      <c r="O10" s="2"/>
    </row>
    <row r="11" spans="2:24" ht="3.95" customHeight="1" x14ac:dyDescent="0.25">
      <c r="B11" s="2"/>
      <c r="D11" s="6"/>
      <c r="O11" s="2"/>
    </row>
    <row r="12" spans="2:24" ht="36" customHeight="1" x14ac:dyDescent="0.25">
      <c r="B12" s="2"/>
      <c r="D12" s="338" t="s">
        <v>5</v>
      </c>
      <c r="E12" s="339"/>
      <c r="F12" s="340" t="s">
        <v>448</v>
      </c>
      <c r="G12" s="341"/>
      <c r="H12" s="341"/>
      <c r="I12" s="341"/>
      <c r="J12" s="341"/>
      <c r="K12" s="341"/>
      <c r="L12" s="341"/>
      <c r="M12" s="342"/>
      <c r="O12" s="2"/>
      <c r="W12" s="3" t="str">
        <f>+F23</f>
        <v>Trimestral</v>
      </c>
      <c r="X12" s="3" t="str">
        <f>+F71</f>
        <v>Junio</v>
      </c>
    </row>
    <row r="13" spans="2:24" ht="3.95" customHeight="1" x14ac:dyDescent="0.25">
      <c r="B13" s="2"/>
      <c r="O13" s="2"/>
    </row>
    <row r="14" spans="2:24" ht="38.25" customHeight="1" x14ac:dyDescent="0.25">
      <c r="B14" s="2"/>
      <c r="D14" s="338" t="s">
        <v>6</v>
      </c>
      <c r="E14" s="339"/>
      <c r="F14" s="340" t="s">
        <v>1448</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8.75" customHeight="1" x14ac:dyDescent="0.25">
      <c r="B22" s="2"/>
      <c r="D22" s="337" t="s">
        <v>8</v>
      </c>
      <c r="E22" s="337"/>
      <c r="F22" s="8">
        <v>1133</v>
      </c>
      <c r="G22" s="337" t="s">
        <v>9</v>
      </c>
      <c r="H22" s="337"/>
      <c r="I22" s="8">
        <v>1133</v>
      </c>
      <c r="K22" s="337" t="s">
        <v>10</v>
      </c>
      <c r="L22" s="337"/>
      <c r="M22" s="9" t="s">
        <v>496</v>
      </c>
      <c r="O22" s="2"/>
    </row>
    <row r="23" spans="2:17" ht="19.5" customHeight="1" x14ac:dyDescent="0.25">
      <c r="B23" s="2"/>
      <c r="D23" s="337" t="s">
        <v>11</v>
      </c>
      <c r="E23" s="337"/>
      <c r="F23" s="4" t="s">
        <v>71</v>
      </c>
      <c r="G23" s="337" t="s">
        <v>12</v>
      </c>
      <c r="H23" s="337"/>
      <c r="I23" s="4" t="s">
        <v>514</v>
      </c>
      <c r="K23" s="337" t="s">
        <v>13</v>
      </c>
      <c r="L23" s="337"/>
      <c r="M23" s="9" t="s">
        <v>496</v>
      </c>
      <c r="O23" s="2"/>
    </row>
    <row r="24" spans="2:17" ht="20.100000000000001" customHeight="1" x14ac:dyDescent="0.25">
      <c r="B24" s="2"/>
      <c r="D24" s="337" t="s">
        <v>14</v>
      </c>
      <c r="E24" s="337"/>
      <c r="F24" s="4" t="s">
        <v>81</v>
      </c>
      <c r="G24" s="337" t="s">
        <v>15</v>
      </c>
      <c r="H24" s="337"/>
      <c r="I24" s="4" t="s">
        <v>103</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NA</v>
      </c>
    </row>
    <row r="31" spans="2:17" ht="24" customHeight="1" x14ac:dyDescent="0.25">
      <c r="B31" s="2"/>
      <c r="D31" s="347"/>
      <c r="E31" s="348"/>
      <c r="F31" s="4" t="s">
        <v>441</v>
      </c>
      <c r="G31" s="340" t="s">
        <v>442</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1025</v>
      </c>
      <c r="G33" s="340"/>
      <c r="H33" s="341"/>
      <c r="I33" s="341"/>
      <c r="J33" s="341"/>
      <c r="K33" s="341"/>
      <c r="L33" s="341"/>
      <c r="M33" s="342"/>
      <c r="O33" s="2"/>
      <c r="Q33" s="3" t="str">
        <f>+IFERROR(IF(VLOOKUP(G33,base!$A$26:$C$40,3,FALSE)=F31,1,0),"")</f>
        <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1716</v>
      </c>
      <c r="G35" s="340" t="s">
        <v>1592</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1250</v>
      </c>
      <c r="G45" s="340" t="s">
        <v>1251</v>
      </c>
      <c r="H45" s="341"/>
      <c r="I45" s="341"/>
      <c r="J45" s="341"/>
      <c r="K45" s="341"/>
      <c r="L45" s="341"/>
      <c r="M45" s="342"/>
      <c r="O45" s="2"/>
      <c r="Q45" s="3" t="str">
        <f>+IFERROR(VLOOKUP(G45,base!$A$41:$C$45,3,FALSE),"")</f>
        <v>transparencia</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1697</v>
      </c>
      <c r="G47" s="340" t="s">
        <v>1620</v>
      </c>
      <c r="H47" s="341"/>
      <c r="I47" s="341"/>
      <c r="J47" s="341"/>
      <c r="K47" s="341"/>
      <c r="L47" s="341"/>
      <c r="M47" s="342"/>
      <c r="O47" s="2"/>
      <c r="Q47" s="3">
        <f>+IF(VLOOKUP(G47,base!$A$46:$C$66,3,FALSE)=F45,1,0)</f>
        <v>1</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920</v>
      </c>
      <c r="G49" s="340" t="s">
        <v>899</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496</v>
      </c>
      <c r="G51" s="337" t="s">
        <v>32</v>
      </c>
      <c r="H51" s="337"/>
      <c r="I51" s="8">
        <v>1133</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37" t="s">
        <v>34</v>
      </c>
      <c r="E59" s="337"/>
      <c r="F59" s="344" t="s">
        <v>1449</v>
      </c>
      <c r="G59" s="344"/>
      <c r="H59" s="344"/>
      <c r="I59" s="344"/>
      <c r="J59" s="344"/>
      <c r="K59" s="344"/>
      <c r="L59" s="344"/>
      <c r="M59" s="344"/>
      <c r="O59" s="2"/>
    </row>
    <row r="60" spans="2:15" ht="66" customHeight="1" x14ac:dyDescent="0.25">
      <c r="B60" s="2"/>
      <c r="D60" s="359" t="s">
        <v>35</v>
      </c>
      <c r="E60" s="359"/>
      <c r="F60" s="344" t="s">
        <v>1450</v>
      </c>
      <c r="G60" s="344"/>
      <c r="H60" s="344"/>
      <c r="I60" s="344"/>
      <c r="J60" s="344"/>
      <c r="K60" s="344"/>
      <c r="L60" s="344"/>
      <c r="M60" s="344"/>
      <c r="O60" s="2"/>
    </row>
    <row r="61" spans="2:15" ht="41.25" customHeight="1" x14ac:dyDescent="0.25">
      <c r="B61" s="2"/>
      <c r="D61" s="359" t="s">
        <v>36</v>
      </c>
      <c r="E61" s="359"/>
      <c r="F61" s="340" t="s">
        <v>1451</v>
      </c>
      <c r="G61" s="341"/>
      <c r="H61" s="341"/>
      <c r="I61" s="341"/>
      <c r="J61" s="341"/>
      <c r="K61" s="341"/>
      <c r="L61" s="341"/>
      <c r="M61" s="342"/>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43" t="s">
        <v>39</v>
      </c>
      <c r="E71" s="343"/>
      <c r="F71" s="4" t="s">
        <v>50</v>
      </c>
      <c r="G71" s="3">
        <v>3</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v>0.749</v>
      </c>
      <c r="H77" s="16">
        <v>0.75</v>
      </c>
      <c r="I77" s="16">
        <v>0.89900000000000002</v>
      </c>
      <c r="J77" s="16">
        <v>0.9</v>
      </c>
      <c r="K77" s="16">
        <v>0.94899999999999995</v>
      </c>
      <c r="L77" s="16">
        <v>0.95</v>
      </c>
      <c r="M77" s="16" t="s">
        <v>500</v>
      </c>
      <c r="O77" s="2"/>
      <c r="AE77" s="3" t="s">
        <v>47</v>
      </c>
      <c r="AF77" s="3">
        <v>3</v>
      </c>
      <c r="AG77" s="3">
        <f t="shared" si="0"/>
        <v>1</v>
      </c>
      <c r="AH77" s="3">
        <f>+IF(AG77=0,0,IF(AG77=1,(SUM($AG$75:AG77)-1),1))</f>
        <v>0</v>
      </c>
      <c r="AI77" s="3">
        <f t="shared" si="1"/>
        <v>0</v>
      </c>
      <c r="AJ77" s="3">
        <f t="shared" si="2"/>
        <v>0</v>
      </c>
      <c r="AK77" s="3">
        <f t="shared" si="3"/>
        <v>0</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2</v>
      </c>
      <c r="AI79" s="3">
        <f t="shared" si="1"/>
        <v>0</v>
      </c>
      <c r="AJ79" s="3">
        <f t="shared" si="2"/>
        <v>0</v>
      </c>
      <c r="AK79" s="3">
        <f t="shared" si="3"/>
        <v>0</v>
      </c>
    </row>
    <row r="80" spans="2:37" x14ac:dyDescent="0.25">
      <c r="B80" s="2"/>
      <c r="D80" s="360" t="s">
        <v>50</v>
      </c>
      <c r="E80" s="360"/>
      <c r="F80" s="16" t="s">
        <v>500</v>
      </c>
      <c r="G80" s="16">
        <v>0.749</v>
      </c>
      <c r="H80" s="16">
        <v>0.75</v>
      </c>
      <c r="I80" s="16">
        <v>0.89900000000000002</v>
      </c>
      <c r="J80" s="16">
        <v>0.9</v>
      </c>
      <c r="K80" s="16">
        <v>0.94899999999999995</v>
      </c>
      <c r="L80" s="16">
        <v>0.95</v>
      </c>
      <c r="M80" s="16" t="s">
        <v>500</v>
      </c>
      <c r="O80" s="2"/>
      <c r="AE80" s="3" t="s">
        <v>50</v>
      </c>
      <c r="AF80" s="3">
        <v>6</v>
      </c>
      <c r="AG80" s="3">
        <f t="shared" si="0"/>
        <v>1</v>
      </c>
      <c r="AH80" s="3">
        <f>+IF(AG80=0,0,IF(AG80=1,(SUM($AG$75:AG80)-1),1))</f>
        <v>3</v>
      </c>
      <c r="AI80" s="3">
        <f t="shared" si="1"/>
        <v>1</v>
      </c>
      <c r="AJ80" s="3">
        <f t="shared" si="2"/>
        <v>1</v>
      </c>
      <c r="AK80" s="3">
        <f t="shared" si="3"/>
        <v>1</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4</v>
      </c>
      <c r="AI81" s="3">
        <f t="shared" si="1"/>
        <v>0</v>
      </c>
      <c r="AJ81" s="3">
        <f t="shared" si="2"/>
        <v>0</v>
      </c>
      <c r="AK81" s="3">
        <f t="shared" si="3"/>
        <v>0</v>
      </c>
    </row>
    <row r="82" spans="2:37" x14ac:dyDescent="0.25">
      <c r="B82" s="2"/>
      <c r="D82" s="360" t="s">
        <v>54</v>
      </c>
      <c r="E82" s="360"/>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60" t="s">
        <v>55</v>
      </c>
      <c r="E83" s="360"/>
      <c r="F83" s="16" t="s">
        <v>500</v>
      </c>
      <c r="G83" s="16">
        <v>0.749</v>
      </c>
      <c r="H83" s="16">
        <v>0.75</v>
      </c>
      <c r="I83" s="16">
        <v>0.89900000000000002</v>
      </c>
      <c r="J83" s="16">
        <v>0.9</v>
      </c>
      <c r="K83" s="16">
        <v>0.94899999999999995</v>
      </c>
      <c r="L83" s="16">
        <v>0.95</v>
      </c>
      <c r="M83" s="16" t="s">
        <v>500</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60" t="s">
        <v>58</v>
      </c>
      <c r="E86" s="360"/>
      <c r="F86" s="16" t="s">
        <v>500</v>
      </c>
      <c r="G86" s="16">
        <v>0.749</v>
      </c>
      <c r="H86" s="16">
        <v>0.75</v>
      </c>
      <c r="I86" s="16">
        <v>0.89900000000000002</v>
      </c>
      <c r="J86" s="16">
        <v>0.9</v>
      </c>
      <c r="K86" s="16">
        <v>0.999</v>
      </c>
      <c r="L86" s="16" t="s">
        <v>500</v>
      </c>
      <c r="M86" s="16">
        <v>1</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66" customHeight="1" x14ac:dyDescent="0.25">
      <c r="B88" s="2"/>
      <c r="D88" s="338" t="s">
        <v>59</v>
      </c>
      <c r="E88" s="339"/>
      <c r="F88" s="340"/>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78.75" customHeight="1" x14ac:dyDescent="0.25">
      <c r="B97" s="2"/>
      <c r="D97" s="359" t="s">
        <v>35</v>
      </c>
      <c r="E97" s="359"/>
      <c r="F97" s="344" t="s">
        <v>1452</v>
      </c>
      <c r="G97" s="344"/>
      <c r="H97" s="344"/>
      <c r="I97" s="344"/>
      <c r="J97" s="344"/>
      <c r="K97" s="344"/>
      <c r="L97" s="344"/>
      <c r="M97" s="344"/>
      <c r="O97" s="2"/>
    </row>
    <row r="98" spans="2:15" ht="72.75" customHeight="1" x14ac:dyDescent="0.25">
      <c r="B98" s="2"/>
      <c r="D98" s="359" t="s">
        <v>36</v>
      </c>
      <c r="E98" s="359"/>
      <c r="F98" s="344" t="s">
        <v>1453</v>
      </c>
      <c r="G98" s="344"/>
      <c r="H98" s="344"/>
      <c r="I98" s="344"/>
      <c r="J98" s="344"/>
      <c r="K98" s="344"/>
      <c r="L98" s="344"/>
      <c r="M98" s="344"/>
      <c r="O98" s="2"/>
    </row>
    <row r="99" spans="2:15" ht="3.95" customHeight="1" x14ac:dyDescent="0.25">
      <c r="B99" s="2"/>
      <c r="O99" s="2"/>
    </row>
    <row r="100" spans="2:15" ht="124.5" customHeight="1" x14ac:dyDescent="0.25">
      <c r="B100" s="2"/>
      <c r="D100" s="338" t="s">
        <v>62</v>
      </c>
      <c r="E100" s="339"/>
      <c r="F100" s="412" t="s">
        <v>1433</v>
      </c>
      <c r="G100" s="413"/>
      <c r="H100" s="413"/>
      <c r="I100" s="413"/>
      <c r="J100" s="413"/>
      <c r="K100" s="413"/>
      <c r="L100" s="413"/>
      <c r="M100" s="414"/>
      <c r="O100" s="2"/>
    </row>
    <row r="101" spans="2:15" ht="3.95" customHeight="1" x14ac:dyDescent="0.25">
      <c r="B101" s="2"/>
      <c r="O101" s="2"/>
    </row>
    <row r="102" spans="2:15" ht="19.5" customHeight="1" x14ac:dyDescent="0.25">
      <c r="B102" s="2"/>
      <c r="D102" s="329" t="s">
        <v>64</v>
      </c>
      <c r="E102" s="330"/>
      <c r="F102" s="19" t="s">
        <v>65</v>
      </c>
      <c r="G102" s="4" t="s">
        <v>2</v>
      </c>
      <c r="K102" s="20"/>
      <c r="O102" s="2"/>
    </row>
    <row r="103" spans="2:15" ht="19.5" customHeight="1" x14ac:dyDescent="0.25">
      <c r="B103" s="2"/>
      <c r="D103" s="331"/>
      <c r="E103" s="332"/>
      <c r="F103" s="19" t="s">
        <v>66</v>
      </c>
      <c r="G103" s="4"/>
      <c r="K103" s="21"/>
      <c r="O103" s="2"/>
    </row>
    <row r="104" spans="2:15" ht="27.75" customHeight="1" x14ac:dyDescent="0.25">
      <c r="B104" s="2"/>
      <c r="D104" s="331"/>
      <c r="E104" s="332"/>
      <c r="F104" s="19" t="s">
        <v>67</v>
      </c>
      <c r="G104" s="333"/>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Director(a)  Sistema Nacional de Bienestar Familiar</v>
      </c>
      <c r="H108" s="334"/>
      <c r="I108" s="334"/>
      <c r="J108" s="334"/>
      <c r="K108" s="334"/>
      <c r="L108" s="334"/>
      <c r="M108" s="335"/>
      <c r="O108" s="2"/>
    </row>
    <row r="109" spans="2:15" ht="17.25" customHeight="1" x14ac:dyDescent="0.25">
      <c r="B109" s="2"/>
      <c r="D109" s="331"/>
      <c r="E109" s="332"/>
      <c r="F109" s="19" t="s">
        <v>2042</v>
      </c>
      <c r="G109" s="333" t="str">
        <f>+IF(M23="Si","Coordinador(a) Planeación y Sistemas","")</f>
        <v>Coordinador(a) Planeación y Sistemas</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6 F48:M49">
    <cfRule type="expression" dxfId="336" priority="33">
      <formula>+IF($F$43="no",1,0)</formula>
    </cfRule>
  </conditionalFormatting>
  <conditionalFormatting sqref="F32:M33">
    <cfRule type="expression" dxfId="335" priority="32">
      <formula>+IF($Q$30="NA",1,0)</formula>
    </cfRule>
  </conditionalFormatting>
  <conditionalFormatting sqref="F33:M33">
    <cfRule type="expression" dxfId="334" priority="31">
      <formula>+IF($Q$33=0,1,0)</formula>
    </cfRule>
  </conditionalFormatting>
  <conditionalFormatting sqref="F73:G73">
    <cfRule type="cellIs" dxfId="333" priority="19" operator="equal">
      <formula>"optimo"</formula>
    </cfRule>
    <cfRule type="cellIs" dxfId="332" priority="20" operator="equal">
      <formula>"critico"</formula>
    </cfRule>
  </conditionalFormatting>
  <conditionalFormatting sqref="H73:I73">
    <cfRule type="cellIs" dxfId="331" priority="17" operator="equal">
      <formula>"Adecuado"</formula>
    </cfRule>
    <cfRule type="cellIs" dxfId="330" priority="18" operator="equal">
      <formula>"en riesgo"</formula>
    </cfRule>
  </conditionalFormatting>
  <conditionalFormatting sqref="J73:K73">
    <cfRule type="cellIs" dxfId="329" priority="15" operator="equal">
      <formula>"Adecuado"</formula>
    </cfRule>
    <cfRule type="cellIs" dxfId="328" priority="16" operator="equal">
      <formula>"en riesgo"</formula>
    </cfRule>
  </conditionalFormatting>
  <conditionalFormatting sqref="L73:M73">
    <cfRule type="cellIs" dxfId="327" priority="13" operator="equal">
      <formula>"optimo"</formula>
    </cfRule>
    <cfRule type="cellIs" dxfId="326" priority="14" operator="equal">
      <formula>"critico"</formula>
    </cfRule>
  </conditionalFormatting>
  <conditionalFormatting sqref="F75:M86">
    <cfRule type="expression" dxfId="325" priority="12">
      <formula>+IF($AK75=0,1)</formula>
    </cfRule>
  </conditionalFormatting>
  <conditionalFormatting sqref="F103:G104">
    <cfRule type="expression" dxfId="324" priority="11">
      <formula>+IF($G$102="No",1,0)</formula>
    </cfRule>
  </conditionalFormatting>
  <conditionalFormatting sqref="F51">
    <cfRule type="expression" dxfId="323" priority="10">
      <formula>+IF($F$43="no",1,0)</formula>
    </cfRule>
  </conditionalFormatting>
  <conditionalFormatting sqref="I51">
    <cfRule type="expression" dxfId="322" priority="9">
      <formula>+IF($F$51="no",1,0)</formula>
    </cfRule>
  </conditionalFormatting>
  <conditionalFormatting sqref="I22">
    <cfRule type="expression" dxfId="321" priority="5">
      <formula>+IF($F$51="no",1,0)</formula>
    </cfRule>
  </conditionalFormatting>
  <conditionalFormatting sqref="F22">
    <cfRule type="expression" dxfId="320"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3">
    <tabColor rgb="FF0070C0"/>
  </sheetPr>
  <dimension ref="B1:AV113"/>
  <sheetViews>
    <sheetView topLeftCell="A46" zoomScale="90" zoomScaleNormal="90" workbookViewId="0">
      <selection activeCell="M86" sqref="M86"/>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449</v>
      </c>
      <c r="O10" s="2"/>
    </row>
    <row r="11" spans="2:24" ht="3.95" customHeight="1" x14ac:dyDescent="0.25">
      <c r="B11" s="2"/>
      <c r="D11" s="6"/>
      <c r="O11" s="2"/>
    </row>
    <row r="12" spans="2:24" ht="36" customHeight="1" x14ac:dyDescent="0.25">
      <c r="B12" s="2"/>
      <c r="D12" s="338" t="s">
        <v>5</v>
      </c>
      <c r="E12" s="339"/>
      <c r="F12" s="340" t="s">
        <v>450</v>
      </c>
      <c r="G12" s="341"/>
      <c r="H12" s="341"/>
      <c r="I12" s="341"/>
      <c r="J12" s="341"/>
      <c r="K12" s="341"/>
      <c r="L12" s="341"/>
      <c r="M12" s="342"/>
      <c r="O12" s="2"/>
      <c r="W12" s="3" t="str">
        <f>+F23</f>
        <v>Semestral</v>
      </c>
      <c r="X12" s="3" t="str">
        <f>+F71</f>
        <v>Junio</v>
      </c>
    </row>
    <row r="13" spans="2:24" ht="3.95" customHeight="1" x14ac:dyDescent="0.25">
      <c r="B13" s="2"/>
      <c r="O13" s="2"/>
    </row>
    <row r="14" spans="2:24" ht="38.25" customHeight="1" x14ac:dyDescent="0.25">
      <c r="B14" s="2"/>
      <c r="D14" s="338" t="s">
        <v>6</v>
      </c>
      <c r="E14" s="339"/>
      <c r="F14" s="340" t="s">
        <v>1443</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8.75" customHeight="1" x14ac:dyDescent="0.25">
      <c r="B22" s="2"/>
      <c r="D22" s="337" t="s">
        <v>8</v>
      </c>
      <c r="E22" s="337"/>
      <c r="F22" s="17">
        <v>0</v>
      </c>
      <c r="G22" s="337" t="s">
        <v>9</v>
      </c>
      <c r="H22" s="337"/>
      <c r="I22" s="17">
        <v>0.4</v>
      </c>
      <c r="K22" s="337" t="s">
        <v>10</v>
      </c>
      <c r="L22" s="337"/>
      <c r="M22" s="9" t="s">
        <v>496</v>
      </c>
      <c r="O22" s="2"/>
    </row>
    <row r="23" spans="2:17" ht="19.5" customHeight="1" x14ac:dyDescent="0.25">
      <c r="B23" s="2"/>
      <c r="D23" s="337" t="s">
        <v>11</v>
      </c>
      <c r="E23" s="337"/>
      <c r="F23" s="4" t="s">
        <v>104</v>
      </c>
      <c r="G23" s="337" t="s">
        <v>12</v>
      </c>
      <c r="H23" s="337"/>
      <c r="I23" s="4" t="s">
        <v>497</v>
      </c>
      <c r="K23" s="337" t="s">
        <v>13</v>
      </c>
      <c r="L23" s="337"/>
      <c r="M23" s="9" t="s">
        <v>2</v>
      </c>
      <c r="O23" s="2"/>
    </row>
    <row r="24" spans="2:17" ht="20.100000000000001" customHeight="1" x14ac:dyDescent="0.25">
      <c r="B24" s="2"/>
      <c r="D24" s="337" t="s">
        <v>14</v>
      </c>
      <c r="E24" s="337"/>
      <c r="F24" s="4" t="s">
        <v>498</v>
      </c>
      <c r="G24" s="337" t="s">
        <v>15</v>
      </c>
      <c r="H24" s="337"/>
      <c r="I24" s="4" t="s">
        <v>103</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NA</v>
      </c>
    </row>
    <row r="31" spans="2:17" ht="24" customHeight="1" x14ac:dyDescent="0.25">
      <c r="B31" s="2"/>
      <c r="D31" s="347"/>
      <c r="E31" s="348"/>
      <c r="F31" s="4" t="s">
        <v>441</v>
      </c>
      <c r="G31" s="340" t="s">
        <v>442</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1025</v>
      </c>
      <c r="G33" s="340"/>
      <c r="H33" s="341"/>
      <c r="I33" s="341"/>
      <c r="J33" s="341"/>
      <c r="K33" s="341"/>
      <c r="L33" s="341"/>
      <c r="M33" s="342"/>
      <c r="O33" s="2"/>
      <c r="Q33" s="3" t="str">
        <f>+IFERROR(IF(VLOOKUP(G33,base!$A$26:$C$40,3,FALSE)=F31,1,0),"")</f>
        <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1716</v>
      </c>
      <c r="G35" s="340" t="s">
        <v>1592</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501</v>
      </c>
      <c r="G45" s="340" t="s">
        <v>515</v>
      </c>
      <c r="H45" s="341"/>
      <c r="I45" s="341"/>
      <c r="J45" s="341"/>
      <c r="K45" s="341"/>
      <c r="L45" s="341"/>
      <c r="M45" s="342"/>
      <c r="O45" s="2"/>
      <c r="Q45" s="3" t="str">
        <f>+IFERROR(VLOOKUP(G45,base!$A$41:$C$45,3,FALSE),"")</f>
        <v>misional</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503</v>
      </c>
      <c r="G47" s="340" t="s">
        <v>995</v>
      </c>
      <c r="H47" s="341"/>
      <c r="I47" s="341"/>
      <c r="J47" s="341"/>
      <c r="K47" s="341"/>
      <c r="L47" s="341"/>
      <c r="M47" s="342"/>
      <c r="O47" s="2"/>
      <c r="Q47" s="3">
        <f>+IF(VLOOKUP(G47,base!$A$46:$C$66,3,FALSE)=F45,1,0)</f>
        <v>1</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920</v>
      </c>
      <c r="G49" s="340" t="s">
        <v>899</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496</v>
      </c>
      <c r="G51" s="337" t="s">
        <v>32</v>
      </c>
      <c r="H51" s="337"/>
      <c r="I51" s="17">
        <v>1</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37" t="s">
        <v>34</v>
      </c>
      <c r="E59" s="337"/>
      <c r="F59" s="344" t="s">
        <v>1444</v>
      </c>
      <c r="G59" s="344"/>
      <c r="H59" s="344"/>
      <c r="I59" s="344"/>
      <c r="J59" s="344"/>
      <c r="K59" s="344"/>
      <c r="L59" s="344"/>
      <c r="M59" s="344"/>
      <c r="O59" s="2"/>
    </row>
    <row r="60" spans="2:15" ht="41.25" customHeight="1" x14ac:dyDescent="0.25">
      <c r="B60" s="2"/>
      <c r="D60" s="359" t="s">
        <v>35</v>
      </c>
      <c r="E60" s="359"/>
      <c r="F60" s="344" t="s">
        <v>1445</v>
      </c>
      <c r="G60" s="344"/>
      <c r="H60" s="344"/>
      <c r="I60" s="344"/>
      <c r="J60" s="344"/>
      <c r="K60" s="344"/>
      <c r="L60" s="344"/>
      <c r="M60" s="344"/>
      <c r="O60" s="2"/>
    </row>
    <row r="61" spans="2:15" ht="41.25" customHeight="1" x14ac:dyDescent="0.25">
      <c r="B61" s="2"/>
      <c r="D61" s="359" t="s">
        <v>36</v>
      </c>
      <c r="E61" s="359"/>
      <c r="F61" s="474" t="s">
        <v>1446</v>
      </c>
      <c r="G61" s="475"/>
      <c r="H61" s="475"/>
      <c r="I61" s="475"/>
      <c r="J61" s="475"/>
      <c r="K61" s="475"/>
      <c r="L61" s="475"/>
      <c r="M61" s="476"/>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6</v>
      </c>
    </row>
    <row r="70" spans="2:37" ht="3.95" customHeight="1" x14ac:dyDescent="0.25">
      <c r="B70" s="2"/>
      <c r="D70" s="7"/>
      <c r="E70" s="7"/>
      <c r="O70" s="2"/>
    </row>
    <row r="71" spans="2:37" ht="18.75" customHeight="1" x14ac:dyDescent="0.25">
      <c r="B71" s="2"/>
      <c r="D71" s="343" t="s">
        <v>39</v>
      </c>
      <c r="E71" s="343"/>
      <c r="F71" s="4" t="s">
        <v>50</v>
      </c>
      <c r="G71" s="3">
        <v>6</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60" t="s">
        <v>50</v>
      </c>
      <c r="E80" s="360"/>
      <c r="F80" s="16" t="s">
        <v>500</v>
      </c>
      <c r="G80" s="16">
        <v>0.159</v>
      </c>
      <c r="H80" s="16">
        <v>0.16</v>
      </c>
      <c r="I80" s="16">
        <v>0.17899999999999999</v>
      </c>
      <c r="J80" s="16">
        <v>0.18</v>
      </c>
      <c r="K80" s="16">
        <v>0.19900000000000001</v>
      </c>
      <c r="L80" s="16">
        <v>0.2</v>
      </c>
      <c r="M80" s="16" t="s">
        <v>500</v>
      </c>
      <c r="O80" s="2"/>
      <c r="Q80" s="284"/>
      <c r="R80" s="284"/>
      <c r="S80" s="284"/>
      <c r="T80" s="284"/>
      <c r="U80" s="284"/>
      <c r="V80" s="284"/>
      <c r="W80" s="283"/>
      <c r="X80" s="1"/>
      <c r="Y80" s="1"/>
      <c r="Z80" s="1"/>
      <c r="AE80" s="3" t="s">
        <v>50</v>
      </c>
      <c r="AF80" s="3">
        <v>6</v>
      </c>
      <c r="AG80" s="3">
        <f t="shared" si="0"/>
        <v>1</v>
      </c>
      <c r="AH80" s="3">
        <f>+IF(AG80=0,0,IF(AG80=1,(SUM($AG$75:AG80)-1),1))</f>
        <v>0</v>
      </c>
      <c r="AI80" s="3">
        <f t="shared" si="1"/>
        <v>0</v>
      </c>
      <c r="AJ80" s="3">
        <f t="shared" si="2"/>
        <v>1</v>
      </c>
      <c r="AK80" s="3">
        <f t="shared" si="3"/>
        <v>1</v>
      </c>
    </row>
    <row r="81" spans="2:37" x14ac:dyDescent="0.25">
      <c r="B81" s="2"/>
      <c r="D81" s="360" t="s">
        <v>53</v>
      </c>
      <c r="E81" s="360"/>
      <c r="F81" s="16" t="s">
        <v>500</v>
      </c>
      <c r="G81" s="16" t="s">
        <v>500</v>
      </c>
      <c r="H81" s="16" t="s">
        <v>500</v>
      </c>
      <c r="I81" s="16" t="s">
        <v>500</v>
      </c>
      <c r="J81" s="16" t="s">
        <v>500</v>
      </c>
      <c r="K81" s="16" t="s">
        <v>500</v>
      </c>
      <c r="L81" s="16" t="s">
        <v>500</v>
      </c>
      <c r="M81" s="16" t="s">
        <v>500</v>
      </c>
      <c r="O81" s="2"/>
      <c r="Q81" s="1"/>
      <c r="R81" s="1"/>
      <c r="S81" s="1"/>
      <c r="T81" s="1"/>
      <c r="U81" s="1"/>
      <c r="V81" s="1"/>
      <c r="W81" s="1"/>
      <c r="X81" s="1"/>
      <c r="Y81" s="1"/>
      <c r="Z81" s="1"/>
      <c r="AE81" s="3" t="s">
        <v>53</v>
      </c>
      <c r="AF81" s="3">
        <v>7</v>
      </c>
      <c r="AG81" s="3">
        <f t="shared" si="0"/>
        <v>1</v>
      </c>
      <c r="AH81" s="3">
        <f>+IF(AG81=0,0,IF(AG81=1,(SUM($AG$75:AG81)-1),1))</f>
        <v>1</v>
      </c>
      <c r="AI81" s="3">
        <f t="shared" si="1"/>
        <v>0</v>
      </c>
      <c r="AJ81" s="3">
        <f t="shared" si="2"/>
        <v>0</v>
      </c>
      <c r="AK81" s="3">
        <f t="shared" si="3"/>
        <v>0</v>
      </c>
    </row>
    <row r="82" spans="2:37" x14ac:dyDescent="0.25">
      <c r="B82" s="2"/>
      <c r="D82" s="360" t="s">
        <v>54</v>
      </c>
      <c r="E82" s="360"/>
      <c r="F82" s="16" t="s">
        <v>500</v>
      </c>
      <c r="G82" s="16" t="s">
        <v>500</v>
      </c>
      <c r="H82" s="16" t="s">
        <v>500</v>
      </c>
      <c r="I82" s="16" t="s">
        <v>500</v>
      </c>
      <c r="J82" s="16" t="s">
        <v>500</v>
      </c>
      <c r="K82" s="16" t="s">
        <v>500</v>
      </c>
      <c r="L82" s="16" t="s">
        <v>500</v>
      </c>
      <c r="M82" s="16" t="s">
        <v>500</v>
      </c>
      <c r="O82" s="2"/>
      <c r="Q82" s="1"/>
      <c r="R82" s="1"/>
      <c r="S82" s="1"/>
      <c r="T82" s="1"/>
      <c r="U82" s="1"/>
      <c r="V82" s="1"/>
      <c r="W82" s="1"/>
      <c r="X82" s="1"/>
      <c r="Y82" s="1"/>
      <c r="Z82" s="1"/>
      <c r="AE82" s="3" t="s">
        <v>54</v>
      </c>
      <c r="AF82" s="3">
        <v>8</v>
      </c>
      <c r="AG82" s="3">
        <f t="shared" si="0"/>
        <v>1</v>
      </c>
      <c r="AH82" s="3">
        <f>+IF(AG82=0,0,IF(AG82=1,(SUM($AG$75:AG82)-1),1))</f>
        <v>2</v>
      </c>
      <c r="AI82" s="3">
        <f t="shared" si="1"/>
        <v>0</v>
      </c>
      <c r="AJ82" s="3">
        <f t="shared" si="2"/>
        <v>0</v>
      </c>
      <c r="AK82" s="3">
        <f t="shared" si="3"/>
        <v>0</v>
      </c>
    </row>
    <row r="83" spans="2:37" x14ac:dyDescent="0.25">
      <c r="B83" s="2"/>
      <c r="D83" s="360" t="s">
        <v>55</v>
      </c>
      <c r="E83" s="360"/>
      <c r="F83" s="16" t="s">
        <v>500</v>
      </c>
      <c r="G83" s="16" t="s">
        <v>500</v>
      </c>
      <c r="H83" s="16" t="s">
        <v>500</v>
      </c>
      <c r="I83" s="16" t="s">
        <v>500</v>
      </c>
      <c r="J83" s="16" t="s">
        <v>500</v>
      </c>
      <c r="K83" s="16" t="s">
        <v>500</v>
      </c>
      <c r="L83" s="16" t="s">
        <v>500</v>
      </c>
      <c r="M83" s="16" t="s">
        <v>500</v>
      </c>
      <c r="O83" s="2"/>
      <c r="Q83" s="1"/>
      <c r="R83" s="1"/>
      <c r="S83" s="1"/>
      <c r="T83" s="1"/>
      <c r="U83" s="1"/>
      <c r="V83" s="1"/>
      <c r="W83" s="1"/>
      <c r="X83" s="1"/>
      <c r="Y83" s="1"/>
      <c r="Z83" s="1"/>
      <c r="AE83" s="3" t="s">
        <v>55</v>
      </c>
      <c r="AF83" s="3">
        <v>9</v>
      </c>
      <c r="AG83" s="3">
        <f t="shared" si="0"/>
        <v>1</v>
      </c>
      <c r="AH83" s="3">
        <f>+IF(AG83=0,0,IF(AG83=1,(SUM($AG$75:AG83)-1),1))</f>
        <v>3</v>
      </c>
      <c r="AI83" s="3">
        <f t="shared" si="1"/>
        <v>0</v>
      </c>
      <c r="AJ83" s="3">
        <f t="shared" si="2"/>
        <v>0</v>
      </c>
      <c r="AK83" s="3">
        <f t="shared" si="3"/>
        <v>0</v>
      </c>
    </row>
    <row r="84" spans="2:37" x14ac:dyDescent="0.25">
      <c r="B84" s="2"/>
      <c r="D84" s="360" t="s">
        <v>56</v>
      </c>
      <c r="E84" s="360"/>
      <c r="F84" s="16" t="s">
        <v>500</v>
      </c>
      <c r="G84" s="16" t="s">
        <v>500</v>
      </c>
      <c r="H84" s="16" t="s">
        <v>500</v>
      </c>
      <c r="I84" s="16" t="s">
        <v>500</v>
      </c>
      <c r="J84" s="16" t="s">
        <v>500</v>
      </c>
      <c r="K84" s="16" t="s">
        <v>500</v>
      </c>
      <c r="L84" s="16" t="s">
        <v>500</v>
      </c>
      <c r="M84" s="16" t="s">
        <v>500</v>
      </c>
      <c r="O84" s="2"/>
      <c r="Q84" s="1"/>
      <c r="R84" s="1"/>
      <c r="S84" s="1"/>
      <c r="T84" s="1"/>
      <c r="U84" s="1"/>
      <c r="V84" s="1"/>
      <c r="W84" s="1"/>
      <c r="X84" s="1"/>
      <c r="Y84" s="1"/>
      <c r="Z84" s="1"/>
      <c r="AE84" s="3" t="s">
        <v>56</v>
      </c>
      <c r="AF84" s="3">
        <v>10</v>
      </c>
      <c r="AG84" s="3">
        <f t="shared" si="0"/>
        <v>1</v>
      </c>
      <c r="AH84" s="3">
        <f>+IF(AG84=0,0,IF(AG84=1,(SUM($AG$75:AG84)-1),1))</f>
        <v>4</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Q85" s="1"/>
      <c r="R85" s="1"/>
      <c r="S85" s="1"/>
      <c r="T85" s="1"/>
      <c r="U85" s="1"/>
      <c r="V85" s="1"/>
      <c r="W85" s="1"/>
      <c r="X85" s="1"/>
      <c r="Y85" s="1"/>
      <c r="Z85" s="1"/>
      <c r="AE85" s="3" t="s">
        <v>57</v>
      </c>
      <c r="AF85" s="3">
        <v>11</v>
      </c>
      <c r="AG85" s="3">
        <f t="shared" si="0"/>
        <v>1</v>
      </c>
      <c r="AH85" s="3">
        <f>+IF(AG85=0,0,IF(AG85=1,(SUM($AG$75:AG85)-1),1))</f>
        <v>5</v>
      </c>
      <c r="AI85" s="3">
        <f t="shared" si="1"/>
        <v>0</v>
      </c>
      <c r="AJ85" s="3">
        <f t="shared" si="2"/>
        <v>0</v>
      </c>
      <c r="AK85" s="3">
        <f t="shared" si="3"/>
        <v>0</v>
      </c>
    </row>
    <row r="86" spans="2:37" x14ac:dyDescent="0.25">
      <c r="B86" s="2"/>
      <c r="D86" s="360" t="s">
        <v>58</v>
      </c>
      <c r="E86" s="360"/>
      <c r="F86" s="16" t="s">
        <v>500</v>
      </c>
      <c r="G86" s="16">
        <v>0.29899999999999999</v>
      </c>
      <c r="H86" s="16">
        <v>0.3</v>
      </c>
      <c r="I86" s="16">
        <v>0.31900000000000001</v>
      </c>
      <c r="J86" s="16">
        <v>0.32</v>
      </c>
      <c r="K86" s="16">
        <v>0.39900000000000002</v>
      </c>
      <c r="L86" s="16"/>
      <c r="M86" s="16">
        <v>0.4</v>
      </c>
      <c r="O86" s="2"/>
      <c r="Q86" s="284"/>
      <c r="R86" s="284"/>
      <c r="S86" s="284"/>
      <c r="T86" s="284"/>
      <c r="U86" s="284"/>
      <c r="V86" s="284"/>
      <c r="W86" s="284"/>
      <c r="X86" s="1"/>
      <c r="Y86" s="1"/>
      <c r="Z86" s="1"/>
      <c r="AE86" s="3" t="s">
        <v>58</v>
      </c>
      <c r="AF86" s="65">
        <v>12</v>
      </c>
      <c r="AG86" s="3">
        <f t="shared" si="0"/>
        <v>1</v>
      </c>
      <c r="AH86" s="3">
        <f>+IF(AG86=0,0,IF(AG86=1,(SUM($AG$75:AG86)-1),1))</f>
        <v>6</v>
      </c>
      <c r="AI86" s="3">
        <f t="shared" si="1"/>
        <v>1</v>
      </c>
      <c r="AJ86" s="3">
        <f t="shared" si="2"/>
        <v>0</v>
      </c>
      <c r="AK86" s="3">
        <f t="shared" si="3"/>
        <v>1</v>
      </c>
    </row>
    <row r="87" spans="2:37" ht="3.75" customHeight="1" x14ac:dyDescent="0.25">
      <c r="B87" s="2"/>
      <c r="O87" s="2"/>
    </row>
    <row r="88" spans="2:37" ht="66" customHeight="1" x14ac:dyDescent="0.25">
      <c r="B88" s="2"/>
      <c r="D88" s="338" t="s">
        <v>59</v>
      </c>
      <c r="E88" s="339"/>
      <c r="F88" s="340"/>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7.25" customHeight="1" x14ac:dyDescent="0.25">
      <c r="B97" s="2"/>
      <c r="D97" s="359" t="s">
        <v>35</v>
      </c>
      <c r="E97" s="359"/>
      <c r="F97" s="344" t="s">
        <v>1447</v>
      </c>
      <c r="G97" s="344"/>
      <c r="H97" s="344"/>
      <c r="I97" s="344"/>
      <c r="J97" s="344"/>
      <c r="K97" s="344"/>
      <c r="L97" s="344"/>
      <c r="M97" s="344"/>
      <c r="O97" s="2"/>
    </row>
    <row r="98" spans="2:15" ht="47.25" customHeight="1" x14ac:dyDescent="0.25">
      <c r="B98" s="2"/>
      <c r="D98" s="359" t="s">
        <v>36</v>
      </c>
      <c r="E98" s="359"/>
      <c r="F98" s="344" t="s">
        <v>1447</v>
      </c>
      <c r="G98" s="344"/>
      <c r="H98" s="344"/>
      <c r="I98" s="344"/>
      <c r="J98" s="344"/>
      <c r="K98" s="344"/>
      <c r="L98" s="344"/>
      <c r="M98" s="344"/>
      <c r="O98" s="2"/>
    </row>
    <row r="99" spans="2:15" ht="3.95" customHeight="1" x14ac:dyDescent="0.25">
      <c r="B99" s="2"/>
      <c r="O99" s="2"/>
    </row>
    <row r="100" spans="2:15" ht="58.5" customHeight="1" x14ac:dyDescent="0.25">
      <c r="B100" s="2"/>
      <c r="D100" s="338" t="s">
        <v>62</v>
      </c>
      <c r="E100" s="339"/>
      <c r="F100" s="333"/>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2</v>
      </c>
      <c r="K102" s="20"/>
      <c r="O102" s="2"/>
    </row>
    <row r="103" spans="2:15" ht="19.5" customHeight="1" x14ac:dyDescent="0.25">
      <c r="B103" s="2"/>
      <c r="D103" s="331"/>
      <c r="E103" s="332"/>
      <c r="F103" s="19" t="s">
        <v>66</v>
      </c>
      <c r="G103" s="4"/>
      <c r="K103" s="21"/>
      <c r="O103" s="2"/>
    </row>
    <row r="104" spans="2:15" ht="27.75" customHeight="1" x14ac:dyDescent="0.25">
      <c r="B104" s="2"/>
      <c r="D104" s="331"/>
      <c r="E104" s="332"/>
      <c r="F104" s="19" t="s">
        <v>67</v>
      </c>
      <c r="G104" s="333"/>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Director(a)  Sistema Nacional de Bienestar Familiar</v>
      </c>
      <c r="H108" s="334"/>
      <c r="I108" s="334"/>
      <c r="J108" s="334"/>
      <c r="K108" s="334"/>
      <c r="L108" s="334"/>
      <c r="M108" s="335"/>
      <c r="O108" s="2"/>
    </row>
    <row r="109" spans="2:15" ht="17.25" customHeight="1" x14ac:dyDescent="0.25">
      <c r="B109" s="2"/>
      <c r="D109" s="331"/>
      <c r="E109" s="332"/>
      <c r="F109" s="19" t="s">
        <v>2042</v>
      </c>
      <c r="G109" s="333" t="str">
        <f>+IF(M23="Si","Coordinador(a) Planeación y Sistemas","")</f>
        <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319" priority="33">
      <formula>+IF($F$43="no",1,0)</formula>
    </cfRule>
  </conditionalFormatting>
  <conditionalFormatting sqref="F32:M33">
    <cfRule type="expression" dxfId="318" priority="32">
      <formula>+IF($Q$30="NA",1,0)</formula>
    </cfRule>
  </conditionalFormatting>
  <conditionalFormatting sqref="F33:M33">
    <cfRule type="expression" dxfId="317" priority="31">
      <formula>+IF($Q$33=0,1,0)</formula>
    </cfRule>
  </conditionalFormatting>
  <conditionalFormatting sqref="F47:M47">
    <cfRule type="expression" dxfId="316" priority="30">
      <formula>+IF($Q$47=0,1,0)</formula>
    </cfRule>
  </conditionalFormatting>
  <conditionalFormatting sqref="F73:G73">
    <cfRule type="cellIs" dxfId="315" priority="16" operator="equal">
      <formula>"optimo"</formula>
    </cfRule>
    <cfRule type="cellIs" dxfId="314" priority="17" operator="equal">
      <formula>"critico"</formula>
    </cfRule>
  </conditionalFormatting>
  <conditionalFormatting sqref="H73:I73">
    <cfRule type="cellIs" dxfId="313" priority="14" operator="equal">
      <formula>"Adecuado"</formula>
    </cfRule>
    <cfRule type="cellIs" dxfId="312" priority="15" operator="equal">
      <formula>"en riesgo"</formula>
    </cfRule>
  </conditionalFormatting>
  <conditionalFormatting sqref="J73:K73">
    <cfRule type="cellIs" dxfId="311" priority="12" operator="equal">
      <formula>"Adecuado"</formula>
    </cfRule>
    <cfRule type="cellIs" dxfId="310" priority="13" operator="equal">
      <formula>"en riesgo"</formula>
    </cfRule>
  </conditionalFormatting>
  <conditionalFormatting sqref="L73:M73">
    <cfRule type="cellIs" dxfId="309" priority="10" operator="equal">
      <formula>"optimo"</formula>
    </cfRule>
    <cfRule type="cellIs" dxfId="308" priority="11" operator="equal">
      <formula>"critico"</formula>
    </cfRule>
  </conditionalFormatting>
  <conditionalFormatting sqref="F75:M86">
    <cfRule type="expression" dxfId="307" priority="9">
      <formula>+IF($AK75=0,1)</formula>
    </cfRule>
  </conditionalFormatting>
  <conditionalFormatting sqref="F103:G104">
    <cfRule type="expression" dxfId="306" priority="8">
      <formula>+IF($G$102="No",1,0)</formula>
    </cfRule>
  </conditionalFormatting>
  <conditionalFormatting sqref="F51">
    <cfRule type="expression" dxfId="305" priority="7">
      <formula>+IF($F$43="no",1,0)</formula>
    </cfRule>
  </conditionalFormatting>
  <conditionalFormatting sqref="I51">
    <cfRule type="expression" dxfId="304" priority="6">
      <formula>+IF($F$51="no",1,0)</formula>
    </cfRule>
  </conditionalFormatting>
  <conditionalFormatting sqref="I22">
    <cfRule type="expression" dxfId="303" priority="5">
      <formula>+IF($F$51="no",1,0)</formula>
    </cfRule>
  </conditionalFormatting>
  <conditionalFormatting sqref="F22">
    <cfRule type="expression" dxfId="302"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4">
    <tabColor rgb="FF0070C0"/>
  </sheetPr>
  <dimension ref="B1:AV113"/>
  <sheetViews>
    <sheetView zoomScale="90" zoomScaleNormal="90" workbookViewId="0">
      <selection activeCell="R35" sqref="R35"/>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451</v>
      </c>
      <c r="O10" s="2"/>
    </row>
    <row r="11" spans="2:24" ht="3.95" customHeight="1" x14ac:dyDescent="0.25">
      <c r="B11" s="2"/>
      <c r="D11" s="6"/>
      <c r="O11" s="2"/>
    </row>
    <row r="12" spans="2:24" ht="36" customHeight="1" x14ac:dyDescent="0.25">
      <c r="B12" s="2"/>
      <c r="D12" s="338" t="s">
        <v>5</v>
      </c>
      <c r="E12" s="339"/>
      <c r="F12" s="340" t="s">
        <v>1885</v>
      </c>
      <c r="G12" s="341"/>
      <c r="H12" s="341"/>
      <c r="I12" s="341"/>
      <c r="J12" s="341"/>
      <c r="K12" s="341"/>
      <c r="L12" s="341"/>
      <c r="M12" s="342"/>
      <c r="O12" s="2"/>
      <c r="W12" s="3" t="str">
        <f>+F23</f>
        <v>Semestral</v>
      </c>
      <c r="X12" s="3" t="str">
        <f>+F71</f>
        <v>Junio</v>
      </c>
    </row>
    <row r="13" spans="2:24" ht="3.95" customHeight="1" x14ac:dyDescent="0.25">
      <c r="B13" s="2"/>
      <c r="O13" s="2"/>
    </row>
    <row r="14" spans="2:24" ht="38.25" customHeight="1" x14ac:dyDescent="0.25">
      <c r="B14" s="2"/>
      <c r="D14" s="338" t="s">
        <v>6</v>
      </c>
      <c r="E14" s="339"/>
      <c r="F14" s="340" t="s">
        <v>1440</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8.75" customHeight="1" x14ac:dyDescent="0.25">
      <c r="B22" s="2"/>
      <c r="D22" s="337" t="s">
        <v>8</v>
      </c>
      <c r="E22" s="337"/>
      <c r="F22" s="17">
        <v>0</v>
      </c>
      <c r="G22" s="337" t="s">
        <v>9</v>
      </c>
      <c r="H22" s="337"/>
      <c r="I22" s="17">
        <v>1</v>
      </c>
      <c r="K22" s="337" t="s">
        <v>10</v>
      </c>
      <c r="L22" s="337"/>
      <c r="M22" s="9" t="s">
        <v>496</v>
      </c>
      <c r="O22" s="2"/>
    </row>
    <row r="23" spans="2:17" ht="19.5" customHeight="1" x14ac:dyDescent="0.25">
      <c r="B23" s="2"/>
      <c r="D23" s="337" t="s">
        <v>11</v>
      </c>
      <c r="E23" s="337"/>
      <c r="F23" s="4" t="s">
        <v>104</v>
      </c>
      <c r="G23" s="337" t="s">
        <v>12</v>
      </c>
      <c r="H23" s="337"/>
      <c r="I23" s="4" t="s">
        <v>497</v>
      </c>
      <c r="K23" s="337" t="s">
        <v>13</v>
      </c>
      <c r="L23" s="337"/>
      <c r="M23" s="9" t="s">
        <v>2</v>
      </c>
      <c r="O23" s="2"/>
    </row>
    <row r="24" spans="2:17" ht="20.100000000000001" customHeight="1" x14ac:dyDescent="0.25">
      <c r="B24" s="2"/>
      <c r="D24" s="337" t="s">
        <v>14</v>
      </c>
      <c r="E24" s="337"/>
      <c r="F24" s="4" t="s">
        <v>498</v>
      </c>
      <c r="G24" s="337" t="s">
        <v>15</v>
      </c>
      <c r="H24" s="337"/>
      <c r="I24" s="4" t="s">
        <v>103</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NA</v>
      </c>
    </row>
    <row r="31" spans="2:17" ht="24" customHeight="1" x14ac:dyDescent="0.25">
      <c r="B31" s="2"/>
      <c r="D31" s="347"/>
      <c r="E31" s="348"/>
      <c r="F31" s="4" t="s">
        <v>441</v>
      </c>
      <c r="G31" s="340" t="s">
        <v>442</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1025</v>
      </c>
      <c r="G33" s="340"/>
      <c r="H33" s="341"/>
      <c r="I33" s="341"/>
      <c r="J33" s="341"/>
      <c r="K33" s="341"/>
      <c r="L33" s="341"/>
      <c r="M33" s="342"/>
      <c r="O33" s="2"/>
      <c r="Q33" s="3" t="str">
        <f>+IFERROR(IF(VLOOKUP(G33,base!$A$26:$C$40,3,FALSE)=F31,1,0),"")</f>
        <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1716</v>
      </c>
      <c r="G35" s="340" t="s">
        <v>1592</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501</v>
      </c>
      <c r="G45" s="340" t="s">
        <v>515</v>
      </c>
      <c r="H45" s="341"/>
      <c r="I45" s="341"/>
      <c r="J45" s="341"/>
      <c r="K45" s="341"/>
      <c r="L45" s="341"/>
      <c r="M45" s="342"/>
      <c r="O45" s="2"/>
      <c r="Q45" s="3" t="str">
        <f>+IFERROR(VLOOKUP(G45,base!$A$41:$C$45,3,FALSE),"")</f>
        <v>misional</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503</v>
      </c>
      <c r="G47" s="340" t="s">
        <v>995</v>
      </c>
      <c r="H47" s="341"/>
      <c r="I47" s="341"/>
      <c r="J47" s="341"/>
      <c r="K47" s="341"/>
      <c r="L47" s="341"/>
      <c r="M47" s="342"/>
      <c r="O47" s="2"/>
      <c r="Q47" s="3">
        <f>+IF(VLOOKUP(G47,base!$A$46:$C$66,3,FALSE)=F45,1,0)</f>
        <v>1</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920</v>
      </c>
      <c r="G49" s="340" t="s">
        <v>899</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496</v>
      </c>
      <c r="G51" s="337" t="s">
        <v>32</v>
      </c>
      <c r="H51" s="337"/>
      <c r="I51" s="17">
        <v>1</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37" t="s">
        <v>34</v>
      </c>
      <c r="E59" s="337"/>
      <c r="F59" s="473" t="s">
        <v>1886</v>
      </c>
      <c r="G59" s="473"/>
      <c r="H59" s="473"/>
      <c r="I59" s="473"/>
      <c r="J59" s="473"/>
      <c r="K59" s="473"/>
      <c r="L59" s="473"/>
      <c r="M59" s="473"/>
      <c r="O59" s="2"/>
    </row>
    <row r="60" spans="2:15" ht="45.75" customHeight="1" x14ac:dyDescent="0.25">
      <c r="B60" s="2"/>
      <c r="D60" s="359" t="s">
        <v>35</v>
      </c>
      <c r="E60" s="359"/>
      <c r="F60" s="344" t="s">
        <v>1887</v>
      </c>
      <c r="G60" s="344"/>
      <c r="H60" s="344"/>
      <c r="I60" s="344"/>
      <c r="J60" s="344"/>
      <c r="K60" s="344"/>
      <c r="L60" s="344"/>
      <c r="M60" s="344"/>
      <c r="O60" s="2"/>
    </row>
    <row r="61" spans="2:15" ht="45.75" customHeight="1" x14ac:dyDescent="0.25">
      <c r="B61" s="2"/>
      <c r="D61" s="359" t="s">
        <v>36</v>
      </c>
      <c r="E61" s="359"/>
      <c r="F61" s="474" t="s">
        <v>1441</v>
      </c>
      <c r="G61" s="475"/>
      <c r="H61" s="475"/>
      <c r="I61" s="475"/>
      <c r="J61" s="475"/>
      <c r="K61" s="475"/>
      <c r="L61" s="475"/>
      <c r="M61" s="476"/>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6</v>
      </c>
    </row>
    <row r="70" spans="2:37" ht="3.95" customHeight="1" x14ac:dyDescent="0.25">
      <c r="B70" s="2"/>
      <c r="D70" s="7"/>
      <c r="E70" s="7"/>
      <c r="O70" s="2"/>
    </row>
    <row r="71" spans="2:37" ht="18.75" customHeight="1" x14ac:dyDescent="0.25">
      <c r="B71" s="2"/>
      <c r="D71" s="343" t="s">
        <v>39</v>
      </c>
      <c r="E71" s="343"/>
      <c r="F71" s="4" t="s">
        <v>50</v>
      </c>
      <c r="G71" s="3">
        <v>6</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60" t="s">
        <v>50</v>
      </c>
      <c r="E80" s="360"/>
      <c r="F80" s="16">
        <v>0</v>
      </c>
      <c r="G80" s="16">
        <v>0.19900000000000001</v>
      </c>
      <c r="H80" s="16">
        <v>0.2</v>
      </c>
      <c r="I80" s="16">
        <v>0.29899999999999999</v>
      </c>
      <c r="J80" s="16">
        <v>0.3</v>
      </c>
      <c r="K80" s="16">
        <v>0.499</v>
      </c>
      <c r="L80" s="16">
        <v>0.5</v>
      </c>
      <c r="M80" s="16"/>
      <c r="O80" s="2"/>
      <c r="AE80" s="3" t="s">
        <v>50</v>
      </c>
      <c r="AF80" s="3">
        <v>6</v>
      </c>
      <c r="AG80" s="3">
        <f t="shared" si="0"/>
        <v>1</v>
      </c>
      <c r="AH80" s="3">
        <f>+IF(AG80=0,0,IF(AG80=1,(SUM($AG$75:AG80)-1),1))</f>
        <v>0</v>
      </c>
      <c r="AI80" s="3">
        <f t="shared" si="1"/>
        <v>0</v>
      </c>
      <c r="AJ80" s="3">
        <f t="shared" si="2"/>
        <v>1</v>
      </c>
      <c r="AK80" s="3">
        <f t="shared" si="3"/>
        <v>1</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1</v>
      </c>
      <c r="AI81" s="3">
        <f t="shared" si="1"/>
        <v>0</v>
      </c>
      <c r="AJ81" s="3">
        <f t="shared" si="2"/>
        <v>0</v>
      </c>
      <c r="AK81" s="3">
        <f t="shared" si="3"/>
        <v>0</v>
      </c>
    </row>
    <row r="82" spans="2:37" x14ac:dyDescent="0.25">
      <c r="B82" s="2"/>
      <c r="D82" s="360" t="s">
        <v>54</v>
      </c>
      <c r="E82" s="360"/>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2</v>
      </c>
      <c r="AI82" s="3">
        <f t="shared" si="1"/>
        <v>0</v>
      </c>
      <c r="AJ82" s="3">
        <f t="shared" si="2"/>
        <v>0</v>
      </c>
      <c r="AK82" s="3">
        <f t="shared" si="3"/>
        <v>0</v>
      </c>
    </row>
    <row r="83" spans="2:37" x14ac:dyDescent="0.25">
      <c r="B83" s="2"/>
      <c r="D83" s="360" t="s">
        <v>55</v>
      </c>
      <c r="E83" s="360"/>
      <c r="F83" s="16" t="s">
        <v>500</v>
      </c>
      <c r="G83" s="16" t="s">
        <v>500</v>
      </c>
      <c r="H83" s="16" t="s">
        <v>500</v>
      </c>
      <c r="I83" s="16" t="s">
        <v>500</v>
      </c>
      <c r="J83" s="16" t="s">
        <v>500</v>
      </c>
      <c r="K83" s="16" t="s">
        <v>500</v>
      </c>
      <c r="L83" s="16" t="s">
        <v>500</v>
      </c>
      <c r="M83" s="16" t="s">
        <v>500</v>
      </c>
      <c r="O83" s="2"/>
      <c r="AE83" s="3" t="s">
        <v>55</v>
      </c>
      <c r="AF83" s="3">
        <v>9</v>
      </c>
      <c r="AG83" s="3">
        <f t="shared" si="0"/>
        <v>1</v>
      </c>
      <c r="AH83" s="3">
        <f>+IF(AG83=0,0,IF(AG83=1,(SUM($AG$75:AG83)-1),1))</f>
        <v>3</v>
      </c>
      <c r="AI83" s="3">
        <f t="shared" si="1"/>
        <v>0</v>
      </c>
      <c r="AJ83" s="3">
        <f t="shared" si="2"/>
        <v>0</v>
      </c>
      <c r="AK83" s="3">
        <f t="shared" si="3"/>
        <v>0</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4</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5</v>
      </c>
      <c r="AI85" s="3">
        <f t="shared" si="1"/>
        <v>0</v>
      </c>
      <c r="AJ85" s="3">
        <f t="shared" si="2"/>
        <v>0</v>
      </c>
      <c r="AK85" s="3">
        <f t="shared" si="3"/>
        <v>0</v>
      </c>
    </row>
    <row r="86" spans="2:37" x14ac:dyDescent="0.25">
      <c r="B86" s="2"/>
      <c r="D86" s="360" t="s">
        <v>58</v>
      </c>
      <c r="E86" s="360"/>
      <c r="F86" s="16">
        <v>0.4</v>
      </c>
      <c r="G86" s="16">
        <v>0.44900000000000001</v>
      </c>
      <c r="H86" s="16">
        <v>0.45</v>
      </c>
      <c r="I86" s="16">
        <v>0.59899999999999998</v>
      </c>
      <c r="J86" s="16">
        <v>0.6</v>
      </c>
      <c r="K86" s="16">
        <v>0.94899999999999995</v>
      </c>
      <c r="L86" s="16"/>
      <c r="M86" s="16">
        <v>1</v>
      </c>
      <c r="O86" s="2"/>
      <c r="AE86" s="3" t="s">
        <v>58</v>
      </c>
      <c r="AF86" s="65">
        <v>12</v>
      </c>
      <c r="AG86" s="3">
        <f t="shared" si="0"/>
        <v>1</v>
      </c>
      <c r="AH86" s="3">
        <f>+IF(AG86=0,0,IF(AG86=1,(SUM($AG$75:AG86)-1),1))</f>
        <v>6</v>
      </c>
      <c r="AI86" s="3">
        <f t="shared" si="1"/>
        <v>1</v>
      </c>
      <c r="AJ86" s="3">
        <f t="shared" si="2"/>
        <v>0</v>
      </c>
      <c r="AK86" s="3">
        <f t="shared" si="3"/>
        <v>1</v>
      </c>
    </row>
    <row r="87" spans="2:37" ht="3.75" customHeight="1" x14ac:dyDescent="0.25">
      <c r="B87" s="2"/>
      <c r="O87" s="2"/>
    </row>
    <row r="88" spans="2:37" ht="66" customHeight="1" x14ac:dyDescent="0.25">
      <c r="B88" s="2"/>
      <c r="D88" s="338" t="s">
        <v>59</v>
      </c>
      <c r="E88" s="339"/>
      <c r="F88" s="340"/>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3.5" customHeight="1" x14ac:dyDescent="0.25">
      <c r="B97" s="2"/>
      <c r="D97" s="359" t="s">
        <v>35</v>
      </c>
      <c r="E97" s="359"/>
      <c r="F97" s="344" t="s">
        <v>1442</v>
      </c>
      <c r="G97" s="344"/>
      <c r="H97" s="344"/>
      <c r="I97" s="344"/>
      <c r="J97" s="344"/>
      <c r="K97" s="344"/>
      <c r="L97" s="344"/>
      <c r="M97" s="344"/>
      <c r="O97" s="2"/>
    </row>
    <row r="98" spans="2:15" ht="43.5" customHeight="1" x14ac:dyDescent="0.25">
      <c r="B98" s="2"/>
      <c r="D98" s="359" t="s">
        <v>36</v>
      </c>
      <c r="E98" s="359"/>
      <c r="F98" s="344" t="s">
        <v>1442</v>
      </c>
      <c r="G98" s="344"/>
      <c r="H98" s="344"/>
      <c r="I98" s="344"/>
      <c r="J98" s="344"/>
      <c r="K98" s="344"/>
      <c r="L98" s="344"/>
      <c r="M98" s="344"/>
      <c r="O98" s="2"/>
    </row>
    <row r="99" spans="2:15" ht="3.95" customHeight="1" x14ac:dyDescent="0.25">
      <c r="B99" s="2"/>
      <c r="O99" s="2"/>
    </row>
    <row r="100" spans="2:15" ht="63.75" customHeight="1" x14ac:dyDescent="0.25">
      <c r="B100" s="2"/>
      <c r="D100" s="338" t="s">
        <v>62</v>
      </c>
      <c r="E100" s="339"/>
      <c r="F100" s="412" t="s">
        <v>1888</v>
      </c>
      <c r="G100" s="415"/>
      <c r="H100" s="415"/>
      <c r="I100" s="415"/>
      <c r="J100" s="415"/>
      <c r="K100" s="415"/>
      <c r="L100" s="415"/>
      <c r="M100" s="416"/>
      <c r="O100" s="2"/>
    </row>
    <row r="101" spans="2:15" ht="3.95" customHeight="1" x14ac:dyDescent="0.25">
      <c r="B101" s="2"/>
      <c r="O101" s="2"/>
    </row>
    <row r="102" spans="2:15" ht="19.5" customHeight="1" x14ac:dyDescent="0.25">
      <c r="B102" s="2"/>
      <c r="D102" s="329" t="s">
        <v>64</v>
      </c>
      <c r="E102" s="330"/>
      <c r="F102" s="19" t="s">
        <v>65</v>
      </c>
      <c r="G102" s="4" t="s">
        <v>2</v>
      </c>
      <c r="K102" s="20"/>
      <c r="O102" s="2"/>
    </row>
    <row r="103" spans="2:15" ht="19.5" customHeight="1" x14ac:dyDescent="0.25">
      <c r="B103" s="2"/>
      <c r="D103" s="331"/>
      <c r="E103" s="332"/>
      <c r="F103" s="19" t="s">
        <v>66</v>
      </c>
      <c r="G103" s="4"/>
      <c r="K103" s="21"/>
      <c r="O103" s="2"/>
    </row>
    <row r="104" spans="2:15" ht="27.75" customHeight="1" x14ac:dyDescent="0.25">
      <c r="B104" s="2"/>
      <c r="D104" s="331"/>
      <c r="E104" s="332"/>
      <c r="F104" s="19" t="s">
        <v>67</v>
      </c>
      <c r="G104" s="333"/>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Director(a)  Sistema Nacional de Bienestar Familiar</v>
      </c>
      <c r="H108" s="334"/>
      <c r="I108" s="334"/>
      <c r="J108" s="334"/>
      <c r="K108" s="334"/>
      <c r="L108" s="334"/>
      <c r="M108" s="335"/>
      <c r="O108" s="2"/>
    </row>
    <row r="109" spans="2:15" ht="17.25" customHeight="1" x14ac:dyDescent="0.25">
      <c r="B109" s="2"/>
      <c r="D109" s="331"/>
      <c r="E109" s="332"/>
      <c r="F109" s="19" t="s">
        <v>2042</v>
      </c>
      <c r="G109" s="333" t="str">
        <f>+IF(M23="Si","Coordinador(a) Planeación y Sistemas","")</f>
        <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301" priority="33">
      <formula>+IF($F$43="no",1,0)</formula>
    </cfRule>
  </conditionalFormatting>
  <conditionalFormatting sqref="F32:M33">
    <cfRule type="expression" dxfId="300" priority="32">
      <formula>+IF($Q$30="NA",1,0)</formula>
    </cfRule>
  </conditionalFormatting>
  <conditionalFormatting sqref="F33:M33">
    <cfRule type="expression" dxfId="299" priority="31">
      <formula>+IF($Q$33=0,1,0)</formula>
    </cfRule>
  </conditionalFormatting>
  <conditionalFormatting sqref="F47:M47">
    <cfRule type="expression" dxfId="298" priority="30">
      <formula>+IF($Q$47=0,1,0)</formula>
    </cfRule>
  </conditionalFormatting>
  <conditionalFormatting sqref="F73:G73">
    <cfRule type="cellIs" dxfId="297" priority="17" operator="equal">
      <formula>"optimo"</formula>
    </cfRule>
    <cfRule type="cellIs" dxfId="296" priority="18" operator="equal">
      <formula>"critico"</formula>
    </cfRule>
  </conditionalFormatting>
  <conditionalFormatting sqref="H73:I73">
    <cfRule type="cellIs" dxfId="295" priority="15" operator="equal">
      <formula>"Adecuado"</formula>
    </cfRule>
    <cfRule type="cellIs" dxfId="294" priority="16" operator="equal">
      <formula>"en riesgo"</formula>
    </cfRule>
  </conditionalFormatting>
  <conditionalFormatting sqref="J73:K73">
    <cfRule type="cellIs" dxfId="293" priority="13" operator="equal">
      <formula>"Adecuado"</formula>
    </cfRule>
    <cfRule type="cellIs" dxfId="292" priority="14" operator="equal">
      <formula>"en riesgo"</formula>
    </cfRule>
  </conditionalFormatting>
  <conditionalFormatting sqref="L73:M73">
    <cfRule type="cellIs" dxfId="291" priority="11" operator="equal">
      <formula>"optimo"</formula>
    </cfRule>
    <cfRule type="cellIs" dxfId="290" priority="12" operator="equal">
      <formula>"critico"</formula>
    </cfRule>
  </conditionalFormatting>
  <conditionalFormatting sqref="F75:M86">
    <cfRule type="expression" dxfId="289" priority="10">
      <formula>+IF($AK75=0,1)</formula>
    </cfRule>
  </conditionalFormatting>
  <conditionalFormatting sqref="F103:G104">
    <cfRule type="expression" dxfId="288" priority="9">
      <formula>+IF($G$102="No",1,0)</formula>
    </cfRule>
  </conditionalFormatting>
  <conditionalFormatting sqref="F51">
    <cfRule type="expression" dxfId="287" priority="8">
      <formula>+IF($F$43="no",1,0)</formula>
    </cfRule>
  </conditionalFormatting>
  <conditionalFormatting sqref="I51">
    <cfRule type="expression" dxfId="286" priority="7">
      <formula>+IF($F$51="no",1,0)</formula>
    </cfRule>
  </conditionalFormatting>
  <conditionalFormatting sqref="I22">
    <cfRule type="expression" dxfId="285" priority="5">
      <formula>+IF($F$51="no",1,0)</formula>
    </cfRule>
  </conditionalFormatting>
  <conditionalFormatting sqref="F22">
    <cfRule type="expression" dxfId="284"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5">
    <tabColor rgb="FF0070C0"/>
  </sheetPr>
  <dimension ref="B1:AV113"/>
  <sheetViews>
    <sheetView topLeftCell="A49" zoomScale="90" zoomScaleNormal="90" workbookViewId="0">
      <selection activeCell="R86" sqref="R86"/>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452</v>
      </c>
      <c r="O10" s="2"/>
    </row>
    <row r="11" spans="2:24" ht="3.95" customHeight="1" x14ac:dyDescent="0.25">
      <c r="B11" s="2"/>
      <c r="D11" s="6"/>
      <c r="O11" s="2"/>
    </row>
    <row r="12" spans="2:24" ht="36" customHeight="1" x14ac:dyDescent="0.25">
      <c r="B12" s="2"/>
      <c r="D12" s="338" t="s">
        <v>5</v>
      </c>
      <c r="E12" s="339"/>
      <c r="F12" s="340" t="s">
        <v>453</v>
      </c>
      <c r="G12" s="341"/>
      <c r="H12" s="341"/>
      <c r="I12" s="341"/>
      <c r="J12" s="341"/>
      <c r="K12" s="341"/>
      <c r="L12" s="341"/>
      <c r="M12" s="342"/>
      <c r="O12" s="2"/>
      <c r="W12" s="3" t="str">
        <f>+F23</f>
        <v>Semestral</v>
      </c>
      <c r="X12" s="3" t="str">
        <f>+F71</f>
        <v>Junio</v>
      </c>
    </row>
    <row r="13" spans="2:24" ht="3.95" customHeight="1" x14ac:dyDescent="0.25">
      <c r="B13" s="2"/>
      <c r="O13" s="2"/>
    </row>
    <row r="14" spans="2:24" ht="38.25" customHeight="1" x14ac:dyDescent="0.25">
      <c r="B14" s="2"/>
      <c r="D14" s="338" t="s">
        <v>6</v>
      </c>
      <c r="E14" s="339"/>
      <c r="F14" s="340" t="s">
        <v>1438</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8.75" customHeight="1" x14ac:dyDescent="0.25">
      <c r="B22" s="2"/>
      <c r="D22" s="337" t="s">
        <v>8</v>
      </c>
      <c r="E22" s="337"/>
      <c r="F22" s="8" t="s">
        <v>512</v>
      </c>
      <c r="G22" s="337" t="s">
        <v>9</v>
      </c>
      <c r="H22" s="337"/>
      <c r="I22" s="8">
        <v>2</v>
      </c>
      <c r="K22" s="337" t="s">
        <v>10</v>
      </c>
      <c r="L22" s="337"/>
      <c r="M22" s="9" t="s">
        <v>496</v>
      </c>
      <c r="O22" s="2"/>
    </row>
    <row r="23" spans="2:17" ht="19.5" customHeight="1" x14ac:dyDescent="0.25">
      <c r="B23" s="2"/>
      <c r="D23" s="337" t="s">
        <v>11</v>
      </c>
      <c r="E23" s="337"/>
      <c r="F23" s="4" t="s">
        <v>104</v>
      </c>
      <c r="G23" s="337" t="s">
        <v>12</v>
      </c>
      <c r="H23" s="337"/>
      <c r="I23" s="4" t="s">
        <v>514</v>
      </c>
      <c r="K23" s="337" t="s">
        <v>13</v>
      </c>
      <c r="L23" s="337"/>
      <c r="M23" s="9" t="s">
        <v>2</v>
      </c>
      <c r="O23" s="2"/>
    </row>
    <row r="24" spans="2:17" ht="20.100000000000001" customHeight="1" x14ac:dyDescent="0.25">
      <c r="B24" s="2"/>
      <c r="D24" s="337" t="s">
        <v>14</v>
      </c>
      <c r="E24" s="337"/>
      <c r="F24" s="4" t="s">
        <v>498</v>
      </c>
      <c r="G24" s="337" t="s">
        <v>15</v>
      </c>
      <c r="H24" s="337"/>
      <c r="I24" s="4" t="s">
        <v>103</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NA</v>
      </c>
    </row>
    <row r="31" spans="2:17" ht="24" customHeight="1" x14ac:dyDescent="0.25">
      <c r="B31" s="2"/>
      <c r="D31" s="347"/>
      <c r="E31" s="348"/>
      <c r="F31" s="4" t="s">
        <v>441</v>
      </c>
      <c r="G31" s="340" t="s">
        <v>442</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1025</v>
      </c>
      <c r="G33" s="340"/>
      <c r="H33" s="341"/>
      <c r="I33" s="341"/>
      <c r="J33" s="341"/>
      <c r="K33" s="341"/>
      <c r="L33" s="341"/>
      <c r="M33" s="342"/>
      <c r="O33" s="2"/>
      <c r="Q33" s="3" t="str">
        <f>+IFERROR(IF(VLOOKUP(G33,base!$A$26:$C$40,3,FALSE)=F31,1,0),"")</f>
        <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1716</v>
      </c>
      <c r="G35" s="340" t="s">
        <v>1592</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501</v>
      </c>
      <c r="G45" s="340" t="s">
        <v>515</v>
      </c>
      <c r="H45" s="341"/>
      <c r="I45" s="341"/>
      <c r="J45" s="341"/>
      <c r="K45" s="341"/>
      <c r="L45" s="341"/>
      <c r="M45" s="342"/>
      <c r="O45" s="2"/>
      <c r="Q45" s="3" t="str">
        <f>+IFERROR(VLOOKUP(G45,base!$A$41:$C$45,3,FALSE),"")</f>
        <v>misional</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503</v>
      </c>
      <c r="G47" s="340" t="s">
        <v>995</v>
      </c>
      <c r="H47" s="341"/>
      <c r="I47" s="341"/>
      <c r="J47" s="341"/>
      <c r="K47" s="341"/>
      <c r="L47" s="341"/>
      <c r="M47" s="342"/>
      <c r="O47" s="2"/>
      <c r="Q47" s="3">
        <f>+IF(VLOOKUP(G47,base!$A$46:$C$66,3,FALSE)=F45,1,0)</f>
        <v>1</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920</v>
      </c>
      <c r="G49" s="340" t="s">
        <v>899</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496</v>
      </c>
      <c r="G51" s="337" t="s">
        <v>32</v>
      </c>
      <c r="H51" s="337"/>
      <c r="I51" s="8">
        <v>6</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37" t="s">
        <v>34</v>
      </c>
      <c r="E59" s="337"/>
      <c r="F59" s="474" t="s">
        <v>1889</v>
      </c>
      <c r="G59" s="475"/>
      <c r="H59" s="475"/>
      <c r="I59" s="475"/>
      <c r="J59" s="475"/>
      <c r="K59" s="475"/>
      <c r="L59" s="475"/>
      <c r="M59" s="476"/>
      <c r="O59" s="2"/>
    </row>
    <row r="60" spans="2:15" ht="39" customHeight="1" x14ac:dyDescent="0.25">
      <c r="B60" s="2"/>
      <c r="D60" s="359" t="s">
        <v>35</v>
      </c>
      <c r="E60" s="359"/>
      <c r="F60" s="474" t="s">
        <v>1890</v>
      </c>
      <c r="G60" s="475"/>
      <c r="H60" s="475"/>
      <c r="I60" s="475"/>
      <c r="J60" s="475"/>
      <c r="K60" s="475"/>
      <c r="L60" s="475"/>
      <c r="M60" s="476"/>
      <c r="O60" s="2"/>
    </row>
    <row r="61" spans="2:15" ht="39" customHeight="1" x14ac:dyDescent="0.25">
      <c r="B61" s="2"/>
      <c r="D61" s="359" t="s">
        <v>36</v>
      </c>
      <c r="E61" s="359"/>
      <c r="F61" s="474" t="s">
        <v>1439</v>
      </c>
      <c r="G61" s="475"/>
      <c r="H61" s="475"/>
      <c r="I61" s="475"/>
      <c r="J61" s="475"/>
      <c r="K61" s="475"/>
      <c r="L61" s="475"/>
      <c r="M61" s="476"/>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6</v>
      </c>
    </row>
    <row r="70" spans="2:37" ht="3.95" customHeight="1" x14ac:dyDescent="0.25">
      <c r="B70" s="2"/>
      <c r="D70" s="7"/>
      <c r="E70" s="7"/>
      <c r="O70" s="2"/>
    </row>
    <row r="71" spans="2:37" ht="18.75" customHeight="1" x14ac:dyDescent="0.25">
      <c r="B71" s="2"/>
      <c r="D71" s="343" t="s">
        <v>39</v>
      </c>
      <c r="E71" s="343"/>
      <c r="F71" s="4" t="s">
        <v>50</v>
      </c>
      <c r="G71" s="3">
        <v>6</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60" t="s">
        <v>50</v>
      </c>
      <c r="E80" s="360"/>
      <c r="F80" s="16" t="s">
        <v>500</v>
      </c>
      <c r="G80" s="16">
        <v>0.499</v>
      </c>
      <c r="H80" s="16"/>
      <c r="I80" s="16"/>
      <c r="J80" s="16"/>
      <c r="K80" s="16"/>
      <c r="L80" s="16" t="s">
        <v>500</v>
      </c>
      <c r="M80" s="16">
        <v>0.5</v>
      </c>
      <c r="O80" s="2"/>
      <c r="AE80" s="3" t="s">
        <v>50</v>
      </c>
      <c r="AF80" s="3">
        <v>6</v>
      </c>
      <c r="AG80" s="3">
        <f t="shared" si="0"/>
        <v>1</v>
      </c>
      <c r="AH80" s="3">
        <f>+IF(AG80=0,0,IF(AG80=1,(SUM($AG$75:AG80)-1),1))</f>
        <v>0</v>
      </c>
      <c r="AI80" s="3">
        <f t="shared" si="1"/>
        <v>0</v>
      </c>
      <c r="AJ80" s="3">
        <f t="shared" si="2"/>
        <v>1</v>
      </c>
      <c r="AK80" s="3">
        <f t="shared" si="3"/>
        <v>1</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1</v>
      </c>
      <c r="AI81" s="3">
        <f t="shared" si="1"/>
        <v>0</v>
      </c>
      <c r="AJ81" s="3">
        <f t="shared" si="2"/>
        <v>0</v>
      </c>
      <c r="AK81" s="3">
        <f t="shared" si="3"/>
        <v>0</v>
      </c>
    </row>
    <row r="82" spans="2:37" x14ac:dyDescent="0.25">
      <c r="B82" s="2"/>
      <c r="D82" s="360" t="s">
        <v>54</v>
      </c>
      <c r="E82" s="360"/>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2</v>
      </c>
      <c r="AI82" s="3">
        <f t="shared" si="1"/>
        <v>0</v>
      </c>
      <c r="AJ82" s="3">
        <f t="shared" si="2"/>
        <v>0</v>
      </c>
      <c r="AK82" s="3">
        <f t="shared" si="3"/>
        <v>0</v>
      </c>
    </row>
    <row r="83" spans="2:37" x14ac:dyDescent="0.25">
      <c r="B83" s="2"/>
      <c r="D83" s="360" t="s">
        <v>55</v>
      </c>
      <c r="E83" s="360"/>
      <c r="F83" s="16" t="s">
        <v>500</v>
      </c>
      <c r="G83" s="16" t="s">
        <v>500</v>
      </c>
      <c r="H83" s="16" t="s">
        <v>500</v>
      </c>
      <c r="I83" s="16" t="s">
        <v>500</v>
      </c>
      <c r="J83" s="16" t="s">
        <v>500</v>
      </c>
      <c r="K83" s="16" t="s">
        <v>500</v>
      </c>
      <c r="L83" s="16" t="s">
        <v>500</v>
      </c>
      <c r="M83" s="16" t="s">
        <v>500</v>
      </c>
      <c r="O83" s="2"/>
      <c r="AE83" s="3" t="s">
        <v>55</v>
      </c>
      <c r="AF83" s="3">
        <v>9</v>
      </c>
      <c r="AG83" s="3">
        <f t="shared" si="0"/>
        <v>1</v>
      </c>
      <c r="AH83" s="3">
        <f>+IF(AG83=0,0,IF(AG83=1,(SUM($AG$75:AG83)-1),1))</f>
        <v>3</v>
      </c>
      <c r="AI83" s="3">
        <f t="shared" si="1"/>
        <v>0</v>
      </c>
      <c r="AJ83" s="3">
        <f t="shared" si="2"/>
        <v>0</v>
      </c>
      <c r="AK83" s="3">
        <f t="shared" si="3"/>
        <v>0</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4</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5</v>
      </c>
      <c r="AI85" s="3">
        <f t="shared" si="1"/>
        <v>0</v>
      </c>
      <c r="AJ85" s="3">
        <f t="shared" si="2"/>
        <v>0</v>
      </c>
      <c r="AK85" s="3">
        <f t="shared" si="3"/>
        <v>0</v>
      </c>
    </row>
    <row r="86" spans="2:37" x14ac:dyDescent="0.25">
      <c r="B86" s="2"/>
      <c r="D86" s="360" t="s">
        <v>58</v>
      </c>
      <c r="E86" s="360"/>
      <c r="F86" s="16" t="s">
        <v>500</v>
      </c>
      <c r="G86" s="16">
        <v>0.999</v>
      </c>
      <c r="H86" s="16"/>
      <c r="I86" s="16"/>
      <c r="J86" s="16"/>
      <c r="K86" s="16"/>
      <c r="L86" s="16" t="s">
        <v>500</v>
      </c>
      <c r="M86" s="16">
        <v>1</v>
      </c>
      <c r="O86" s="2"/>
      <c r="AE86" s="3" t="s">
        <v>58</v>
      </c>
      <c r="AF86" s="65">
        <v>12</v>
      </c>
      <c r="AG86" s="3">
        <f t="shared" si="0"/>
        <v>1</v>
      </c>
      <c r="AH86" s="3">
        <f>+IF(AG86=0,0,IF(AG86=1,(SUM($AG$75:AG86)-1),1))</f>
        <v>6</v>
      </c>
      <c r="AI86" s="3">
        <f t="shared" si="1"/>
        <v>1</v>
      </c>
      <c r="AJ86" s="3">
        <f t="shared" si="2"/>
        <v>0</v>
      </c>
      <c r="AK86" s="3">
        <f t="shared" si="3"/>
        <v>1</v>
      </c>
    </row>
    <row r="87" spans="2:37" ht="3.75" customHeight="1" x14ac:dyDescent="0.25">
      <c r="B87" s="2"/>
      <c r="O87" s="2"/>
    </row>
    <row r="88" spans="2:37" ht="66" customHeight="1" x14ac:dyDescent="0.25">
      <c r="B88" s="2"/>
      <c r="D88" s="338" t="s">
        <v>59</v>
      </c>
      <c r="E88" s="339"/>
      <c r="F88" s="340"/>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0.5" customHeight="1" x14ac:dyDescent="0.25">
      <c r="B97" s="2"/>
      <c r="D97" s="359" t="s">
        <v>35</v>
      </c>
      <c r="E97" s="359"/>
      <c r="F97" s="344" t="s">
        <v>1437</v>
      </c>
      <c r="G97" s="344"/>
      <c r="H97" s="344"/>
      <c r="I97" s="344"/>
      <c r="J97" s="344"/>
      <c r="K97" s="344"/>
      <c r="L97" s="344"/>
      <c r="M97" s="344"/>
      <c r="O97" s="2"/>
    </row>
    <row r="98" spans="2:15" ht="40.5" customHeight="1" x14ac:dyDescent="0.25">
      <c r="B98" s="2"/>
      <c r="D98" s="359" t="s">
        <v>36</v>
      </c>
      <c r="E98" s="359"/>
      <c r="F98" s="344" t="s">
        <v>1437</v>
      </c>
      <c r="G98" s="344"/>
      <c r="H98" s="344"/>
      <c r="I98" s="344"/>
      <c r="J98" s="344"/>
      <c r="K98" s="344"/>
      <c r="L98" s="344"/>
      <c r="M98" s="344"/>
      <c r="O98" s="2"/>
    </row>
    <row r="99" spans="2:15" ht="3.95" customHeight="1" x14ac:dyDescent="0.25">
      <c r="B99" s="2"/>
      <c r="O99" s="2"/>
    </row>
    <row r="100" spans="2:15" ht="58.5" customHeight="1" x14ac:dyDescent="0.25">
      <c r="B100" s="2"/>
      <c r="D100" s="338" t="s">
        <v>62</v>
      </c>
      <c r="E100" s="339"/>
      <c r="F100" s="333"/>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2</v>
      </c>
      <c r="K102" s="20"/>
      <c r="O102" s="2"/>
    </row>
    <row r="103" spans="2:15" ht="19.5" customHeight="1" x14ac:dyDescent="0.25">
      <c r="B103" s="2"/>
      <c r="D103" s="331"/>
      <c r="E103" s="332"/>
      <c r="F103" s="19" t="s">
        <v>66</v>
      </c>
      <c r="G103" s="4"/>
      <c r="K103" s="21"/>
      <c r="O103" s="2"/>
    </row>
    <row r="104" spans="2:15" ht="27.75" customHeight="1" x14ac:dyDescent="0.25">
      <c r="B104" s="2"/>
      <c r="D104" s="331"/>
      <c r="E104" s="332"/>
      <c r="F104" s="19" t="s">
        <v>67</v>
      </c>
      <c r="G104" s="333"/>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Director(a)  Sistema Nacional de Bienestar Familiar</v>
      </c>
      <c r="H108" s="334"/>
      <c r="I108" s="334"/>
      <c r="J108" s="334"/>
      <c r="K108" s="334"/>
      <c r="L108" s="334"/>
      <c r="M108" s="335"/>
      <c r="O108" s="2"/>
    </row>
    <row r="109" spans="2:15" ht="17.25" customHeight="1" x14ac:dyDescent="0.25">
      <c r="B109" s="2"/>
      <c r="D109" s="331"/>
      <c r="E109" s="332"/>
      <c r="F109" s="19" t="s">
        <v>2042</v>
      </c>
      <c r="G109" s="333" t="str">
        <f>+IF(M23="Si","Coordinador(a) Planeación y Sistemas","")</f>
        <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83" priority="33">
      <formula>+IF($F$43="no",1,0)</formula>
    </cfRule>
  </conditionalFormatting>
  <conditionalFormatting sqref="F32:M33">
    <cfRule type="expression" dxfId="282" priority="32">
      <formula>+IF($Q$30="NA",1,0)</formula>
    </cfRule>
  </conditionalFormatting>
  <conditionalFormatting sqref="F33:M33">
    <cfRule type="expression" dxfId="281" priority="31">
      <formula>+IF($Q$33=0,1,0)</formula>
    </cfRule>
  </conditionalFormatting>
  <conditionalFormatting sqref="F47:M47">
    <cfRule type="expression" dxfId="280" priority="30">
      <formula>+IF($Q$47=0,1,0)</formula>
    </cfRule>
  </conditionalFormatting>
  <conditionalFormatting sqref="F73:G73">
    <cfRule type="cellIs" dxfId="279" priority="16" operator="equal">
      <formula>"optimo"</formula>
    </cfRule>
    <cfRule type="cellIs" dxfId="278" priority="17" operator="equal">
      <formula>"critico"</formula>
    </cfRule>
  </conditionalFormatting>
  <conditionalFormatting sqref="H73:I73">
    <cfRule type="cellIs" dxfId="277" priority="14" operator="equal">
      <formula>"Adecuado"</formula>
    </cfRule>
    <cfRule type="cellIs" dxfId="276" priority="15" operator="equal">
      <formula>"en riesgo"</formula>
    </cfRule>
  </conditionalFormatting>
  <conditionalFormatting sqref="J73:K73">
    <cfRule type="cellIs" dxfId="275" priority="12" operator="equal">
      <formula>"Adecuado"</formula>
    </cfRule>
    <cfRule type="cellIs" dxfId="274" priority="13" operator="equal">
      <formula>"en riesgo"</formula>
    </cfRule>
  </conditionalFormatting>
  <conditionalFormatting sqref="L73:M73">
    <cfRule type="cellIs" dxfId="273" priority="10" operator="equal">
      <formula>"optimo"</formula>
    </cfRule>
    <cfRule type="cellIs" dxfId="272" priority="11" operator="equal">
      <formula>"critico"</formula>
    </cfRule>
  </conditionalFormatting>
  <conditionalFormatting sqref="F75:M86">
    <cfRule type="expression" dxfId="271" priority="9">
      <formula>+IF($AK75=0,1)</formula>
    </cfRule>
  </conditionalFormatting>
  <conditionalFormatting sqref="F103:G104">
    <cfRule type="expression" dxfId="270" priority="8">
      <formula>+IF($G$102="No",1,0)</formula>
    </cfRule>
  </conditionalFormatting>
  <conditionalFormatting sqref="F51">
    <cfRule type="expression" dxfId="269" priority="7">
      <formula>+IF($F$43="no",1,0)</formula>
    </cfRule>
  </conditionalFormatting>
  <conditionalFormatting sqref="I51">
    <cfRule type="expression" dxfId="268" priority="6">
      <formula>+IF($F$51="no",1,0)</formula>
    </cfRule>
  </conditionalFormatting>
  <conditionalFormatting sqref="I22">
    <cfRule type="expression" dxfId="267" priority="5">
      <formula>+IF($F$51="no",1,0)</formula>
    </cfRule>
  </conditionalFormatting>
  <conditionalFormatting sqref="F22">
    <cfRule type="expression" dxfId="266"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5">
    <tabColor rgb="FF0070C0"/>
  </sheetPr>
  <dimension ref="B1:AV113"/>
  <sheetViews>
    <sheetView topLeftCell="A31" zoomScaleNormal="100" workbookViewId="0">
      <selection activeCell="Q88" sqref="Q88"/>
    </sheetView>
  </sheetViews>
  <sheetFormatPr baseColWidth="10" defaultRowHeight="12.75" x14ac:dyDescent="0.25"/>
  <cols>
    <col min="1" max="1" width="1.140625" style="104" customWidth="1"/>
    <col min="2" max="2" width="0.5703125" style="104" customWidth="1"/>
    <col min="3" max="3" width="1.42578125" style="104" customWidth="1"/>
    <col min="4" max="4" width="11" style="104" customWidth="1"/>
    <col min="5" max="13" width="11.42578125" style="104" customWidth="1"/>
    <col min="14" max="14" width="1.42578125" style="104" customWidth="1"/>
    <col min="15" max="15" width="0.5703125" style="104" customWidth="1"/>
    <col min="16" max="16" width="11.42578125" style="105"/>
    <col min="17" max="18" width="11.42578125" style="105" customWidth="1"/>
    <col min="19" max="19" width="11.42578125" style="105"/>
    <col min="20" max="20" width="2.7109375" style="105" customWidth="1"/>
    <col min="21" max="21" width="11.42578125" style="105"/>
    <col min="22" max="22" width="2.7109375" style="105" customWidth="1"/>
    <col min="23" max="23" width="11.42578125" style="105"/>
    <col min="24" max="24" width="2.7109375" style="105" customWidth="1"/>
    <col min="25" max="25" width="11.42578125" style="105"/>
    <col min="26" max="26" width="2.7109375" style="105" customWidth="1"/>
    <col min="27" max="27" width="11.42578125" style="105"/>
    <col min="28" max="28" width="2.7109375" style="105" customWidth="1"/>
    <col min="29" max="31" width="11.42578125" style="105"/>
    <col min="32" max="37" width="3.140625" style="105" customWidth="1"/>
    <col min="38" max="45" width="7.42578125" style="105" customWidth="1"/>
    <col min="46" max="48" width="11.42578125" style="105"/>
    <col min="49" max="16384" width="11.42578125" style="104"/>
  </cols>
  <sheetData>
    <row r="1" spans="2:19" ht="3.95" customHeight="1" x14ac:dyDescent="0.25"/>
    <row r="2" spans="2:19" ht="3.95" customHeight="1" x14ac:dyDescent="0.25">
      <c r="B2" s="106"/>
      <c r="C2" s="106"/>
      <c r="D2" s="106"/>
      <c r="E2" s="106"/>
      <c r="F2" s="106"/>
      <c r="G2" s="106"/>
      <c r="H2" s="106"/>
      <c r="I2" s="106"/>
      <c r="J2" s="106"/>
      <c r="K2" s="106"/>
      <c r="L2" s="106"/>
      <c r="M2" s="106"/>
      <c r="N2" s="106"/>
      <c r="O2" s="106"/>
    </row>
    <row r="3" spans="2:19" ht="20.25" customHeight="1" x14ac:dyDescent="0.25">
      <c r="B3" s="106"/>
      <c r="C3" s="411" t="s">
        <v>0</v>
      </c>
      <c r="D3" s="411"/>
      <c r="E3" s="411"/>
      <c r="F3" s="411"/>
      <c r="G3" s="411"/>
      <c r="H3" s="411"/>
      <c r="I3" s="411"/>
      <c r="J3" s="411"/>
      <c r="K3" s="411"/>
      <c r="L3" s="411"/>
      <c r="M3" s="411"/>
      <c r="N3" s="411"/>
      <c r="O3" s="106"/>
    </row>
    <row r="4" spans="2:19" ht="20.25" customHeight="1" x14ac:dyDescent="0.25">
      <c r="B4" s="106"/>
      <c r="C4" s="411"/>
      <c r="D4" s="411"/>
      <c r="E4" s="411"/>
      <c r="F4" s="411"/>
      <c r="G4" s="411"/>
      <c r="H4" s="411"/>
      <c r="I4" s="411"/>
      <c r="J4" s="411"/>
      <c r="K4" s="411"/>
      <c r="L4" s="411"/>
      <c r="M4" s="411"/>
      <c r="N4" s="411"/>
      <c r="O4" s="106"/>
      <c r="Q4" s="3"/>
      <c r="R4" s="3"/>
      <c r="S4" s="105" t="s">
        <v>1</v>
      </c>
    </row>
    <row r="5" spans="2:19" ht="20.25" customHeight="1" x14ac:dyDescent="0.25">
      <c r="B5" s="106"/>
      <c r="C5" s="411"/>
      <c r="D5" s="411"/>
      <c r="E5" s="411"/>
      <c r="F5" s="411"/>
      <c r="G5" s="411"/>
      <c r="H5" s="411"/>
      <c r="I5" s="411"/>
      <c r="J5" s="411"/>
      <c r="K5" s="411"/>
      <c r="L5" s="411"/>
      <c r="M5" s="411"/>
      <c r="N5" s="411"/>
      <c r="O5" s="106"/>
      <c r="S5" s="105" t="s">
        <v>2</v>
      </c>
    </row>
    <row r="6" spans="2:19" ht="3" customHeight="1" x14ac:dyDescent="0.25">
      <c r="B6" s="106"/>
      <c r="C6" s="106"/>
      <c r="D6" s="106"/>
      <c r="E6" s="106"/>
      <c r="F6" s="106"/>
      <c r="G6" s="106"/>
      <c r="H6" s="106"/>
      <c r="I6" s="106"/>
      <c r="J6" s="106"/>
      <c r="K6" s="106"/>
      <c r="L6" s="106"/>
      <c r="M6" s="106"/>
      <c r="N6" s="106"/>
      <c r="O6" s="106"/>
    </row>
    <row r="7" spans="2:19" ht="3" customHeight="1" x14ac:dyDescent="0.25"/>
    <row r="8" spans="2:19" ht="3.95" customHeight="1" x14ac:dyDescent="0.25">
      <c r="B8" s="106"/>
      <c r="C8" s="106"/>
      <c r="D8" s="106"/>
      <c r="E8" s="106"/>
      <c r="F8" s="106"/>
      <c r="G8" s="106"/>
      <c r="H8" s="106"/>
      <c r="I8" s="106"/>
      <c r="J8" s="106"/>
      <c r="K8" s="106"/>
      <c r="L8" s="106"/>
      <c r="M8" s="106"/>
      <c r="N8" s="106"/>
      <c r="O8" s="106"/>
    </row>
    <row r="9" spans="2:19" ht="3.95" customHeight="1" x14ac:dyDescent="0.25">
      <c r="B9" s="106"/>
      <c r="O9" s="106"/>
    </row>
    <row r="10" spans="2:19" ht="15.75" customHeight="1" x14ac:dyDescent="0.25">
      <c r="B10" s="106"/>
      <c r="D10" s="387" t="s">
        <v>3</v>
      </c>
      <c r="E10" s="387"/>
      <c r="F10" s="107">
        <v>2015</v>
      </c>
      <c r="G10" s="108" t="s">
        <v>4</v>
      </c>
      <c r="H10" s="107" t="s">
        <v>1365</v>
      </c>
      <c r="O10" s="106"/>
    </row>
    <row r="11" spans="2:19" ht="3.95" customHeight="1" x14ac:dyDescent="0.25">
      <c r="B11" s="106"/>
      <c r="D11" s="109"/>
      <c r="O11" s="106"/>
    </row>
    <row r="12" spans="2:19" ht="36" customHeight="1" x14ac:dyDescent="0.25">
      <c r="B12" s="106"/>
      <c r="D12" s="378" t="s">
        <v>5</v>
      </c>
      <c r="E12" s="379"/>
      <c r="F12" s="389" t="s">
        <v>1355</v>
      </c>
      <c r="G12" s="390"/>
      <c r="H12" s="390"/>
      <c r="I12" s="390"/>
      <c r="J12" s="390"/>
      <c r="K12" s="390"/>
      <c r="L12" s="390"/>
      <c r="M12" s="391"/>
      <c r="O12" s="106"/>
      <c r="Q12" s="110" t="s">
        <v>1977</v>
      </c>
      <c r="S12" s="111">
        <v>154</v>
      </c>
    </row>
    <row r="13" spans="2:19" ht="3.95" customHeight="1" x14ac:dyDescent="0.25">
      <c r="B13" s="106"/>
      <c r="O13" s="106"/>
    </row>
    <row r="14" spans="2:19" ht="38.25" customHeight="1" x14ac:dyDescent="0.25">
      <c r="B14" s="106"/>
      <c r="D14" s="378" t="s">
        <v>6</v>
      </c>
      <c r="E14" s="379"/>
      <c r="F14" s="389" t="s">
        <v>1327</v>
      </c>
      <c r="G14" s="390"/>
      <c r="H14" s="390"/>
      <c r="I14" s="390"/>
      <c r="J14" s="390"/>
      <c r="K14" s="390"/>
      <c r="L14" s="390"/>
      <c r="M14" s="391"/>
      <c r="O14" s="106"/>
    </row>
    <row r="15" spans="2:19" ht="3.95" customHeight="1" x14ac:dyDescent="0.25">
      <c r="B15" s="106"/>
      <c r="O15" s="106"/>
    </row>
    <row r="16" spans="2:19" ht="3" customHeight="1" x14ac:dyDescent="0.25">
      <c r="B16" s="106"/>
      <c r="C16" s="106"/>
      <c r="D16" s="106"/>
      <c r="E16" s="106"/>
      <c r="F16" s="106"/>
      <c r="G16" s="106"/>
      <c r="H16" s="106"/>
      <c r="I16" s="106"/>
      <c r="J16" s="106"/>
      <c r="K16" s="106"/>
      <c r="L16" s="106"/>
      <c r="M16" s="106"/>
      <c r="N16" s="106"/>
      <c r="O16" s="106"/>
    </row>
    <row r="17" spans="2:17" ht="3" customHeight="1" x14ac:dyDescent="0.25"/>
    <row r="18" spans="2:17" ht="3" customHeight="1" x14ac:dyDescent="0.25">
      <c r="B18" s="106"/>
      <c r="C18" s="106"/>
      <c r="D18" s="106"/>
      <c r="E18" s="106"/>
      <c r="F18" s="106"/>
      <c r="G18" s="106"/>
      <c r="H18" s="106"/>
      <c r="I18" s="106"/>
      <c r="J18" s="106"/>
      <c r="K18" s="106"/>
      <c r="L18" s="106"/>
      <c r="M18" s="106"/>
      <c r="N18" s="106"/>
      <c r="O18" s="106"/>
    </row>
    <row r="19" spans="2:17" ht="3.95" customHeight="1" x14ac:dyDescent="0.25">
      <c r="B19" s="106"/>
      <c r="O19" s="106"/>
    </row>
    <row r="20" spans="2:17" x14ac:dyDescent="0.25">
      <c r="B20" s="106"/>
      <c r="D20" s="112" t="s">
        <v>7</v>
      </c>
      <c r="O20" s="106"/>
    </row>
    <row r="21" spans="2:17" ht="3.95" customHeight="1" x14ac:dyDescent="0.25">
      <c r="B21" s="106"/>
      <c r="O21" s="106"/>
    </row>
    <row r="22" spans="2:17" ht="18.75" customHeight="1" x14ac:dyDescent="0.25">
      <c r="B22" s="106"/>
      <c r="D22" s="387" t="s">
        <v>8</v>
      </c>
      <c r="E22" s="387"/>
      <c r="F22" s="113" t="s">
        <v>1978</v>
      </c>
      <c r="G22" s="387" t="s">
        <v>9</v>
      </c>
      <c r="H22" s="387"/>
      <c r="I22" s="114">
        <f>+IFERROR(VLOOKUP($S$12,[1]Hoja1!$B$5:$AT$190,19,FALSE),"")</f>
        <v>1</v>
      </c>
      <c r="K22" s="387" t="s">
        <v>10</v>
      </c>
      <c r="L22" s="387"/>
      <c r="M22" s="115" t="str">
        <f>+IFERROR(VLOOKUP($S$12,[1]Hoja1!$B$5:$AT$190,22,FALSE),"")</f>
        <v>Si</v>
      </c>
      <c r="O22" s="106"/>
    </row>
    <row r="23" spans="2:17" ht="19.5" customHeight="1" x14ac:dyDescent="0.25">
      <c r="B23" s="106"/>
      <c r="D23" s="387" t="s">
        <v>11</v>
      </c>
      <c r="E23" s="387"/>
      <c r="F23" s="107" t="str">
        <f>+IFERROR(VLOOKUP($S$12,[1]Hoja1!$B$5:$AT$190,33,FALSE),"")</f>
        <v>Mensual</v>
      </c>
      <c r="G23" s="387" t="s">
        <v>12</v>
      </c>
      <c r="H23" s="387"/>
      <c r="I23" s="107" t="str">
        <f>+IFERROR(VLOOKUP($S$12,[1]Hoja1!$B$5:$AT$190,21,FALSE),"")</f>
        <v>Porcentaje</v>
      </c>
      <c r="K23" s="387" t="s">
        <v>13</v>
      </c>
      <c r="L23" s="387"/>
      <c r="M23" s="115" t="str">
        <f>+IFERROR(VLOOKUP($S$12,[1]Hoja1!$B$5:$AT$190,23,FALSE),"")</f>
        <v>No</v>
      </c>
      <c r="O23" s="106"/>
    </row>
    <row r="24" spans="2:17" ht="20.100000000000001" customHeight="1" x14ac:dyDescent="0.25">
      <c r="B24" s="106"/>
      <c r="D24" s="387" t="s">
        <v>14</v>
      </c>
      <c r="E24" s="387"/>
      <c r="F24" s="107" t="s">
        <v>498</v>
      </c>
      <c r="G24" s="387" t="s">
        <v>15</v>
      </c>
      <c r="H24" s="387"/>
      <c r="I24" s="107" t="s">
        <v>103</v>
      </c>
      <c r="K24" s="387" t="s">
        <v>16</v>
      </c>
      <c r="L24" s="387"/>
      <c r="M24" s="115" t="str">
        <f>+IFERROR(VLOOKUP($S$12,[1]Hoja1!$B$5:$AT$190,24,FALSE),"")</f>
        <v>No</v>
      </c>
      <c r="O24" s="106"/>
    </row>
    <row r="25" spans="2:17" ht="20.100000000000001" customHeight="1" x14ac:dyDescent="0.25">
      <c r="B25" s="106"/>
      <c r="D25" s="387" t="s">
        <v>17</v>
      </c>
      <c r="E25" s="387"/>
      <c r="F25" s="107" t="str">
        <f>+IFERROR(VLOOKUP($S$12,[1]Hoja1!$B$5:$AT$190,18,FALSE),"")</f>
        <v>Eficiencia</v>
      </c>
      <c r="O25" s="106"/>
    </row>
    <row r="26" spans="2:17" ht="3.95" customHeight="1" x14ac:dyDescent="0.25">
      <c r="B26" s="106"/>
      <c r="O26" s="106"/>
    </row>
    <row r="27" spans="2:17" x14ac:dyDescent="0.25">
      <c r="B27" s="106"/>
      <c r="D27" s="112" t="s">
        <v>18</v>
      </c>
      <c r="O27" s="106"/>
    </row>
    <row r="28" spans="2:17" ht="3.95" customHeight="1" x14ac:dyDescent="0.25">
      <c r="B28" s="106"/>
      <c r="O28" s="106"/>
    </row>
    <row r="29" spans="2:17" ht="36" customHeight="1" x14ac:dyDescent="0.25">
      <c r="B29" s="106"/>
      <c r="D29" s="393" t="s">
        <v>19</v>
      </c>
      <c r="E29" s="393"/>
      <c r="F29" s="344" t="s">
        <v>891</v>
      </c>
      <c r="G29" s="344"/>
      <c r="H29" s="344"/>
      <c r="I29" s="344"/>
      <c r="J29" s="344"/>
      <c r="K29" s="344"/>
      <c r="L29" s="344"/>
      <c r="M29" s="344"/>
      <c r="O29" s="106"/>
      <c r="P29" s="105" t="s">
        <v>1988</v>
      </c>
    </row>
    <row r="30" spans="2:17" ht="18" customHeight="1" x14ac:dyDescent="0.25">
      <c r="B30" s="106"/>
      <c r="D30" s="404" t="s">
        <v>21</v>
      </c>
      <c r="E30" s="405"/>
      <c r="F30" s="10" t="s">
        <v>22</v>
      </c>
      <c r="G30" s="349" t="s">
        <v>5</v>
      </c>
      <c r="H30" s="350"/>
      <c r="I30" s="350"/>
      <c r="J30" s="350"/>
      <c r="K30" s="350"/>
      <c r="L30" s="350"/>
      <c r="M30" s="351"/>
      <c r="O30" s="106"/>
      <c r="Q30" s="105" t="str">
        <f>+IFERROR(VLOOKUP(G31,[1]base!$A$9:$C$25,3,FALSE),"")</f>
        <v>NA</v>
      </c>
    </row>
    <row r="31" spans="2:17" ht="24" customHeight="1" x14ac:dyDescent="0.25">
      <c r="B31" s="106"/>
      <c r="D31" s="406"/>
      <c r="E31" s="407"/>
      <c r="F31" s="4" t="s">
        <v>441</v>
      </c>
      <c r="G31" s="340" t="s">
        <v>442</v>
      </c>
      <c r="H31" s="341"/>
      <c r="I31" s="341"/>
      <c r="J31" s="341"/>
      <c r="K31" s="341"/>
      <c r="L31" s="341"/>
      <c r="M31" s="342"/>
      <c r="O31" s="106"/>
    </row>
    <row r="32" spans="2:17" ht="18" customHeight="1" x14ac:dyDescent="0.25">
      <c r="B32" s="106"/>
      <c r="D32" s="404" t="s">
        <v>23</v>
      </c>
      <c r="E32" s="405"/>
      <c r="F32" s="116" t="s">
        <v>22</v>
      </c>
      <c r="G32" s="408" t="s">
        <v>5</v>
      </c>
      <c r="H32" s="409"/>
      <c r="I32" s="409"/>
      <c r="J32" s="409"/>
      <c r="K32" s="409"/>
      <c r="L32" s="409"/>
      <c r="M32" s="410"/>
      <c r="O32" s="106"/>
    </row>
    <row r="33" spans="2:17" ht="24" customHeight="1" x14ac:dyDescent="0.25">
      <c r="B33" s="106"/>
      <c r="D33" s="406"/>
      <c r="E33" s="407"/>
      <c r="F33" s="117" t="str">
        <f>+IFERROR(VLOOKUP(G33,[1]base!$A$26:$B$40,2,FALSE),"")</f>
        <v/>
      </c>
      <c r="G33" s="389"/>
      <c r="H33" s="390"/>
      <c r="I33" s="390"/>
      <c r="J33" s="390"/>
      <c r="K33" s="390"/>
      <c r="L33" s="390"/>
      <c r="M33" s="391"/>
      <c r="O33" s="106"/>
      <c r="Q33" s="105" t="str">
        <f>+IFERROR(IF(VLOOKUP(G33,[1]base!$A$26:$C$40,3,FALSE)=F31,1,0),"")</f>
        <v/>
      </c>
    </row>
    <row r="34" spans="2:17" ht="18" customHeight="1" x14ac:dyDescent="0.25">
      <c r="B34" s="106"/>
      <c r="D34" s="404" t="s">
        <v>24</v>
      </c>
      <c r="E34" s="405"/>
      <c r="F34" s="116" t="s">
        <v>22</v>
      </c>
      <c r="G34" s="408" t="s">
        <v>5</v>
      </c>
      <c r="H34" s="409"/>
      <c r="I34" s="409"/>
      <c r="J34" s="409"/>
      <c r="K34" s="409"/>
      <c r="L34" s="409"/>
      <c r="M34" s="410"/>
      <c r="O34" s="106"/>
    </row>
    <row r="35" spans="2:17" ht="40.5" customHeight="1" x14ac:dyDescent="0.25">
      <c r="B35" s="106"/>
      <c r="D35" s="406"/>
      <c r="E35" s="407"/>
      <c r="F35" s="4" t="s">
        <v>1716</v>
      </c>
      <c r="G35" s="340" t="s">
        <v>1592</v>
      </c>
      <c r="H35" s="341"/>
      <c r="I35" s="341"/>
      <c r="J35" s="341"/>
      <c r="K35" s="341"/>
      <c r="L35" s="341"/>
      <c r="M35" s="342"/>
      <c r="O35" s="106"/>
    </row>
    <row r="36" spans="2:17" ht="3.95" customHeight="1" x14ac:dyDescent="0.25">
      <c r="B36" s="106"/>
      <c r="O36" s="106"/>
    </row>
    <row r="37" spans="2:17" ht="3" customHeight="1" x14ac:dyDescent="0.25">
      <c r="B37" s="106"/>
      <c r="C37" s="106"/>
      <c r="D37" s="106"/>
      <c r="E37" s="106"/>
      <c r="F37" s="106"/>
      <c r="G37" s="106"/>
      <c r="H37" s="106"/>
      <c r="I37" s="106"/>
      <c r="J37" s="106"/>
      <c r="K37" s="106"/>
      <c r="L37" s="106"/>
      <c r="M37" s="106"/>
      <c r="N37" s="106"/>
      <c r="O37" s="106"/>
    </row>
    <row r="38" spans="2:17" ht="3" customHeight="1" x14ac:dyDescent="0.25"/>
    <row r="39" spans="2:17" ht="3" customHeight="1" x14ac:dyDescent="0.25">
      <c r="B39" s="106"/>
      <c r="C39" s="106"/>
      <c r="D39" s="106"/>
      <c r="E39" s="106"/>
      <c r="F39" s="106"/>
      <c r="G39" s="106"/>
      <c r="H39" s="106"/>
      <c r="I39" s="106"/>
      <c r="J39" s="106"/>
      <c r="K39" s="106"/>
      <c r="L39" s="106"/>
      <c r="M39" s="106"/>
      <c r="N39" s="106"/>
      <c r="O39" s="106"/>
    </row>
    <row r="40" spans="2:17" ht="3.95" customHeight="1" x14ac:dyDescent="0.25">
      <c r="B40" s="106"/>
      <c r="D40" s="112"/>
      <c r="O40" s="106"/>
    </row>
    <row r="41" spans="2:17" x14ac:dyDescent="0.25">
      <c r="B41" s="106"/>
      <c r="D41" s="112" t="s">
        <v>25</v>
      </c>
      <c r="O41" s="106"/>
    </row>
    <row r="42" spans="2:17" ht="3.95" customHeight="1" x14ac:dyDescent="0.25">
      <c r="B42" s="106"/>
      <c r="O42" s="106"/>
    </row>
    <row r="43" spans="2:17" ht="20.100000000000001" customHeight="1" x14ac:dyDescent="0.25">
      <c r="B43" s="106"/>
      <c r="D43" s="387" t="s">
        <v>26</v>
      </c>
      <c r="E43" s="387"/>
      <c r="F43" s="107" t="s">
        <v>2</v>
      </c>
      <c r="O43" s="106"/>
    </row>
    <row r="44" spans="2:17" ht="18" customHeight="1" x14ac:dyDescent="0.25">
      <c r="B44" s="106"/>
      <c r="D44" s="397" t="s">
        <v>27</v>
      </c>
      <c r="E44" s="398"/>
      <c r="F44" s="118" t="s">
        <v>22</v>
      </c>
      <c r="G44" s="401" t="s">
        <v>5</v>
      </c>
      <c r="H44" s="402"/>
      <c r="I44" s="402"/>
      <c r="J44" s="402"/>
      <c r="K44" s="402"/>
      <c r="L44" s="402"/>
      <c r="M44" s="403"/>
      <c r="O44" s="106"/>
    </row>
    <row r="45" spans="2:17" ht="18" customHeight="1" x14ac:dyDescent="0.25">
      <c r="B45" s="106"/>
      <c r="D45" s="399"/>
      <c r="E45" s="400"/>
      <c r="F45" s="107" t="str">
        <f>+IFERROR(VLOOKUP(G45,[1]base!$A$41:$B$45,2,FALSE),"")</f>
        <v>LP5</v>
      </c>
      <c r="G45" s="389" t="str">
        <f>+IFERROR(VLOOKUP($S$12,[1]Hoja1!$B$5:$AT$190,6,FALSE),"")</f>
        <v>Gestión Financiera</v>
      </c>
      <c r="H45" s="390"/>
      <c r="I45" s="390"/>
      <c r="J45" s="390"/>
      <c r="K45" s="390"/>
      <c r="L45" s="390"/>
      <c r="M45" s="391"/>
      <c r="O45" s="106"/>
      <c r="Q45" s="105" t="str">
        <f>+IFERROR(VLOOKUP(G45,[1]base!$A$41:$C$45,3,FALSE),"")</f>
        <v>financiera</v>
      </c>
    </row>
    <row r="46" spans="2:17" ht="18" customHeight="1" x14ac:dyDescent="0.25">
      <c r="B46" s="106"/>
      <c r="D46" s="397" t="s">
        <v>28</v>
      </c>
      <c r="E46" s="398"/>
      <c r="F46" s="118" t="s">
        <v>22</v>
      </c>
      <c r="G46" s="401" t="s">
        <v>5</v>
      </c>
      <c r="H46" s="402"/>
      <c r="I46" s="402"/>
      <c r="J46" s="402"/>
      <c r="K46" s="402"/>
      <c r="L46" s="402"/>
      <c r="M46" s="403"/>
      <c r="O46" s="106"/>
    </row>
    <row r="47" spans="2:17" ht="18" customHeight="1" x14ac:dyDescent="0.25">
      <c r="B47" s="106"/>
      <c r="D47" s="399"/>
      <c r="E47" s="400"/>
      <c r="F47" s="107" t="str">
        <f>+IFERROR(VLOOKUP(G47,[1]base!$A$46:$B$66,2,FALSE),"")</f>
        <v/>
      </c>
      <c r="G47" s="389"/>
      <c r="H47" s="390"/>
      <c r="I47" s="390"/>
      <c r="J47" s="390"/>
      <c r="K47" s="390"/>
      <c r="L47" s="390"/>
      <c r="M47" s="391"/>
      <c r="O47" s="106"/>
      <c r="Q47" s="105" t="e">
        <f>+IF(VLOOKUP(G47,[1]base!$A$46:$C$66,3,FALSE)=F45,1,0)</f>
        <v>#N/A</v>
      </c>
    </row>
    <row r="48" spans="2:17" ht="18" customHeight="1" x14ac:dyDescent="0.25">
      <c r="B48" s="106"/>
      <c r="D48" s="397" t="s">
        <v>29</v>
      </c>
      <c r="E48" s="398"/>
      <c r="F48" s="118" t="s">
        <v>22</v>
      </c>
      <c r="G48" s="401" t="s">
        <v>5</v>
      </c>
      <c r="H48" s="402"/>
      <c r="I48" s="402"/>
      <c r="J48" s="402"/>
      <c r="K48" s="402"/>
      <c r="L48" s="402"/>
      <c r="M48" s="403"/>
      <c r="O48" s="106"/>
    </row>
    <row r="49" spans="2:15" ht="29.25" customHeight="1" x14ac:dyDescent="0.25">
      <c r="B49" s="106"/>
      <c r="D49" s="399"/>
      <c r="E49" s="400"/>
      <c r="F49" s="119" t="str">
        <f>+IFERROR(VLOOKUP(G49,[1]base!$G$37:$H$47,2,FALSE),"")</f>
        <v>C-310-300-2</v>
      </c>
      <c r="G49" s="389" t="s">
        <v>899</v>
      </c>
      <c r="H49" s="390"/>
      <c r="I49" s="390"/>
      <c r="J49" s="390"/>
      <c r="K49" s="390"/>
      <c r="L49" s="390"/>
      <c r="M49" s="391"/>
      <c r="O49" s="106"/>
    </row>
    <row r="50" spans="2:15" ht="3.95" customHeight="1" x14ac:dyDescent="0.25">
      <c r="B50" s="106"/>
      <c r="O50" s="106"/>
    </row>
    <row r="51" spans="2:15" ht="20.100000000000001" customHeight="1" x14ac:dyDescent="0.25">
      <c r="B51" s="106"/>
      <c r="D51" s="387" t="s">
        <v>31</v>
      </c>
      <c r="E51" s="387"/>
      <c r="F51" s="107" t="str">
        <f>+IFERROR(VLOOKUP($S$12,[1]Hoja1!$B$5:$AT$190,26,FALSE),"")</f>
        <v>No</v>
      </c>
      <c r="G51" s="387" t="s">
        <v>32</v>
      </c>
      <c r="H51" s="387"/>
      <c r="I51" s="120" t="str">
        <f>+IFERROR(IF(F51="No","",VLOOKUP($S$12,[1]Hoja1!$B$5:$AT$190,20,FALSE)),"")</f>
        <v/>
      </c>
      <c r="O51" s="106"/>
    </row>
    <row r="52" spans="2:15" ht="3.95" customHeight="1" x14ac:dyDescent="0.25">
      <c r="B52" s="106"/>
      <c r="O52" s="106"/>
    </row>
    <row r="53" spans="2:15" ht="3" customHeight="1" x14ac:dyDescent="0.25">
      <c r="B53" s="106"/>
      <c r="C53" s="106"/>
      <c r="D53" s="106"/>
      <c r="E53" s="106"/>
      <c r="F53" s="106"/>
      <c r="G53" s="106"/>
      <c r="H53" s="106"/>
      <c r="I53" s="106"/>
      <c r="J53" s="106"/>
      <c r="K53" s="106"/>
      <c r="L53" s="106"/>
      <c r="M53" s="106"/>
      <c r="N53" s="106"/>
      <c r="O53" s="106"/>
    </row>
    <row r="54" spans="2:15" ht="3" customHeight="1" x14ac:dyDescent="0.25"/>
    <row r="55" spans="2:15" ht="3.95" customHeight="1" x14ac:dyDescent="0.25">
      <c r="B55" s="106"/>
      <c r="C55" s="106"/>
      <c r="D55" s="106"/>
      <c r="E55" s="106"/>
      <c r="F55" s="106"/>
      <c r="G55" s="106"/>
      <c r="H55" s="106"/>
      <c r="I55" s="106"/>
      <c r="J55" s="106"/>
      <c r="K55" s="106"/>
      <c r="L55" s="106"/>
      <c r="M55" s="106"/>
      <c r="N55" s="106"/>
      <c r="O55" s="106"/>
    </row>
    <row r="56" spans="2:15" ht="3.95" customHeight="1" x14ac:dyDescent="0.25">
      <c r="B56" s="106"/>
      <c r="O56" s="106"/>
    </row>
    <row r="57" spans="2:15" x14ac:dyDescent="0.25">
      <c r="B57" s="106"/>
      <c r="D57" s="112" t="s">
        <v>33</v>
      </c>
      <c r="O57" s="106"/>
    </row>
    <row r="58" spans="2:15" ht="3.95" customHeight="1" x14ac:dyDescent="0.25">
      <c r="B58" s="106"/>
      <c r="O58" s="106"/>
    </row>
    <row r="59" spans="2:15" ht="30" customHeight="1" x14ac:dyDescent="0.25">
      <c r="B59" s="106"/>
      <c r="D59" s="387" t="s">
        <v>34</v>
      </c>
      <c r="E59" s="387"/>
      <c r="F59" s="370" t="str">
        <f>+IF(F60="","",F60&amp;" / "&amp;F61)</f>
        <v>Recursos Comprometidos / Meta Mensual de Compromisos</v>
      </c>
      <c r="G59" s="370"/>
      <c r="H59" s="370"/>
      <c r="I59" s="370"/>
      <c r="J59" s="370"/>
      <c r="K59" s="370"/>
      <c r="L59" s="370"/>
      <c r="M59" s="370"/>
      <c r="O59" s="106"/>
    </row>
    <row r="60" spans="2:15" ht="30" customHeight="1" x14ac:dyDescent="0.25">
      <c r="B60" s="106"/>
      <c r="D60" s="369" t="s">
        <v>35</v>
      </c>
      <c r="E60" s="369"/>
      <c r="F60" s="370" t="str">
        <f>+IFERROR(VLOOKUP($S$12,[1]Hoja1!$B$5:$AT$190,28,FALSE),"")</f>
        <v>Recursos Comprometidos</v>
      </c>
      <c r="G60" s="370"/>
      <c r="H60" s="370"/>
      <c r="I60" s="370"/>
      <c r="J60" s="370"/>
      <c r="K60" s="370"/>
      <c r="L60" s="370"/>
      <c r="M60" s="370"/>
      <c r="O60" s="106"/>
    </row>
    <row r="61" spans="2:15" ht="30" customHeight="1" x14ac:dyDescent="0.25">
      <c r="B61" s="106"/>
      <c r="D61" s="369" t="s">
        <v>36</v>
      </c>
      <c r="E61" s="369"/>
      <c r="F61" s="389" t="str">
        <f>+IFERROR(VLOOKUP($S$12,[1]Hoja1!$B$5:$AT$190,30,FALSE),"")</f>
        <v>Meta Mensual de Compromisos</v>
      </c>
      <c r="G61" s="390"/>
      <c r="H61" s="390"/>
      <c r="I61" s="390"/>
      <c r="J61" s="390"/>
      <c r="K61" s="390"/>
      <c r="L61" s="390"/>
      <c r="M61" s="391"/>
      <c r="O61" s="106"/>
    </row>
    <row r="62" spans="2:15" ht="3.95" customHeight="1" x14ac:dyDescent="0.25">
      <c r="B62" s="106"/>
      <c r="O62" s="106"/>
    </row>
    <row r="63" spans="2:15" ht="3" customHeight="1" x14ac:dyDescent="0.25">
      <c r="B63" s="106"/>
      <c r="C63" s="106"/>
      <c r="D63" s="106"/>
      <c r="E63" s="106"/>
      <c r="F63" s="106"/>
      <c r="G63" s="106"/>
      <c r="H63" s="106"/>
      <c r="I63" s="106"/>
      <c r="J63" s="106"/>
      <c r="K63" s="106"/>
      <c r="L63" s="106"/>
      <c r="M63" s="106"/>
      <c r="N63" s="106"/>
      <c r="O63" s="106"/>
    </row>
    <row r="64" spans="2:15" x14ac:dyDescent="0.25">
      <c r="M64" s="121" t="s">
        <v>37</v>
      </c>
    </row>
    <row r="65" spans="2:45" ht="3" customHeight="1" x14ac:dyDescent="0.25">
      <c r="B65" s="106"/>
      <c r="C65" s="106"/>
      <c r="D65" s="106"/>
      <c r="E65" s="106"/>
      <c r="F65" s="106"/>
      <c r="G65" s="106"/>
      <c r="H65" s="106"/>
      <c r="I65" s="106"/>
      <c r="J65" s="106"/>
      <c r="K65" s="106"/>
      <c r="L65" s="106"/>
      <c r="M65" s="106"/>
      <c r="N65" s="106"/>
      <c r="O65" s="106"/>
    </row>
    <row r="66" spans="2:45" ht="3.95" customHeight="1" x14ac:dyDescent="0.25">
      <c r="B66" s="106"/>
      <c r="O66" s="106"/>
    </row>
    <row r="67" spans="2:45" x14ac:dyDescent="0.25">
      <c r="B67" s="106"/>
      <c r="D67" s="392" t="s">
        <v>38</v>
      </c>
      <c r="E67" s="392"/>
      <c r="O67" s="106"/>
    </row>
    <row r="68" spans="2:45" ht="3.95" customHeight="1" x14ac:dyDescent="0.25">
      <c r="B68" s="106"/>
      <c r="D68" s="112"/>
      <c r="E68" s="112"/>
      <c r="O68" s="106"/>
    </row>
    <row r="69" spans="2:45" ht="18.75" customHeight="1" x14ac:dyDescent="0.25">
      <c r="B69" s="106"/>
      <c r="O69" s="106"/>
      <c r="Q69" s="122" t="s">
        <v>11</v>
      </c>
      <c r="S69" s="105" t="str">
        <f>+IF(F23=0,"",F23)</f>
        <v>Mensual</v>
      </c>
      <c r="U69" s="105">
        <f>+IFERROR(VLOOKUP(S69,[1]base!$H$23:$I$28,2,FALSE),"")</f>
        <v>1</v>
      </c>
    </row>
    <row r="70" spans="2:45" ht="3.95" customHeight="1" x14ac:dyDescent="0.25">
      <c r="B70" s="106"/>
      <c r="D70" s="112"/>
      <c r="E70" s="112"/>
      <c r="O70" s="106"/>
    </row>
    <row r="71" spans="2:45" ht="18.75" customHeight="1" x14ac:dyDescent="0.25">
      <c r="B71" s="106"/>
      <c r="D71" s="393" t="s">
        <v>39</v>
      </c>
      <c r="E71" s="393"/>
      <c r="F71" s="107" t="s">
        <v>47</v>
      </c>
      <c r="G71" s="105">
        <f>+IFERROR(VLOOKUP(F71,$AE$75:$AF$86,2,FALSE),"")</f>
        <v>3</v>
      </c>
      <c r="O71" s="106"/>
      <c r="Q71" s="122" t="s">
        <v>14</v>
      </c>
      <c r="S71" s="105" t="str">
        <f>+IF(F24=0,"",F24)</f>
        <v>Creciente</v>
      </c>
    </row>
    <row r="72" spans="2:45" ht="3.95" customHeight="1" x14ac:dyDescent="0.25">
      <c r="B72" s="106"/>
      <c r="D72" s="112"/>
      <c r="E72" s="112"/>
      <c r="O72" s="106"/>
    </row>
    <row r="73" spans="2:45" x14ac:dyDescent="0.25">
      <c r="B73" s="106"/>
      <c r="D73" s="394" t="s">
        <v>41</v>
      </c>
      <c r="E73" s="394"/>
      <c r="F73" s="395" t="s">
        <v>42</v>
      </c>
      <c r="G73" s="396"/>
      <c r="H73" s="395" t="s">
        <v>43</v>
      </c>
      <c r="I73" s="396"/>
      <c r="J73" s="395" t="s">
        <v>44</v>
      </c>
      <c r="K73" s="396"/>
      <c r="L73" s="395" t="s">
        <v>45</v>
      </c>
      <c r="M73" s="396"/>
      <c r="O73" s="106"/>
      <c r="S73" s="111">
        <f>+IFERROR(VLOOKUP(S74,$AE$75:$AK$86,7,FALSE),"")</f>
        <v>0</v>
      </c>
      <c r="U73" s="111">
        <f>+IFERROR(VLOOKUP(U74,$AE$75:$AK$86,7,FALSE),"")</f>
        <v>0</v>
      </c>
      <c r="W73" s="111">
        <f>+IFERROR(VLOOKUP(W74,$AE$75:$AK$86,7,FALSE),"")</f>
        <v>1</v>
      </c>
      <c r="Y73" s="111">
        <f>+IFERROR(VLOOKUP(Y74,$AE$75:$AK$86,7,FALSE),"")</f>
        <v>1</v>
      </c>
      <c r="AA73" s="111">
        <f>+IFERROR(VLOOKUP(AA74,$AE$75:$AK$86,7,FALSE),"")</f>
        <v>1</v>
      </c>
      <c r="AC73" s="111">
        <f>+IFERROR(VLOOKUP(AC74,$AE$75:$AK$86,7,FALSE),"")</f>
        <v>1</v>
      </c>
      <c r="AL73" s="388" t="s">
        <v>42</v>
      </c>
      <c r="AM73" s="388"/>
      <c r="AN73" s="388" t="s">
        <v>43</v>
      </c>
      <c r="AO73" s="388"/>
      <c r="AP73" s="388" t="s">
        <v>44</v>
      </c>
      <c r="AQ73" s="388"/>
      <c r="AR73" s="388" t="s">
        <v>45</v>
      </c>
      <c r="AS73" s="388"/>
    </row>
    <row r="74" spans="2:45" x14ac:dyDescent="0.25">
      <c r="B74" s="106"/>
      <c r="D74" s="394"/>
      <c r="E74" s="394"/>
      <c r="F74" s="123" t="str">
        <f>+IF($F$24="Decreciente","Max","Min")</f>
        <v>Min</v>
      </c>
      <c r="G74" s="123" t="str">
        <f>+IF($F$24="Decreciente","MIn","Max")</f>
        <v>Max</v>
      </c>
      <c r="H74" s="123" t="str">
        <f>+IF($F$24="Decreciente","Max","Min")</f>
        <v>Min</v>
      </c>
      <c r="I74" s="123" t="str">
        <f>+IF($F$24="Decreciente","MIn","Max")</f>
        <v>Max</v>
      </c>
      <c r="J74" s="123" t="str">
        <f>+IF($F$24="Decreciente","Max","Min")</f>
        <v>Min</v>
      </c>
      <c r="K74" s="123" t="str">
        <f>+IF($F$24="Decreciente","MIn","Max")</f>
        <v>Max</v>
      </c>
      <c r="L74" s="123" t="str">
        <f>+IF($F$24="Decreciente","Max","Min")</f>
        <v>Min</v>
      </c>
      <c r="M74" s="123" t="str">
        <f>+IF($F$24="Decreciente","MIn","Max")</f>
        <v>Max</v>
      </c>
      <c r="O74" s="106"/>
      <c r="S74" s="124" t="s">
        <v>46</v>
      </c>
      <c r="T74" s="124"/>
      <c r="U74" s="124" t="s">
        <v>40</v>
      </c>
      <c r="V74" s="124"/>
      <c r="W74" s="124" t="s">
        <v>47</v>
      </c>
      <c r="X74" s="124"/>
      <c r="Y74" s="124" t="s">
        <v>48</v>
      </c>
      <c r="Z74" s="124"/>
      <c r="AA74" s="124" t="s">
        <v>49</v>
      </c>
      <c r="AB74" s="124"/>
      <c r="AC74" s="124" t="s">
        <v>50</v>
      </c>
      <c r="AL74" s="125" t="s">
        <v>51</v>
      </c>
      <c r="AM74" s="125" t="s">
        <v>52</v>
      </c>
      <c r="AN74" s="125" t="s">
        <v>51</v>
      </c>
      <c r="AO74" s="125" t="s">
        <v>52</v>
      </c>
      <c r="AP74" s="125" t="s">
        <v>51</v>
      </c>
      <c r="AQ74" s="125" t="s">
        <v>52</v>
      </c>
      <c r="AR74" s="125" t="s">
        <v>51</v>
      </c>
      <c r="AS74" s="125" t="s">
        <v>52</v>
      </c>
    </row>
    <row r="75" spans="2:45" x14ac:dyDescent="0.25">
      <c r="B75" s="106"/>
      <c r="D75" s="386" t="s">
        <v>46</v>
      </c>
      <c r="E75" s="386"/>
      <c r="F75" s="126"/>
      <c r="G75" s="126"/>
      <c r="H75" s="126"/>
      <c r="I75" s="126"/>
      <c r="J75" s="126"/>
      <c r="K75" s="126"/>
      <c r="L75" s="126"/>
      <c r="M75" s="126"/>
      <c r="O75" s="106"/>
      <c r="Q75" s="122" t="s">
        <v>1980</v>
      </c>
      <c r="R75" s="111"/>
      <c r="S75" s="127"/>
      <c r="T75" s="111"/>
      <c r="U75" s="127"/>
      <c r="V75" s="111"/>
      <c r="W75" s="127"/>
      <c r="X75" s="111"/>
      <c r="Y75" s="127"/>
      <c r="Z75" s="111"/>
      <c r="AA75" s="127"/>
      <c r="AB75" s="111"/>
      <c r="AC75" s="127"/>
      <c r="AE75" s="105" t="s">
        <v>46</v>
      </c>
      <c r="AF75" s="105">
        <v>1</v>
      </c>
      <c r="AG75" s="105">
        <f>+IF(AF75&gt;=$G$71,1,0)</f>
        <v>0</v>
      </c>
      <c r="AH75" s="105">
        <f>+IF(AG75=0,0,IF(AG75=1,(SUM($AG$75:AG75)-1),1))</f>
        <v>0</v>
      </c>
      <c r="AI75" s="105">
        <f>+IF(AH75=0,0,IF(MOD(AH75,$U$69)=0,1,0))</f>
        <v>0</v>
      </c>
      <c r="AJ75" s="105">
        <f>+IF(AE75=$F$71,1,0)</f>
        <v>0</v>
      </c>
      <c r="AK75" s="105">
        <f>+MAX(AI75:AJ75)</f>
        <v>0</v>
      </c>
      <c r="AL75" s="128" t="str">
        <f>+""</f>
        <v/>
      </c>
      <c r="AM75" s="128" t="str">
        <f>+IF(AK75=0,"",IF(R78="&gt;",S78+0.001,IF(R78="&lt;",S78-0.001,S78)))</f>
        <v/>
      </c>
      <c r="AN75" s="128" t="str">
        <f>+IF(R77="NA","",IF(AK75=0,"",IF(R78="≥",S78-0.001,IF(R78="≤",S78+0.001,S78))))</f>
        <v/>
      </c>
      <c r="AO75" s="128" t="str">
        <f>IF(R77="NA","",IF(AK75=0,"",IF(R77="&gt;",S77+0.001,IF(R77="&lt;",S77-0.001,S77))))</f>
        <v/>
      </c>
      <c r="AP75" s="128" t="str">
        <f>+IF(R76="NA","",IF(AK75=0,"",IF(R77="≥",S77-0.001,IF(R77="≤",S77+0.001,S77))))</f>
        <v/>
      </c>
      <c r="AQ75" s="128" t="str">
        <f>+IF(R76="NA","",IF(AK75=0,"",IF(R76="&gt;",S76+0.001,IF(R76="&lt;",S76-0.001,S76))))</f>
        <v/>
      </c>
      <c r="AR75" s="128" t="str">
        <f>IF(AK75=0,"",IF(R76="≥",S75-0.001,IF(R76="≤",S75+0.001,"")))</f>
        <v/>
      </c>
      <c r="AS75" s="128" t="str">
        <f>+IF(AK75=0,"",IF(R75="=",S75,""))</f>
        <v/>
      </c>
    </row>
    <row r="76" spans="2:45" x14ac:dyDescent="0.25">
      <c r="B76" s="106"/>
      <c r="D76" s="386" t="s">
        <v>40</v>
      </c>
      <c r="E76" s="386"/>
      <c r="F76" s="126"/>
      <c r="G76" s="126"/>
      <c r="H76" s="126"/>
      <c r="I76" s="126"/>
      <c r="J76" s="126"/>
      <c r="K76" s="126"/>
      <c r="L76" s="126"/>
      <c r="M76" s="126"/>
      <c r="O76" s="106"/>
      <c r="Q76" s="122" t="s">
        <v>1981</v>
      </c>
      <c r="R76" s="111"/>
      <c r="S76" s="127"/>
      <c r="T76" s="111"/>
      <c r="U76" s="127"/>
      <c r="V76" s="111"/>
      <c r="W76" s="127"/>
      <c r="X76" s="111"/>
      <c r="Y76" s="127"/>
      <c r="Z76" s="111"/>
      <c r="AA76" s="127"/>
      <c r="AB76" s="111"/>
      <c r="AC76" s="127"/>
      <c r="AE76" s="105" t="s">
        <v>40</v>
      </c>
      <c r="AF76" s="105">
        <v>2</v>
      </c>
      <c r="AG76" s="105">
        <f t="shared" ref="AG76:AG86" si="0">+IF(AF76&gt;=$G$71,1,0)</f>
        <v>0</v>
      </c>
      <c r="AH76" s="105">
        <f>+IF(AG76=0,0,IF(AG76=1,(SUM($AG$75:AG76)-1),1))</f>
        <v>0</v>
      </c>
      <c r="AI76" s="105">
        <f t="shared" ref="AI76:AI86" si="1">+IF(AH76=0,0,IF(MOD(AH76,$U$69)=0,1,0))</f>
        <v>0</v>
      </c>
      <c r="AJ76" s="105">
        <f t="shared" ref="AJ76:AJ86" si="2">+IF(AE76=$F$71,1,0)</f>
        <v>0</v>
      </c>
      <c r="AK76" s="105">
        <f t="shared" ref="AK76:AK86" si="3">+MAX(AI76:AJ76)</f>
        <v>0</v>
      </c>
      <c r="AL76" s="128" t="str">
        <f>+""</f>
        <v/>
      </c>
      <c r="AM76" s="128" t="str">
        <f>+IF(AK76=0,"",IF(T78="&gt;",U78+0.001,IF(T78="&lt;",U78-0.001,U78)))</f>
        <v/>
      </c>
      <c r="AN76" s="128" t="str">
        <f>+IF(T77="NA","",IF(AK76=0,"",IF(T78="≥",U78-0.001,IF(T78="≤",U78+0.001,U78))))</f>
        <v/>
      </c>
      <c r="AO76" s="128" t="str">
        <f>IF(T77="NA","",IF(AK76=0,"",IF(T77="&gt;",U77+0.001,IF(T77="&lt;",U77-0.001,U77))))</f>
        <v/>
      </c>
      <c r="AP76" s="128" t="str">
        <f>+IF(T76="NA","",IF(AK76=0,"",IF(T77="≥",U77-0.001,IF(T77="≤",U77+0.001,U77))))</f>
        <v/>
      </c>
      <c r="AQ76" s="128" t="str">
        <f>+IF(T76="NA","",IF(AK76=0,"",IF(T76="&gt;",U76+0.001,IF(T76="&lt;",U76-0.001,U76))))</f>
        <v/>
      </c>
      <c r="AR76" s="128" t="str">
        <f>IF(AK76=0,"",IF(T76="≥",U75-0.001,IF(T76="≤",U75+0.001,"")))</f>
        <v/>
      </c>
      <c r="AS76" s="128" t="str">
        <f>+IF(AK76=0,"",IF(T75="=",U75,""))</f>
        <v/>
      </c>
    </row>
    <row r="77" spans="2:45" x14ac:dyDescent="0.25">
      <c r="B77" s="106"/>
      <c r="D77" s="386" t="s">
        <v>47</v>
      </c>
      <c r="E77" s="386"/>
      <c r="F77" s="126"/>
      <c r="G77" s="126">
        <v>0.94</v>
      </c>
      <c r="H77" s="126">
        <v>0.94099999999999995</v>
      </c>
      <c r="I77" s="126">
        <v>0.96899999999999997</v>
      </c>
      <c r="J77" s="126">
        <v>0.97</v>
      </c>
      <c r="K77" s="126">
        <v>0.999</v>
      </c>
      <c r="L77" s="126">
        <v>1</v>
      </c>
      <c r="M77" s="126"/>
      <c r="O77" s="106"/>
      <c r="Q77" s="122" t="s">
        <v>1982</v>
      </c>
      <c r="R77" s="111"/>
      <c r="S77" s="127"/>
      <c r="T77" s="111"/>
      <c r="U77" s="127"/>
      <c r="V77" s="111"/>
      <c r="W77" s="127"/>
      <c r="X77" s="111"/>
      <c r="Y77" s="127"/>
      <c r="Z77" s="111"/>
      <c r="AA77" s="127"/>
      <c r="AB77" s="111"/>
      <c r="AC77" s="127"/>
      <c r="AE77" s="105" t="s">
        <v>47</v>
      </c>
      <c r="AF77" s="105">
        <v>3</v>
      </c>
      <c r="AG77" s="105">
        <f t="shared" si="0"/>
        <v>1</v>
      </c>
      <c r="AH77" s="105">
        <f>+IF(AG77=0,0,IF(AG77=1,(SUM($AG$75:AG77)-1),1))</f>
        <v>0</v>
      </c>
      <c r="AI77" s="105">
        <f t="shared" si="1"/>
        <v>0</v>
      </c>
      <c r="AJ77" s="105">
        <f t="shared" si="2"/>
        <v>1</v>
      </c>
      <c r="AK77" s="105">
        <f t="shared" si="3"/>
        <v>1</v>
      </c>
      <c r="AL77" s="128" t="str">
        <f>+""</f>
        <v/>
      </c>
      <c r="AM77" s="128">
        <f>+IF(AK77=0,"",IF(V78="&gt;",W78+0.001,IF(V78="&lt;",W78-0.001,W78)))</f>
        <v>0</v>
      </c>
      <c r="AN77" s="128">
        <f>+IF(V77="NA","",IF(AK77=0,"",IF(V78="≥",W78-0.001,IF(V78="≤",W78+0.001,W78))))</f>
        <v>0</v>
      </c>
      <c r="AO77" s="128">
        <f>IF(V77="NA","",IF(AK77=0,"",IF(V77="&gt;",W77+0.001,IF(V77="&lt;",W77-0.001,W77))))</f>
        <v>0</v>
      </c>
      <c r="AP77" s="128">
        <f>+IF(V76="NA","",IF(AK77=0,"",IF(V77="≥",W77-0.001,IF(V77="≤",W77+0.001,W77))))</f>
        <v>0</v>
      </c>
      <c r="AQ77" s="128">
        <f>+IF(V76="NA","",IF(AK77=0,"",IF(V76="&gt;",W76+0.001,IF(V76="&lt;",W76-0.001,W76))))</f>
        <v>0</v>
      </c>
      <c r="AR77" s="128" t="str">
        <f>IF(AK77=0,"",IF(V76="≥",W75-0.001,IF(V76="≤",W75+0.001,"")))</f>
        <v/>
      </c>
      <c r="AS77" s="128" t="str">
        <f>+IF(AK77=0,"",IF(V75="=",W75,""))</f>
        <v/>
      </c>
    </row>
    <row r="78" spans="2:45" x14ac:dyDescent="0.25">
      <c r="B78" s="106"/>
      <c r="D78" s="386" t="s">
        <v>48</v>
      </c>
      <c r="E78" s="386"/>
      <c r="F78" s="126"/>
      <c r="G78" s="126">
        <v>0.94</v>
      </c>
      <c r="H78" s="126">
        <v>0.94099999999999995</v>
      </c>
      <c r="I78" s="126">
        <v>0.96899999999999997</v>
      </c>
      <c r="J78" s="126">
        <v>0.97</v>
      </c>
      <c r="K78" s="126">
        <v>0.999</v>
      </c>
      <c r="L78" s="126">
        <v>1</v>
      </c>
      <c r="M78" s="126"/>
      <c r="O78" s="106"/>
      <c r="Q78" s="122" t="s">
        <v>1983</v>
      </c>
      <c r="R78" s="111"/>
      <c r="S78" s="127"/>
      <c r="T78" s="111"/>
      <c r="U78" s="127"/>
      <c r="V78" s="111"/>
      <c r="W78" s="127"/>
      <c r="X78" s="111"/>
      <c r="Y78" s="127"/>
      <c r="Z78" s="111"/>
      <c r="AA78" s="127"/>
      <c r="AB78" s="111"/>
      <c r="AC78" s="127"/>
      <c r="AE78" s="105" t="s">
        <v>48</v>
      </c>
      <c r="AF78" s="105">
        <v>4</v>
      </c>
      <c r="AG78" s="105">
        <f t="shared" si="0"/>
        <v>1</v>
      </c>
      <c r="AH78" s="105">
        <f>+IF(AG78=0,0,IF(AG78=1,(SUM($AG$75:AG78)-1),1))</f>
        <v>1</v>
      </c>
      <c r="AI78" s="105">
        <f t="shared" si="1"/>
        <v>1</v>
      </c>
      <c r="AJ78" s="105">
        <f t="shared" si="2"/>
        <v>0</v>
      </c>
      <c r="AK78" s="105">
        <f t="shared" si="3"/>
        <v>1</v>
      </c>
      <c r="AL78" s="128" t="str">
        <f>+""</f>
        <v/>
      </c>
      <c r="AM78" s="128">
        <f>+IF(AK78=0,"",IF(X78="&gt;",Y78+0.001,IF(X78="&lt;",Y78-0.001,Y78)))</f>
        <v>0</v>
      </c>
      <c r="AN78" s="128">
        <f>+IF(X77="NA","",IF(AK78=0,"",IF(X78="≥",Y78-0.001,IF(X78="≤",Y78+0.001,Y78))))</f>
        <v>0</v>
      </c>
      <c r="AO78" s="128">
        <f>IF(X77="NA","",IF(AK78=0,"",IF(X77="&gt;",Y77+0.001,IF(X77="&lt;",Y77-0.001,Y77))))</f>
        <v>0</v>
      </c>
      <c r="AP78" s="128">
        <f>+IF(X76="NA","",IF(AK78=0,"",IF(X77="≥",Y77-0.001,IF(X77="≤",Y77+0.001,Y77))))</f>
        <v>0</v>
      </c>
      <c r="AQ78" s="128">
        <f>+IF(X76="NA","",IF(AK78=0,"",IF(X76="&gt;",Y76+0.001,IF(X76="&lt;",Y76-0.001,Y76))))</f>
        <v>0</v>
      </c>
      <c r="AR78" s="128" t="str">
        <f>IF(AK78=0,"",IF(X76="≥",Y75-0.001,IF(X76="≤",Y75+0.001,"")))</f>
        <v/>
      </c>
      <c r="AS78" s="128" t="str">
        <f>+IF(AK78=0,"",IF(X75="=",Y75,""))</f>
        <v/>
      </c>
    </row>
    <row r="79" spans="2:45" x14ac:dyDescent="0.25">
      <c r="B79" s="106"/>
      <c r="D79" s="386" t="s">
        <v>49</v>
      </c>
      <c r="E79" s="386"/>
      <c r="F79" s="126"/>
      <c r="G79" s="126">
        <v>0.94</v>
      </c>
      <c r="H79" s="126">
        <v>0.94099999999999995</v>
      </c>
      <c r="I79" s="126">
        <v>0.96899999999999997</v>
      </c>
      <c r="J79" s="126">
        <v>0.97</v>
      </c>
      <c r="K79" s="126">
        <v>0.999</v>
      </c>
      <c r="L79" s="126">
        <v>1</v>
      </c>
      <c r="M79" s="126"/>
      <c r="O79" s="106"/>
      <c r="R79" s="111"/>
      <c r="S79" s="111">
        <f>+IFERROR(VLOOKUP(S80,$AE$75:$AK$86,7,FALSE),"")</f>
        <v>1</v>
      </c>
      <c r="U79" s="111">
        <f>+IFERROR(VLOOKUP(U80,$AE$75:$AK$86,7,FALSE),"")</f>
        <v>1</v>
      </c>
      <c r="W79" s="111">
        <f>+IFERROR(VLOOKUP(W80,$AE$75:$AK$86,7,FALSE),"")</f>
        <v>1</v>
      </c>
      <c r="Y79" s="111">
        <f>+IFERROR(VLOOKUP(Y80,$AE$75:$AK$86,7,FALSE),"")</f>
        <v>1</v>
      </c>
      <c r="AA79" s="111">
        <f>+IFERROR(VLOOKUP(AA80,$AE$75:$AK$86,7,FALSE),"")</f>
        <v>1</v>
      </c>
      <c r="AC79" s="111">
        <f>+IFERROR(VLOOKUP(AC80,$AE$75:$AK$86,7,FALSE),"")</f>
        <v>1</v>
      </c>
      <c r="AE79" s="105" t="s">
        <v>49</v>
      </c>
      <c r="AF79" s="105">
        <v>5</v>
      </c>
      <c r="AG79" s="105">
        <f t="shared" si="0"/>
        <v>1</v>
      </c>
      <c r="AH79" s="105">
        <f>+IF(AG79=0,0,IF(AG79=1,(SUM($AG$75:AG79)-1),1))</f>
        <v>2</v>
      </c>
      <c r="AI79" s="105">
        <f t="shared" si="1"/>
        <v>1</v>
      </c>
      <c r="AJ79" s="105">
        <f t="shared" si="2"/>
        <v>0</v>
      </c>
      <c r="AK79" s="105">
        <f t="shared" si="3"/>
        <v>1</v>
      </c>
      <c r="AL79" s="128" t="str">
        <f>+""</f>
        <v/>
      </c>
      <c r="AM79" s="128">
        <f>+IF(AK79=0,"",IF(Z78="&gt;",AA78+0.001,IF(Z78="&lt;",AA78-0.001,AA78)))</f>
        <v>0</v>
      </c>
      <c r="AN79" s="128">
        <f>+IF(Z77="NA","",IF(AK79=0,"",IF(Z78="≥",AA78-0.001,IF(Z78="≤",AA78+0.001,AA78))))</f>
        <v>0</v>
      </c>
      <c r="AO79" s="128">
        <f>IF(Z77="NA","",IF(AK79=0,"",IF(Z77="&gt;",AA77+0.001,IF(Z77="&lt;",AA77-0.001,AA77))))</f>
        <v>0</v>
      </c>
      <c r="AP79" s="128">
        <f>+IF(Z76="NA","",IF(AK79=0,"",IF(Z77="≥",AA77-0.001,IF(Z77="≤",AA77+0.001,AA77))))</f>
        <v>0</v>
      </c>
      <c r="AQ79" s="128">
        <f>+IF(Z76="NA","",IF(AK79=0,"",IF(Z76="&gt;",AA76+0.001,IF(Z76="&lt;",AA76-0.001,AA76))))</f>
        <v>0</v>
      </c>
      <c r="AR79" s="128" t="str">
        <f>IF(AK79=0,"",IF(Z76="≥",AA75-0.001,IF(Z76="≤",AA75+0.001,"")))</f>
        <v/>
      </c>
      <c r="AS79" s="128" t="str">
        <f>+IF(AK79=0,"",IF(Z75="=",AA75,""))</f>
        <v/>
      </c>
    </row>
    <row r="80" spans="2:45" x14ac:dyDescent="0.25">
      <c r="B80" s="106"/>
      <c r="D80" s="386" t="s">
        <v>50</v>
      </c>
      <c r="E80" s="386"/>
      <c r="F80" s="126"/>
      <c r="G80" s="126">
        <v>0.94</v>
      </c>
      <c r="H80" s="126">
        <v>0.94099999999999995</v>
      </c>
      <c r="I80" s="126">
        <v>0.96899999999999997</v>
      </c>
      <c r="J80" s="126">
        <v>0.97</v>
      </c>
      <c r="K80" s="126">
        <v>0.999</v>
      </c>
      <c r="L80" s="126">
        <v>1</v>
      </c>
      <c r="M80" s="126"/>
      <c r="O80" s="106"/>
      <c r="R80" s="111"/>
      <c r="S80" s="124" t="s">
        <v>53</v>
      </c>
      <c r="T80" s="124"/>
      <c r="U80" s="124" t="s">
        <v>54</v>
      </c>
      <c r="V80" s="124"/>
      <c r="W80" s="124" t="s">
        <v>55</v>
      </c>
      <c r="X80" s="124"/>
      <c r="Y80" s="124" t="s">
        <v>56</v>
      </c>
      <c r="Z80" s="124"/>
      <c r="AA80" s="124" t="s">
        <v>57</v>
      </c>
      <c r="AB80" s="124"/>
      <c r="AC80" s="124" t="s">
        <v>58</v>
      </c>
      <c r="AE80" s="105" t="s">
        <v>50</v>
      </c>
      <c r="AF80" s="105">
        <v>6</v>
      </c>
      <c r="AG80" s="105">
        <f t="shared" si="0"/>
        <v>1</v>
      </c>
      <c r="AH80" s="105">
        <f>+IF(AG80=0,0,IF(AG80=1,(SUM($AG$75:AG80)-1),1))</f>
        <v>3</v>
      </c>
      <c r="AI80" s="105">
        <f t="shared" si="1"/>
        <v>1</v>
      </c>
      <c r="AJ80" s="105">
        <f t="shared" si="2"/>
        <v>0</v>
      </c>
      <c r="AK80" s="105">
        <f t="shared" si="3"/>
        <v>1</v>
      </c>
      <c r="AL80" s="128" t="str">
        <f>+""</f>
        <v/>
      </c>
      <c r="AM80" s="128">
        <f>+IF(AK80=0,"",IF(AB78="&gt;",AC78+0.001,IF(AB78="&lt;",AC78-0.001,AC78)))</f>
        <v>0</v>
      </c>
      <c r="AN80" s="128">
        <f>+IF(AB77="NA","",IF(AK80=0,"",IF(AB78="≥",AC78-0.001,IF(AB78="≤",AC78+0.001,AC78))))</f>
        <v>0</v>
      </c>
      <c r="AO80" s="128">
        <f>IF(AB77="NA","",IF(AK80=0,"",IF(AB77="&gt;",AC77+0.001,IF(AB77="&lt;",AC77-0.001,AC77))))</f>
        <v>0</v>
      </c>
      <c r="AP80" s="128">
        <f>+IF(AB76="NA","",IF(AK80=0,"",IF(AB77="≥",AC77-0.001,IF(AB77="≤",AC77+0.001,AC77))))</f>
        <v>0</v>
      </c>
      <c r="AQ80" s="128">
        <f>+IF(AB76="NA","",IF(AK80=0,"",IF(AB76="&gt;",AC76+0.001,IF(AB76="&lt;",AC76-0.001,AC76))))</f>
        <v>0</v>
      </c>
      <c r="AR80" s="128" t="str">
        <f>IF(AK80=0,"",IF(AB76="≥",AC75-0.001,IF(AB76="≤",AC75+0.001,"")))</f>
        <v/>
      </c>
      <c r="AS80" s="128" t="str">
        <f>+IF(AK80=0,"",IF(AB75="=",AC75,""))</f>
        <v/>
      </c>
    </row>
    <row r="81" spans="2:45" x14ac:dyDescent="0.25">
      <c r="B81" s="106"/>
      <c r="D81" s="386" t="s">
        <v>53</v>
      </c>
      <c r="E81" s="386"/>
      <c r="F81" s="126"/>
      <c r="G81" s="126">
        <v>0.94</v>
      </c>
      <c r="H81" s="126">
        <v>0.94099999999999995</v>
      </c>
      <c r="I81" s="126">
        <v>0.96899999999999997</v>
      </c>
      <c r="J81" s="126">
        <v>0.97</v>
      </c>
      <c r="K81" s="126">
        <v>0.999</v>
      </c>
      <c r="L81" s="126">
        <v>1</v>
      </c>
      <c r="M81" s="126"/>
      <c r="O81" s="106"/>
      <c r="Q81" s="122" t="s">
        <v>1980</v>
      </c>
      <c r="R81" s="111"/>
      <c r="S81" s="127"/>
      <c r="T81" s="111"/>
      <c r="U81" s="127"/>
      <c r="V81" s="111"/>
      <c r="W81" s="127"/>
      <c r="X81" s="111"/>
      <c r="Y81" s="127"/>
      <c r="Z81" s="111"/>
      <c r="AA81" s="127"/>
      <c r="AB81" s="111"/>
      <c r="AC81" s="127"/>
      <c r="AE81" s="105" t="s">
        <v>53</v>
      </c>
      <c r="AF81" s="105">
        <v>7</v>
      </c>
      <c r="AG81" s="105">
        <f t="shared" si="0"/>
        <v>1</v>
      </c>
      <c r="AH81" s="105">
        <f>+IF(AG81=0,0,IF(AG81=1,(SUM($AG$75:AG81)-1),1))</f>
        <v>4</v>
      </c>
      <c r="AI81" s="105">
        <f t="shared" si="1"/>
        <v>1</v>
      </c>
      <c r="AJ81" s="105">
        <f t="shared" si="2"/>
        <v>0</v>
      </c>
      <c r="AK81" s="105">
        <f t="shared" si="3"/>
        <v>1</v>
      </c>
      <c r="AL81" s="128" t="str">
        <f>+""</f>
        <v/>
      </c>
      <c r="AM81" s="128">
        <f>+IF(AK81=0,"",IF(R84="&gt;",S84+0.001,IF(R84="&lt;",S84-0.001,S84)))</f>
        <v>0</v>
      </c>
      <c r="AN81" s="128">
        <f>+IF(R83="NA","",IF(AK81=0,"",IF(R84="≥",S84-0.001,IF(R84="≤",S84+0.001,S84))))</f>
        <v>0</v>
      </c>
      <c r="AO81" s="128">
        <f>IF(R83="NA","",IF(AK81=0,"",IF(R83="&gt;",S83+0.001,IF(R83="&lt;",S83-0.001,S83))))</f>
        <v>0</v>
      </c>
      <c r="AP81" s="128">
        <f>+IF(R82="NA","",IF(AK81=0,"",IF(R83="≥",S83-0.001,IF(R83="≤",S83+0.001,S83))))</f>
        <v>0</v>
      </c>
      <c r="AQ81" s="128">
        <f>+IF(R82="NA","",IF(AK81=0,"",IF(R82="&gt;",S82+0.001,IF(R82="&lt;",S82-0.001,S82))))</f>
        <v>0</v>
      </c>
      <c r="AR81" s="128" t="str">
        <f>IF(AK81=0,"",IF(R82="≥",S81-0.001,IF(R82="≤",S81+0.001,"")))</f>
        <v/>
      </c>
      <c r="AS81" s="128" t="str">
        <f>+IF(AK81=0,"",IF(R81="=",S81,""))</f>
        <v/>
      </c>
    </row>
    <row r="82" spans="2:45" x14ac:dyDescent="0.25">
      <c r="B82" s="106"/>
      <c r="D82" s="386" t="s">
        <v>54</v>
      </c>
      <c r="E82" s="386"/>
      <c r="F82" s="126"/>
      <c r="G82" s="126">
        <v>0.94</v>
      </c>
      <c r="H82" s="126">
        <v>0.94099999999999995</v>
      </c>
      <c r="I82" s="126">
        <v>0.96899999999999997</v>
      </c>
      <c r="J82" s="126">
        <v>0.97</v>
      </c>
      <c r="K82" s="126">
        <v>0.999</v>
      </c>
      <c r="L82" s="126">
        <v>1</v>
      </c>
      <c r="M82" s="126"/>
      <c r="O82" s="106"/>
      <c r="Q82" s="122" t="s">
        <v>1981</v>
      </c>
      <c r="R82" s="111"/>
      <c r="S82" s="127"/>
      <c r="T82" s="111"/>
      <c r="U82" s="127"/>
      <c r="V82" s="111"/>
      <c r="W82" s="127"/>
      <c r="X82" s="111"/>
      <c r="Y82" s="127"/>
      <c r="Z82" s="111"/>
      <c r="AA82" s="127"/>
      <c r="AB82" s="111"/>
      <c r="AC82" s="127"/>
      <c r="AE82" s="105" t="s">
        <v>54</v>
      </c>
      <c r="AF82" s="105">
        <v>8</v>
      </c>
      <c r="AG82" s="105">
        <f t="shared" si="0"/>
        <v>1</v>
      </c>
      <c r="AH82" s="105">
        <f>+IF(AG82=0,0,IF(AG82=1,(SUM($AG$75:AG82)-1),1))</f>
        <v>5</v>
      </c>
      <c r="AI82" s="105">
        <f t="shared" si="1"/>
        <v>1</v>
      </c>
      <c r="AJ82" s="105">
        <f t="shared" si="2"/>
        <v>0</v>
      </c>
      <c r="AK82" s="105">
        <f t="shared" si="3"/>
        <v>1</v>
      </c>
      <c r="AL82" s="128" t="str">
        <f>+""</f>
        <v/>
      </c>
      <c r="AM82" s="128">
        <f>+IF(AK82=0,"",IF(T84="&gt;",U84+0.001,IF(T84="&lt;",U84-0.001,U84)))</f>
        <v>0</v>
      </c>
      <c r="AN82" s="128">
        <f>+IF(T83="NA","",IF(AK82=0,"",IF(T84="≥",U84-0.001,IF(T84="≤",U84+0.001,U84))))</f>
        <v>0</v>
      </c>
      <c r="AO82" s="128">
        <f>IF(T83="NA","",IF(AK82=0,"",IF(T83="&gt;",U83+0.001,IF(T83="&lt;",U83-0.001,U83))))</f>
        <v>0</v>
      </c>
      <c r="AP82" s="128">
        <f>+IF(T82="NA","",IF(AK82=0,"",IF(T83="≥",U83-0.001,IF(T83="≤",U83+0.001,U83))))</f>
        <v>0</v>
      </c>
      <c r="AQ82" s="128">
        <f>+IF(T82="NA","",IF(AK82=0,"",IF(T82="&gt;",U82+0.001,IF(T82="&lt;",U82-0.001,U82))))</f>
        <v>0</v>
      </c>
      <c r="AR82" s="128" t="str">
        <f>IF(AK82=0,"",IF(T82="≥",U81-0.001,IF(T82="≤",U81+0.001,"")))</f>
        <v/>
      </c>
      <c r="AS82" s="128" t="str">
        <f>+IF(AK82=0,"",IF(T81="=",U81,""))</f>
        <v/>
      </c>
    </row>
    <row r="83" spans="2:45" x14ac:dyDescent="0.25">
      <c r="B83" s="106"/>
      <c r="D83" s="386" t="s">
        <v>55</v>
      </c>
      <c r="E83" s="386"/>
      <c r="F83" s="126"/>
      <c r="G83" s="126">
        <v>0.94</v>
      </c>
      <c r="H83" s="126">
        <v>0.94099999999999995</v>
      </c>
      <c r="I83" s="126">
        <v>0.96899999999999997</v>
      </c>
      <c r="J83" s="126">
        <v>0.97</v>
      </c>
      <c r="K83" s="126">
        <v>0.999</v>
      </c>
      <c r="L83" s="126">
        <v>1</v>
      </c>
      <c r="M83" s="126"/>
      <c r="O83" s="106"/>
      <c r="Q83" s="122" t="s">
        <v>1982</v>
      </c>
      <c r="R83" s="111"/>
      <c r="S83" s="127"/>
      <c r="T83" s="111"/>
      <c r="U83" s="127"/>
      <c r="V83" s="111"/>
      <c r="W83" s="127"/>
      <c r="X83" s="111"/>
      <c r="Y83" s="127"/>
      <c r="Z83" s="111"/>
      <c r="AA83" s="127"/>
      <c r="AB83" s="111"/>
      <c r="AC83" s="127"/>
      <c r="AE83" s="105" t="s">
        <v>55</v>
      </c>
      <c r="AF83" s="105">
        <v>9</v>
      </c>
      <c r="AG83" s="105">
        <f t="shared" si="0"/>
        <v>1</v>
      </c>
      <c r="AH83" s="105">
        <f>+IF(AG83=0,0,IF(AG83=1,(SUM($AG$75:AG83)-1),1))</f>
        <v>6</v>
      </c>
      <c r="AI83" s="105">
        <f t="shared" si="1"/>
        <v>1</v>
      </c>
      <c r="AJ83" s="105">
        <f t="shared" si="2"/>
        <v>0</v>
      </c>
      <c r="AK83" s="105">
        <f t="shared" si="3"/>
        <v>1</v>
      </c>
      <c r="AL83" s="128" t="str">
        <f>+""</f>
        <v/>
      </c>
      <c r="AM83" s="128">
        <f>+IF(AK83=0,"",IF(V84="&gt;",W84+0.001,IF(V84="&lt;",W84-0.001,W84)))</f>
        <v>0</v>
      </c>
      <c r="AN83" s="128">
        <f>+IF(V83="NA","",IF(AK83=0,"",IF(V84="≥",W84-0.001,IF(V84="≤",W84+0.001,W84))))</f>
        <v>0</v>
      </c>
      <c r="AO83" s="128">
        <f>IF(V83="NA","",IF(AK83=0,"",IF(V83="&gt;",W83+0.001,IF(V83="&lt;",W83-0.001,W83))))</f>
        <v>0</v>
      </c>
      <c r="AP83" s="128">
        <f>+IF(V82="NA","",IF(AK83=0,"",IF(V83="≥",W83-0.001,IF(V83="≤",W83+0.001,W83))))</f>
        <v>0</v>
      </c>
      <c r="AQ83" s="128">
        <f>+IF(V82="NA","",IF(AK83=0,"",IF(V82="&gt;",W82+0.001,IF(V82="&lt;",W82-0.001,W82))))</f>
        <v>0</v>
      </c>
      <c r="AR83" s="128" t="str">
        <f>IF(AK83=0,"",IF(V82="≥",W81-0.001,IF(V82="≤",W81+0.001,"")))</f>
        <v/>
      </c>
      <c r="AS83" s="128" t="str">
        <f>+IF(AK83=0,"",IF(V81="=",W81,""))</f>
        <v/>
      </c>
    </row>
    <row r="84" spans="2:45" x14ac:dyDescent="0.25">
      <c r="B84" s="106"/>
      <c r="D84" s="386" t="s">
        <v>56</v>
      </c>
      <c r="E84" s="386"/>
      <c r="F84" s="126"/>
      <c r="G84" s="126">
        <v>0.94</v>
      </c>
      <c r="H84" s="126">
        <v>0.94099999999999995</v>
      </c>
      <c r="I84" s="126">
        <v>0.96899999999999997</v>
      </c>
      <c r="J84" s="126">
        <v>0.97</v>
      </c>
      <c r="K84" s="126">
        <v>0.999</v>
      </c>
      <c r="L84" s="126">
        <v>1</v>
      </c>
      <c r="M84" s="126"/>
      <c r="O84" s="106"/>
      <c r="Q84" s="122" t="s">
        <v>1983</v>
      </c>
      <c r="R84" s="111"/>
      <c r="S84" s="127"/>
      <c r="T84" s="111"/>
      <c r="U84" s="127"/>
      <c r="V84" s="111"/>
      <c r="W84" s="127"/>
      <c r="X84" s="111"/>
      <c r="Y84" s="127"/>
      <c r="Z84" s="111"/>
      <c r="AA84" s="127"/>
      <c r="AB84" s="111"/>
      <c r="AC84" s="127"/>
      <c r="AE84" s="105" t="s">
        <v>56</v>
      </c>
      <c r="AF84" s="105">
        <v>10</v>
      </c>
      <c r="AG84" s="105">
        <f t="shared" si="0"/>
        <v>1</v>
      </c>
      <c r="AH84" s="105">
        <f>+IF(AG84=0,0,IF(AG84=1,(SUM($AG$75:AG84)-1),1))</f>
        <v>7</v>
      </c>
      <c r="AI84" s="105">
        <f t="shared" si="1"/>
        <v>1</v>
      </c>
      <c r="AJ84" s="105">
        <f t="shared" si="2"/>
        <v>0</v>
      </c>
      <c r="AK84" s="105">
        <f t="shared" si="3"/>
        <v>1</v>
      </c>
      <c r="AL84" s="128" t="str">
        <f>+""</f>
        <v/>
      </c>
      <c r="AM84" s="128">
        <f>+IF(AK84=0,"",IF(X84="&gt;",Y84+0.001,IF(X84="&lt;",Y84-0.001,Y84)))</f>
        <v>0</v>
      </c>
      <c r="AN84" s="128">
        <f>+IF(X83="NA","",IF(AK84=0,"",IF(X84="≥",Y84-0.001,IF(X84="≤",Y84+0.001,Y84))))</f>
        <v>0</v>
      </c>
      <c r="AO84" s="128">
        <f>IF(X83="NA","",IF(AK84=0,"",IF(X83="&gt;",Y83+0.001,IF(X83="&lt;",Y83-0.001,Y83))))</f>
        <v>0</v>
      </c>
      <c r="AP84" s="128">
        <f>+IF(X82="NA","",IF(AK84=0,"",IF(X83="≥",Y83-0.001,IF(X83="≤",Y83+0.001,Y83))))</f>
        <v>0</v>
      </c>
      <c r="AQ84" s="128">
        <f>+IF(X82="NA","",IF(AK84=0,"",IF(X82="&gt;",Y82+0.001,IF(X82="&lt;",Y82-0.001,Y82))))</f>
        <v>0</v>
      </c>
      <c r="AR84" s="128" t="str">
        <f>IF(AK84=0,"",IF(X82="≥",Y81-0.001,IF(X82="≤",Y81+0.001,"")))</f>
        <v/>
      </c>
      <c r="AS84" s="128" t="str">
        <f>+IF(AK84=0,"",IF(X81="=",Y81,""))</f>
        <v/>
      </c>
    </row>
    <row r="85" spans="2:45" x14ac:dyDescent="0.25">
      <c r="B85" s="106"/>
      <c r="D85" s="386" t="s">
        <v>57</v>
      </c>
      <c r="E85" s="386"/>
      <c r="F85" s="126"/>
      <c r="G85" s="126">
        <v>0.94</v>
      </c>
      <c r="H85" s="126">
        <v>0.94099999999999995</v>
      </c>
      <c r="I85" s="126">
        <v>0.96899999999999997</v>
      </c>
      <c r="J85" s="126">
        <v>0.97</v>
      </c>
      <c r="K85" s="126">
        <v>0.999</v>
      </c>
      <c r="L85" s="126">
        <v>1</v>
      </c>
      <c r="M85" s="126"/>
      <c r="O85" s="106"/>
      <c r="AE85" s="105" t="s">
        <v>57</v>
      </c>
      <c r="AF85" s="105">
        <v>11</v>
      </c>
      <c r="AG85" s="105">
        <f t="shared" si="0"/>
        <v>1</v>
      </c>
      <c r="AH85" s="105">
        <f>+IF(AG85=0,0,IF(AG85=1,(SUM($AG$75:AG85)-1),1))</f>
        <v>8</v>
      </c>
      <c r="AI85" s="105">
        <f t="shared" si="1"/>
        <v>1</v>
      </c>
      <c r="AJ85" s="105">
        <f t="shared" si="2"/>
        <v>0</v>
      </c>
      <c r="AK85" s="105">
        <f t="shared" si="3"/>
        <v>1</v>
      </c>
      <c r="AL85" s="128" t="str">
        <f>+""</f>
        <v/>
      </c>
      <c r="AM85" s="128">
        <f>+IF(AK85=0,"",IF(Z84="&gt;",AA84+0.001,IF(Z84="&lt;",AA84-0.001,AA84)))</f>
        <v>0</v>
      </c>
      <c r="AN85" s="128">
        <f>+IF(Z83="NA","",IF(AK85=0,"",IF(Z84="≥",AA84-0.001,IF(Z84="≤",AA84+0.001,AA84))))</f>
        <v>0</v>
      </c>
      <c r="AO85" s="128">
        <f>IF(Z83="NA","",IF(AK85=0,"",IF(Z83="&gt;",AA83+0.001,IF(Z83="&lt;",AA83-0.001,AA83))))</f>
        <v>0</v>
      </c>
      <c r="AP85" s="128">
        <f>+IF(Z82="NA","",IF(AK85=0,"",IF(Z83="≥",AA83-0.001,IF(Z83="≤",AA83+0.001,AA83))))</f>
        <v>0</v>
      </c>
      <c r="AQ85" s="128">
        <f>+IF(Z82="NA","",IF(AK85=0,"",IF(Z82="&gt;",AA82+0.001,IF(Z82="&lt;",AA82-0.001,AA82))))</f>
        <v>0</v>
      </c>
      <c r="AR85" s="128" t="str">
        <f>IF(AK85=0,"",IF(Z82="≥",AA81-0.001,IF(Z82="≤",AA81+0.001,"")))</f>
        <v/>
      </c>
      <c r="AS85" s="128" t="str">
        <f>+IF(AK85=0,"",IF(Z81="=",AA81,""))</f>
        <v/>
      </c>
    </row>
    <row r="86" spans="2:45" x14ac:dyDescent="0.25">
      <c r="B86" s="106"/>
      <c r="D86" s="386" t="s">
        <v>58</v>
      </c>
      <c r="E86" s="386"/>
      <c r="F86" s="126"/>
      <c r="G86" s="126">
        <v>0.94</v>
      </c>
      <c r="H86" s="126">
        <v>0.94099999999999995</v>
      </c>
      <c r="I86" s="126">
        <v>0.96899999999999997</v>
      </c>
      <c r="J86" s="126">
        <v>0.97</v>
      </c>
      <c r="K86" s="126">
        <v>0.999</v>
      </c>
      <c r="L86" s="126">
        <v>1</v>
      </c>
      <c r="M86" s="126"/>
      <c r="O86" s="106"/>
      <c r="AE86" s="105" t="s">
        <v>58</v>
      </c>
      <c r="AF86" s="129">
        <v>12</v>
      </c>
      <c r="AG86" s="105">
        <f t="shared" si="0"/>
        <v>1</v>
      </c>
      <c r="AH86" s="105">
        <f>+IF(AG86=0,0,IF(AG86=1,(SUM($AG$75:AG86)-1),1))</f>
        <v>9</v>
      </c>
      <c r="AI86" s="105">
        <f t="shared" si="1"/>
        <v>1</v>
      </c>
      <c r="AJ86" s="105">
        <f t="shared" si="2"/>
        <v>0</v>
      </c>
      <c r="AK86" s="105">
        <f t="shared" si="3"/>
        <v>1</v>
      </c>
      <c r="AL86" s="128" t="str">
        <f>+""</f>
        <v/>
      </c>
      <c r="AM86" s="128">
        <f>+IF(AK86=0,"",IF(AB84="&gt;",AC84+0.001,IF(AB84="&lt;",AC84-0.001,AC84)))</f>
        <v>0</v>
      </c>
      <c r="AN86" s="128">
        <f>+IF(AB83="NA","",IF(AK86=0,"",IF(AB84="≥",AC84-0.001,IF(AB84="≤",AC84+0.001,AC84))))</f>
        <v>0</v>
      </c>
      <c r="AO86" s="128">
        <f>IF(AB83="NA","",IF(AK86=0,"",IF(AB83="&gt;",AC83+0.001,IF(AB83="&lt;",AC83-0.001,AC83))))</f>
        <v>0</v>
      </c>
      <c r="AP86" s="128">
        <f>+IF(AB82="NA","",IF(AK86=0,"",IF(AB83="≥",AC83-0.001,IF(AB83="≤",AC83+0.001,AC83))))</f>
        <v>0</v>
      </c>
      <c r="AQ86" s="128">
        <f>+IF(AB82="NA","",IF(AK86=0,"",IF(AB82="&gt;",AC82+0.001,IF(AB82="&lt;",AC82-0.001,AC82))))</f>
        <v>0</v>
      </c>
      <c r="AR86" s="128" t="str">
        <f>IF(AK86=0,"",IF(AB82="≥",AC81-0.001,IF(AB82="≤",AC81+0.001,"")))</f>
        <v/>
      </c>
      <c r="AS86" s="128" t="str">
        <f>+IF(AK86=0,"",IF(AB81="=",AC81,""))</f>
        <v/>
      </c>
    </row>
    <row r="87" spans="2:45" ht="3.75" customHeight="1" x14ac:dyDescent="0.25">
      <c r="B87" s="106"/>
      <c r="O87" s="106"/>
      <c r="AR87" s="128" t="str">
        <f>IF(AK87=0,"",IF(S83="Creciente",IF(R88="≥",S88-0.001,""),IF(R88="≤",S88+0.001,"")))</f>
        <v/>
      </c>
    </row>
    <row r="88" spans="2:45" ht="66" customHeight="1" x14ac:dyDescent="0.25">
      <c r="B88" s="106"/>
      <c r="D88" s="378" t="s">
        <v>59</v>
      </c>
      <c r="E88" s="379"/>
      <c r="F88" s="380" t="s">
        <v>2079</v>
      </c>
      <c r="G88" s="381"/>
      <c r="H88" s="381"/>
      <c r="I88" s="381"/>
      <c r="J88" s="381"/>
      <c r="K88" s="381"/>
      <c r="L88" s="381"/>
      <c r="M88" s="382"/>
      <c r="O88" s="106"/>
    </row>
    <row r="89" spans="2:45" ht="3.95" customHeight="1" x14ac:dyDescent="0.25">
      <c r="B89" s="106"/>
      <c r="O89" s="106"/>
    </row>
    <row r="90" spans="2:45" ht="3" customHeight="1" x14ac:dyDescent="0.25">
      <c r="B90" s="106"/>
      <c r="C90" s="106"/>
      <c r="D90" s="106"/>
      <c r="E90" s="106"/>
      <c r="F90" s="106"/>
      <c r="G90" s="106"/>
      <c r="H90" s="106"/>
      <c r="I90" s="106"/>
      <c r="J90" s="106"/>
      <c r="K90" s="106"/>
      <c r="L90" s="106"/>
      <c r="M90" s="106"/>
      <c r="N90" s="106"/>
      <c r="O90" s="106"/>
    </row>
    <row r="91" spans="2:45" ht="3" customHeight="1" x14ac:dyDescent="0.25"/>
    <row r="92" spans="2:45" ht="3" customHeight="1" x14ac:dyDescent="0.25">
      <c r="B92" s="106"/>
      <c r="C92" s="106"/>
      <c r="D92" s="106"/>
      <c r="E92" s="106"/>
      <c r="F92" s="106"/>
      <c r="G92" s="106"/>
      <c r="H92" s="106"/>
      <c r="I92" s="106"/>
      <c r="J92" s="106"/>
      <c r="K92" s="106"/>
      <c r="L92" s="106"/>
      <c r="M92" s="106"/>
      <c r="N92" s="106"/>
      <c r="O92" s="106"/>
    </row>
    <row r="93" spans="2:45" ht="3.95" customHeight="1" x14ac:dyDescent="0.25">
      <c r="B93" s="106"/>
      <c r="O93" s="106"/>
    </row>
    <row r="94" spans="2:45" x14ac:dyDescent="0.25">
      <c r="B94" s="106"/>
      <c r="D94" s="112" t="s">
        <v>60</v>
      </c>
      <c r="O94" s="106"/>
    </row>
    <row r="95" spans="2:45" ht="3.95" customHeight="1" x14ac:dyDescent="0.25">
      <c r="B95" s="106"/>
      <c r="O95" s="106"/>
    </row>
    <row r="96" spans="2:45" ht="20.100000000000001" customHeight="1" x14ac:dyDescent="0.25">
      <c r="B96" s="106"/>
      <c r="D96" s="387" t="s">
        <v>61</v>
      </c>
      <c r="E96" s="387"/>
      <c r="O96" s="106"/>
    </row>
    <row r="97" spans="2:15" ht="30" customHeight="1" x14ac:dyDescent="0.25">
      <c r="B97" s="106"/>
      <c r="D97" s="369" t="s">
        <v>35</v>
      </c>
      <c r="E97" s="369"/>
      <c r="F97" s="370" t="str">
        <f>+IFERROR(VLOOKUP($S$12,[1]Hoja1!$B$5:$AT$190,29,FALSE),"")</f>
        <v>Reportes de Ejecucion Presupuestal SIIF</v>
      </c>
      <c r="G97" s="370"/>
      <c r="H97" s="370"/>
      <c r="I97" s="370"/>
      <c r="J97" s="370"/>
      <c r="K97" s="370"/>
      <c r="L97" s="370"/>
      <c r="M97" s="370"/>
      <c r="O97" s="106"/>
    </row>
    <row r="98" spans="2:15" ht="30" customHeight="1" x14ac:dyDescent="0.25">
      <c r="B98" s="106"/>
      <c r="D98" s="369" t="s">
        <v>36</v>
      </c>
      <c r="E98" s="369"/>
      <c r="F98" s="370" t="s">
        <v>1984</v>
      </c>
      <c r="G98" s="370"/>
      <c r="H98" s="370"/>
      <c r="I98" s="370"/>
      <c r="J98" s="370"/>
      <c r="K98" s="370"/>
      <c r="L98" s="370"/>
      <c r="M98" s="370"/>
      <c r="O98" s="106"/>
    </row>
    <row r="99" spans="2:15" ht="3.95" customHeight="1" x14ac:dyDescent="0.25">
      <c r="B99" s="106"/>
      <c r="O99" s="106"/>
    </row>
    <row r="100" spans="2:15" ht="58.5" customHeight="1" x14ac:dyDescent="0.25">
      <c r="B100" s="106"/>
      <c r="D100" s="378" t="s">
        <v>62</v>
      </c>
      <c r="E100" s="379"/>
      <c r="F100" s="383"/>
      <c r="G100" s="384"/>
      <c r="H100" s="384"/>
      <c r="I100" s="384"/>
      <c r="J100" s="384"/>
      <c r="K100" s="384"/>
      <c r="L100" s="384"/>
      <c r="M100" s="385"/>
      <c r="O100" s="106"/>
    </row>
    <row r="101" spans="2:15" ht="3.95" customHeight="1" x14ac:dyDescent="0.25">
      <c r="B101" s="106"/>
      <c r="O101" s="106"/>
    </row>
    <row r="102" spans="2:15" ht="19.5" customHeight="1" x14ac:dyDescent="0.25">
      <c r="B102" s="106"/>
      <c r="D102" s="371" t="s">
        <v>64</v>
      </c>
      <c r="E102" s="372"/>
      <c r="F102" s="130" t="s">
        <v>65</v>
      </c>
      <c r="G102" s="107" t="s">
        <v>2</v>
      </c>
      <c r="K102" s="131"/>
      <c r="O102" s="106"/>
    </row>
    <row r="103" spans="2:15" ht="19.5" customHeight="1" x14ac:dyDescent="0.25">
      <c r="B103" s="106"/>
      <c r="D103" s="373"/>
      <c r="E103" s="374"/>
      <c r="F103" s="130" t="s">
        <v>66</v>
      </c>
      <c r="G103" s="132"/>
      <c r="K103" s="133"/>
      <c r="O103" s="106"/>
    </row>
    <row r="104" spans="2:15" ht="27.75" customHeight="1" x14ac:dyDescent="0.25">
      <c r="B104" s="106"/>
      <c r="D104" s="373"/>
      <c r="E104" s="374"/>
      <c r="F104" s="130" t="s">
        <v>67</v>
      </c>
      <c r="G104" s="375"/>
      <c r="H104" s="376"/>
      <c r="I104" s="376"/>
      <c r="J104" s="376"/>
      <c r="K104" s="376"/>
      <c r="L104" s="376"/>
      <c r="M104" s="377"/>
      <c r="O104" s="106"/>
    </row>
    <row r="105" spans="2:15" ht="3.95" customHeight="1" x14ac:dyDescent="0.25">
      <c r="B105" s="106"/>
      <c r="O105" s="106"/>
    </row>
    <row r="106" spans="2:15" ht="229.5" customHeight="1" x14ac:dyDescent="0.25">
      <c r="B106" s="106"/>
      <c r="D106" s="378" t="s">
        <v>68</v>
      </c>
      <c r="E106" s="379"/>
      <c r="F106" s="380" t="s">
        <v>102</v>
      </c>
      <c r="G106" s="381"/>
      <c r="H106" s="381"/>
      <c r="I106" s="381"/>
      <c r="J106" s="381"/>
      <c r="K106" s="381"/>
      <c r="L106" s="381"/>
      <c r="M106" s="382"/>
      <c r="O106" s="106"/>
    </row>
    <row r="107" spans="2:15" ht="3.95" customHeight="1" x14ac:dyDescent="0.25">
      <c r="B107" s="106"/>
      <c r="O107" s="106"/>
    </row>
    <row r="108" spans="2:15" ht="17.25" customHeight="1" x14ac:dyDescent="0.25">
      <c r="B108" s="106"/>
      <c r="D108" s="371" t="s">
        <v>2040</v>
      </c>
      <c r="E108" s="372"/>
      <c r="F108" s="130" t="s">
        <v>2041</v>
      </c>
      <c r="G108" s="375" t="str">
        <f>+VLOOKUP(H10,tablero!$P$5:$R$201,3,FALSE)</f>
        <v>Director(a)  Sistema Nacional de Bienestar Familiar</v>
      </c>
      <c r="H108" s="376"/>
      <c r="I108" s="376"/>
      <c r="J108" s="376"/>
      <c r="K108" s="376"/>
      <c r="L108" s="376"/>
      <c r="M108" s="377"/>
      <c r="O108" s="106"/>
    </row>
    <row r="109" spans="2:15" ht="17.25" customHeight="1" x14ac:dyDescent="0.25">
      <c r="B109" s="106"/>
      <c r="D109" s="373"/>
      <c r="E109" s="374"/>
      <c r="F109" s="130" t="s">
        <v>2042</v>
      </c>
      <c r="G109" s="375" t="str">
        <f>+IF(M23="Si","Coordinador(a) Planeación y Sistemas","")</f>
        <v/>
      </c>
      <c r="H109" s="376"/>
      <c r="I109" s="376"/>
      <c r="J109" s="376"/>
      <c r="K109" s="376"/>
      <c r="L109" s="376"/>
      <c r="M109" s="377"/>
      <c r="O109" s="106"/>
    </row>
    <row r="110" spans="2:15" ht="17.25" customHeight="1" x14ac:dyDescent="0.25">
      <c r="B110" s="106"/>
      <c r="D110" s="373"/>
      <c r="E110" s="374"/>
      <c r="F110" s="130" t="s">
        <v>2043</v>
      </c>
      <c r="G110" s="375" t="str">
        <f>+IF(M24="Si","Coordinador(a) Centro Zonal","")</f>
        <v/>
      </c>
      <c r="H110" s="376"/>
      <c r="I110" s="376"/>
      <c r="J110" s="376"/>
      <c r="K110" s="376"/>
      <c r="L110" s="376"/>
      <c r="M110" s="377"/>
      <c r="O110" s="106"/>
    </row>
    <row r="111" spans="2:15" ht="3.95" customHeight="1" x14ac:dyDescent="0.25">
      <c r="B111" s="106"/>
      <c r="O111" s="106"/>
    </row>
    <row r="112" spans="2:15" ht="3" customHeight="1" x14ac:dyDescent="0.25">
      <c r="B112" s="106"/>
      <c r="C112" s="106"/>
      <c r="D112" s="106"/>
      <c r="E112" s="106"/>
      <c r="F112" s="106"/>
      <c r="G112" s="106"/>
      <c r="H112" s="106"/>
      <c r="I112" s="106"/>
      <c r="J112" s="106"/>
      <c r="K112" s="106"/>
      <c r="L112" s="106"/>
      <c r="M112" s="106"/>
      <c r="N112" s="106"/>
      <c r="O112" s="106"/>
    </row>
    <row r="113" spans="13:13" x14ac:dyDescent="0.25">
      <c r="M113" s="121" t="s">
        <v>70</v>
      </c>
    </row>
  </sheetData>
  <mergeCells count="85">
    <mergeCell ref="C3:N5"/>
    <mergeCell ref="D10:E10"/>
    <mergeCell ref="D12:E12"/>
    <mergeCell ref="F12:M12"/>
    <mergeCell ref="D14:E14"/>
    <mergeCell ref="F14:M14"/>
    <mergeCell ref="D22:E22"/>
    <mergeCell ref="G22:H22"/>
    <mergeCell ref="K22:L22"/>
    <mergeCell ref="D23:E23"/>
    <mergeCell ref="G23:H23"/>
    <mergeCell ref="K23:L23"/>
    <mergeCell ref="D24:E24"/>
    <mergeCell ref="G24:H24"/>
    <mergeCell ref="K24:L24"/>
    <mergeCell ref="D25:E25"/>
    <mergeCell ref="D29:E29"/>
    <mergeCell ref="F29:M29"/>
    <mergeCell ref="D30:E31"/>
    <mergeCell ref="G30:M30"/>
    <mergeCell ref="G31:M31"/>
    <mergeCell ref="D32:E33"/>
    <mergeCell ref="G32:M32"/>
    <mergeCell ref="G33:M33"/>
    <mergeCell ref="D34:E35"/>
    <mergeCell ref="G34:M34"/>
    <mergeCell ref="G35:M35"/>
    <mergeCell ref="D43:E43"/>
    <mergeCell ref="D44:E45"/>
    <mergeCell ref="G44:M44"/>
    <mergeCell ref="G45:M45"/>
    <mergeCell ref="D46:E47"/>
    <mergeCell ref="G46:M46"/>
    <mergeCell ref="G47:M47"/>
    <mergeCell ref="D48:E49"/>
    <mergeCell ref="G48:M48"/>
    <mergeCell ref="G49:M49"/>
    <mergeCell ref="D51:E51"/>
    <mergeCell ref="G51:H51"/>
    <mergeCell ref="D59:E59"/>
    <mergeCell ref="F59:M59"/>
    <mergeCell ref="D60:E60"/>
    <mergeCell ref="F60:M60"/>
    <mergeCell ref="D82:E82"/>
    <mergeCell ref="D83:E83"/>
    <mergeCell ref="D61:E61"/>
    <mergeCell ref="F61:M61"/>
    <mergeCell ref="D67:E67"/>
    <mergeCell ref="D71:E71"/>
    <mergeCell ref="D73:E74"/>
    <mergeCell ref="F73:G73"/>
    <mergeCell ref="H73:I73"/>
    <mergeCell ref="J73:K73"/>
    <mergeCell ref="L73:M73"/>
    <mergeCell ref="D77:E77"/>
    <mergeCell ref="D78:E78"/>
    <mergeCell ref="D79:E79"/>
    <mergeCell ref="D80:E80"/>
    <mergeCell ref="D81:E81"/>
    <mergeCell ref="AR73:AS73"/>
    <mergeCell ref="D75:E75"/>
    <mergeCell ref="D76:E76"/>
    <mergeCell ref="AL73:AM73"/>
    <mergeCell ref="AN73:AO73"/>
    <mergeCell ref="AP73:AQ73"/>
    <mergeCell ref="D84:E84"/>
    <mergeCell ref="D85:E85"/>
    <mergeCell ref="D86:E86"/>
    <mergeCell ref="D88:E88"/>
    <mergeCell ref="F97:M97"/>
    <mergeCell ref="D96:E96"/>
    <mergeCell ref="D97:E97"/>
    <mergeCell ref="F88:M88"/>
    <mergeCell ref="D98:E98"/>
    <mergeCell ref="F98:M98"/>
    <mergeCell ref="D108:E110"/>
    <mergeCell ref="G108:M108"/>
    <mergeCell ref="G109:M109"/>
    <mergeCell ref="G110:M110"/>
    <mergeCell ref="D102:E104"/>
    <mergeCell ref="G104:M104"/>
    <mergeCell ref="D106:E106"/>
    <mergeCell ref="F106:M106"/>
    <mergeCell ref="D100:E100"/>
    <mergeCell ref="F100:M100"/>
  </mergeCells>
  <conditionalFormatting sqref="F44:M49">
    <cfRule type="expression" dxfId="265" priority="34">
      <formula>+IF($F$43="no",1,0)</formula>
    </cfRule>
  </conditionalFormatting>
  <conditionalFormatting sqref="F32:M33">
    <cfRule type="expression" dxfId="264" priority="33">
      <formula>+IF($Q$30="NA",1,0)</formula>
    </cfRule>
  </conditionalFormatting>
  <conditionalFormatting sqref="F33:M33">
    <cfRule type="expression" dxfId="263" priority="32">
      <formula>+IF($Q$33=0,1,0)</formula>
    </cfRule>
  </conditionalFormatting>
  <conditionalFormatting sqref="F47:M47">
    <cfRule type="expression" dxfId="262" priority="31">
      <formula>+IF($Q$47=0,1,0)</formula>
    </cfRule>
  </conditionalFormatting>
  <conditionalFormatting sqref="Y75:Y78">
    <cfRule type="expression" dxfId="261" priority="27">
      <formula>+IF(Y$73=0,1,0)</formula>
    </cfRule>
  </conditionalFormatting>
  <conditionalFormatting sqref="AA75:AA78">
    <cfRule type="expression" dxfId="260" priority="26">
      <formula>+IF(AA$73=0,1,0)</formula>
    </cfRule>
  </conditionalFormatting>
  <conditionalFormatting sqref="AC75:AC78">
    <cfRule type="expression" dxfId="259" priority="25">
      <formula>+IF(AC$73=0,1,0)</formula>
    </cfRule>
  </conditionalFormatting>
  <conditionalFormatting sqref="S81:S84">
    <cfRule type="expression" dxfId="258" priority="24">
      <formula>+IF(S$79=0,1,0)</formula>
    </cfRule>
  </conditionalFormatting>
  <conditionalFormatting sqref="U81:U84">
    <cfRule type="expression" dxfId="257" priority="23">
      <formula>+IF(U$79=0,1,0)</formula>
    </cfRule>
  </conditionalFormatting>
  <conditionalFormatting sqref="W81:W84">
    <cfRule type="expression" dxfId="256" priority="22">
      <formula>+IF(W$79=0,1,0)</formula>
    </cfRule>
  </conditionalFormatting>
  <conditionalFormatting sqref="Y81:Y84">
    <cfRule type="expression" dxfId="255" priority="21">
      <formula>+IF(Y$79=0,1,0)</formula>
    </cfRule>
  </conditionalFormatting>
  <conditionalFormatting sqref="AA81:AA84">
    <cfRule type="expression" dxfId="254" priority="20">
      <formula>+IF(AA$79=0,1,0)</formula>
    </cfRule>
  </conditionalFormatting>
  <conditionalFormatting sqref="AC81:AC84">
    <cfRule type="expression" dxfId="253" priority="19">
      <formula>+IF(AC$79=0,1,0)</formula>
    </cfRule>
  </conditionalFormatting>
  <conditionalFormatting sqref="F73:G73">
    <cfRule type="cellIs" dxfId="252" priority="17" operator="equal">
      <formula>"optimo"</formula>
    </cfRule>
    <cfRule type="cellIs" dxfId="251" priority="18" operator="equal">
      <formula>"critico"</formula>
    </cfRule>
  </conditionalFormatting>
  <conditionalFormatting sqref="H73:I73">
    <cfRule type="cellIs" dxfId="250" priority="15" operator="equal">
      <formula>"Adecuado"</formula>
    </cfRule>
    <cfRule type="cellIs" dxfId="249" priority="16" operator="equal">
      <formula>"en riesgo"</formula>
    </cfRule>
  </conditionalFormatting>
  <conditionalFormatting sqref="J73:K73">
    <cfRule type="cellIs" dxfId="248" priority="13" operator="equal">
      <formula>"Adecuado"</formula>
    </cfRule>
    <cfRule type="cellIs" dxfId="247" priority="14" operator="equal">
      <formula>"en riesgo"</formula>
    </cfRule>
  </conditionalFormatting>
  <conditionalFormatting sqref="L73:M73">
    <cfRule type="cellIs" dxfId="246" priority="11" operator="equal">
      <formula>"optimo"</formula>
    </cfRule>
    <cfRule type="cellIs" dxfId="245" priority="12" operator="equal">
      <formula>"critico"</formula>
    </cfRule>
  </conditionalFormatting>
  <conditionalFormatting sqref="F75:M76">
    <cfRule type="expression" dxfId="244" priority="10">
      <formula>+IF($AK75=0,1)</formula>
    </cfRule>
  </conditionalFormatting>
  <conditionalFormatting sqref="F103:G104">
    <cfRule type="expression" dxfId="243" priority="9">
      <formula>+IF($G$102="No",1,0)</formula>
    </cfRule>
  </conditionalFormatting>
  <conditionalFormatting sqref="F51">
    <cfRule type="expression" dxfId="242" priority="8">
      <formula>+IF($F$43="no",1,0)</formula>
    </cfRule>
  </conditionalFormatting>
  <conditionalFormatting sqref="I51">
    <cfRule type="expression" dxfId="241" priority="7">
      <formula>+IF($F$51="no",1,0)</formula>
    </cfRule>
  </conditionalFormatting>
  <conditionalFormatting sqref="F77:F86 M77:M86">
    <cfRule type="expression" dxfId="240" priority="2">
      <formula>+IF($AK77=0,1)</formula>
    </cfRule>
  </conditionalFormatting>
  <conditionalFormatting sqref="G77:L86">
    <cfRule type="expression" dxfId="239" priority="1">
      <formula>+IF($AK77=0,1)</formula>
    </cfRule>
  </conditionalFormatting>
  <dataValidations count="13">
    <dataValidation type="list" allowBlank="1" showInputMessage="1" showErrorMessage="1" sqref="G102 F43 F51">
      <formula1>$S$4:$S$5</formula1>
    </dataValidation>
    <dataValidation type="list" allowBlank="1" showInputMessage="1" showErrorMessage="1" sqref="F29:M29">
      <formula1>objetivos</formula1>
    </dataValidation>
    <dataValidation type="list" allowBlank="1" showInputMessage="1" showErrorMessage="1" sqref="F35:G35">
      <formula1>macroprocesos</formula1>
    </dataValidation>
    <dataValidation type="list" allowBlank="1" showInputMessage="1" showErrorMessage="1" sqref="G33:M33">
      <formula1>INDIRECT($Q$30)</formula1>
    </dataValidation>
    <dataValidation type="list" allowBlank="1" showInputMessage="1" showErrorMessage="1" sqref="G31:M31">
      <formula1>macroproceso</formula1>
    </dataValidation>
    <dataValidation type="list" allowBlank="1" showInputMessage="1" showErrorMessage="1" sqref="G45:M45">
      <formula1>lineas</formula1>
    </dataValidation>
    <dataValidation type="list" allowBlank="1" showInputMessage="1" showErrorMessage="1" sqref="G47:M47">
      <formula1>INDIRECT($Q$45)</formula1>
    </dataValidation>
    <dataValidation type="list" allowBlank="1" showInputMessage="1" showErrorMessage="1" sqref="F24">
      <formula1>tendencia</formula1>
    </dataValidation>
    <dataValidation type="list" allowBlank="1" showInputMessage="1" showErrorMessage="1" sqref="I23">
      <formula1>medidas</formula1>
    </dataValidation>
    <dataValidation type="list" allowBlank="1" showInputMessage="1" showErrorMessage="1" sqref="I24">
      <formula1>ambito</formula1>
    </dataValidation>
    <dataValidation type="list" allowBlank="1" showInputMessage="1" showErrorMessage="1" sqref="F71">
      <formula1>$D$75:$D$86</formula1>
    </dataValidation>
    <dataValidation type="list" allowBlank="1" showInputMessage="1" showErrorMessage="1" sqref="G49:M49">
      <formula1>proyectos</formula1>
    </dataValidation>
    <dataValidation type="list" allowBlank="1" showInputMessage="1" showErrorMessage="1" sqref="F25">
      <formula1>dimen</formula1>
    </dataValidation>
  </dataValidations>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[1]base!#REF!</xm:f>
          </x14:formula1>
          <xm:sqref>R75:R78 T75:T78 V75:V78 X75:X78 Z75:Z78 AB75:AB78 T81:T84 Z81:Z84 R81:R84 V81:V84 X81:X84 AB81:AB84 F23</xm:sqref>
        </x14:dataValidation>
        <x14:dataValidation type="list" allowBlank="1" showInputMessage="1" showErrorMessage="1">
          <x14:formula1>
            <xm:f>[1]Hoja1!#REF!</xm:f>
          </x14:formula1>
          <xm:sqref>S12</xm:sqref>
        </x14:dataValidation>
      </x14:dataValidations>
    </ext>
  </extLst>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6">
    <tabColor rgb="FF0070C0"/>
  </sheetPr>
  <dimension ref="B1:AV113"/>
  <sheetViews>
    <sheetView topLeftCell="A76" zoomScaleNormal="100" workbookViewId="0"/>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457</v>
      </c>
      <c r="O10" s="2"/>
    </row>
    <row r="11" spans="2:24" ht="3.95" customHeight="1" x14ac:dyDescent="0.25">
      <c r="B11" s="2"/>
      <c r="D11" s="6"/>
      <c r="O11" s="2"/>
    </row>
    <row r="12" spans="2:24" ht="36" customHeight="1" x14ac:dyDescent="0.25">
      <c r="B12" s="2"/>
      <c r="D12" s="338" t="s">
        <v>5</v>
      </c>
      <c r="E12" s="339"/>
      <c r="F12" s="340" t="s">
        <v>458</v>
      </c>
      <c r="G12" s="341"/>
      <c r="H12" s="341"/>
      <c r="I12" s="341"/>
      <c r="J12" s="341"/>
      <c r="K12" s="341"/>
      <c r="L12" s="341"/>
      <c r="M12" s="342"/>
      <c r="O12" s="2"/>
      <c r="W12" s="3" t="str">
        <f>+F23</f>
        <v>Anual</v>
      </c>
      <c r="X12" s="3" t="str">
        <f>+F71</f>
        <v>Diciembre</v>
      </c>
    </row>
    <row r="13" spans="2:24" ht="3.95" customHeight="1" x14ac:dyDescent="0.25">
      <c r="B13" s="2"/>
      <c r="O13" s="2"/>
    </row>
    <row r="14" spans="2:24" ht="38.25" customHeight="1" x14ac:dyDescent="0.25">
      <c r="B14" s="2"/>
      <c r="D14" s="338" t="s">
        <v>6</v>
      </c>
      <c r="E14" s="339"/>
      <c r="F14" s="340" t="s">
        <v>1465</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8.75" customHeight="1" x14ac:dyDescent="0.25">
      <c r="B22" s="2"/>
      <c r="D22" s="337" t="s">
        <v>8</v>
      </c>
      <c r="E22" s="337"/>
      <c r="F22" s="29">
        <v>12</v>
      </c>
      <c r="G22" s="337" t="s">
        <v>9</v>
      </c>
      <c r="H22" s="337"/>
      <c r="I22" s="29">
        <v>9</v>
      </c>
      <c r="K22" s="337" t="s">
        <v>10</v>
      </c>
      <c r="L22" s="337"/>
      <c r="M22" s="9" t="s">
        <v>496</v>
      </c>
      <c r="O22" s="2"/>
    </row>
    <row r="23" spans="2:17" ht="19.5" customHeight="1" x14ac:dyDescent="0.25">
      <c r="B23" s="2"/>
      <c r="D23" s="337" t="s">
        <v>11</v>
      </c>
      <c r="E23" s="337"/>
      <c r="F23" s="4" t="s">
        <v>1249</v>
      </c>
      <c r="G23" s="337" t="s">
        <v>12</v>
      </c>
      <c r="H23" s="337"/>
      <c r="I23" s="4" t="s">
        <v>647</v>
      </c>
      <c r="K23" s="337" t="s">
        <v>13</v>
      </c>
      <c r="L23" s="337"/>
      <c r="M23" s="9" t="s">
        <v>2</v>
      </c>
      <c r="O23" s="2"/>
    </row>
    <row r="24" spans="2:17" ht="20.100000000000001" customHeight="1" x14ac:dyDescent="0.25">
      <c r="B24" s="2"/>
      <c r="D24" s="337" t="s">
        <v>14</v>
      </c>
      <c r="E24" s="337"/>
      <c r="F24" s="4" t="s">
        <v>498</v>
      </c>
      <c r="G24" s="337" t="s">
        <v>15</v>
      </c>
      <c r="H24" s="337"/>
      <c r="I24" s="4" t="s">
        <v>103</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evaluacion</v>
      </c>
    </row>
    <row r="31" spans="2:17" ht="24" customHeight="1" x14ac:dyDescent="0.25">
      <c r="B31" s="2"/>
      <c r="D31" s="347"/>
      <c r="E31" s="348"/>
      <c r="F31" s="4" t="s">
        <v>454</v>
      </c>
      <c r="G31" s="340" t="s">
        <v>455</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1615</v>
      </c>
      <c r="G33" s="340" t="s">
        <v>1616</v>
      </c>
      <c r="H33" s="341"/>
      <c r="I33" s="341"/>
      <c r="J33" s="341"/>
      <c r="K33" s="341"/>
      <c r="L33" s="341"/>
      <c r="M33" s="342"/>
      <c r="O33" s="2"/>
      <c r="Q33" s="3">
        <f>+IFERROR(IF(VLOOKUP(G33,base!$A$26:$C$40,3,FALSE)=F31,1,0),"")</f>
        <v>1</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1716</v>
      </c>
      <c r="G35" s="340" t="s">
        <v>1592</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501</v>
      </c>
      <c r="G45" s="340" t="s">
        <v>515</v>
      </c>
      <c r="H45" s="341"/>
      <c r="I45" s="341"/>
      <c r="J45" s="341"/>
      <c r="K45" s="341"/>
      <c r="L45" s="341"/>
      <c r="M45" s="342"/>
      <c r="O45" s="2"/>
      <c r="Q45" s="3" t="str">
        <f>+IFERROR(VLOOKUP(G45,base!$A$41:$C$45,3,FALSE),"")</f>
        <v>misional</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503</v>
      </c>
      <c r="G47" s="340" t="s">
        <v>995</v>
      </c>
      <c r="H47" s="341"/>
      <c r="I47" s="341"/>
      <c r="J47" s="341"/>
      <c r="K47" s="341"/>
      <c r="L47" s="341"/>
      <c r="M47" s="342"/>
      <c r="O47" s="2"/>
      <c r="Q47" s="3">
        <f>+IF(VLOOKUP(G47,base!$A$46:$C$66,3,FALSE)=F45,1,0)</f>
        <v>1</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920</v>
      </c>
      <c r="G49" s="340" t="s">
        <v>899</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496</v>
      </c>
      <c r="G51" s="337" t="s">
        <v>32</v>
      </c>
      <c r="H51" s="337"/>
      <c r="I51" s="29">
        <v>36</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37" t="s">
        <v>34</v>
      </c>
      <c r="E59" s="337"/>
      <c r="F59" s="473" t="s">
        <v>1466</v>
      </c>
      <c r="G59" s="473"/>
      <c r="H59" s="473"/>
      <c r="I59" s="473"/>
      <c r="J59" s="473"/>
      <c r="K59" s="473"/>
      <c r="L59" s="473"/>
      <c r="M59" s="473"/>
      <c r="O59" s="2"/>
    </row>
    <row r="60" spans="2:15" ht="51" customHeight="1" x14ac:dyDescent="0.25">
      <c r="B60" s="2"/>
      <c r="D60" s="359" t="s">
        <v>35</v>
      </c>
      <c r="E60" s="359"/>
      <c r="F60" s="344" t="s">
        <v>1467</v>
      </c>
      <c r="G60" s="344"/>
      <c r="H60" s="344"/>
      <c r="I60" s="344"/>
      <c r="J60" s="344"/>
      <c r="K60" s="344"/>
      <c r="L60" s="344"/>
      <c r="M60" s="344"/>
      <c r="O60" s="2"/>
    </row>
    <row r="61" spans="2:15" ht="51" customHeight="1" x14ac:dyDescent="0.25">
      <c r="B61" s="2"/>
      <c r="D61" s="359" t="s">
        <v>36</v>
      </c>
      <c r="E61" s="359"/>
      <c r="F61" s="474" t="s">
        <v>1468</v>
      </c>
      <c r="G61" s="475"/>
      <c r="H61" s="475"/>
      <c r="I61" s="475"/>
      <c r="J61" s="475"/>
      <c r="K61" s="475"/>
      <c r="L61" s="475"/>
      <c r="M61" s="476"/>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12</v>
      </c>
    </row>
    <row r="70" spans="2:37" ht="3.95" customHeight="1" x14ac:dyDescent="0.25">
      <c r="B70" s="2"/>
      <c r="D70" s="7"/>
      <c r="E70" s="7"/>
      <c r="O70" s="2"/>
    </row>
    <row r="71" spans="2:37" ht="18.75" customHeight="1" x14ac:dyDescent="0.25">
      <c r="B71" s="2"/>
      <c r="D71" s="343" t="s">
        <v>39</v>
      </c>
      <c r="E71" s="343"/>
      <c r="F71" s="4" t="s">
        <v>58</v>
      </c>
      <c r="G71" s="3">
        <v>12</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60" t="s">
        <v>50</v>
      </c>
      <c r="E80" s="360"/>
      <c r="F80" s="16" t="s">
        <v>500</v>
      </c>
      <c r="G80" s="16" t="s">
        <v>500</v>
      </c>
      <c r="H80" s="16" t="s">
        <v>500</v>
      </c>
      <c r="I80" s="16" t="s">
        <v>500</v>
      </c>
      <c r="J80" s="16" t="s">
        <v>500</v>
      </c>
      <c r="K80" s="16" t="s">
        <v>500</v>
      </c>
      <c r="L80" s="16" t="s">
        <v>500</v>
      </c>
      <c r="M80" s="16" t="s">
        <v>500</v>
      </c>
      <c r="O80" s="2"/>
      <c r="AE80" s="3" t="s">
        <v>50</v>
      </c>
      <c r="AF80" s="3">
        <v>6</v>
      </c>
      <c r="AG80" s="3">
        <f t="shared" si="0"/>
        <v>0</v>
      </c>
      <c r="AH80" s="3">
        <f>+IF(AG80=0,0,IF(AG80=1,(SUM($AG$75:AG80)-1),1))</f>
        <v>0</v>
      </c>
      <c r="AI80" s="3">
        <f t="shared" si="1"/>
        <v>0</v>
      </c>
      <c r="AJ80" s="3">
        <f t="shared" si="2"/>
        <v>0</v>
      </c>
      <c r="AK80" s="3">
        <f t="shared" si="3"/>
        <v>0</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0</v>
      </c>
      <c r="AH81" s="3">
        <f>+IF(AG81=0,0,IF(AG81=1,(SUM($AG$75:AG81)-1),1))</f>
        <v>0</v>
      </c>
      <c r="AI81" s="3">
        <f t="shared" si="1"/>
        <v>0</v>
      </c>
      <c r="AJ81" s="3">
        <f t="shared" si="2"/>
        <v>0</v>
      </c>
      <c r="AK81" s="3">
        <f t="shared" si="3"/>
        <v>0</v>
      </c>
    </row>
    <row r="82" spans="2:37" x14ac:dyDescent="0.25">
      <c r="B82" s="2"/>
      <c r="D82" s="360" t="s">
        <v>54</v>
      </c>
      <c r="E82" s="360"/>
      <c r="F82" s="16" t="s">
        <v>500</v>
      </c>
      <c r="G82" s="16" t="s">
        <v>500</v>
      </c>
      <c r="H82" s="16" t="s">
        <v>500</v>
      </c>
      <c r="I82" s="16" t="s">
        <v>500</v>
      </c>
      <c r="J82" s="16" t="s">
        <v>500</v>
      </c>
      <c r="K82" s="16" t="s">
        <v>500</v>
      </c>
      <c r="L82" s="16" t="s">
        <v>500</v>
      </c>
      <c r="M82" s="16" t="s">
        <v>500</v>
      </c>
      <c r="O82" s="2"/>
      <c r="AE82" s="3" t="s">
        <v>54</v>
      </c>
      <c r="AF82" s="3">
        <v>8</v>
      </c>
      <c r="AG82" s="3">
        <f t="shared" si="0"/>
        <v>0</v>
      </c>
      <c r="AH82" s="3">
        <f>+IF(AG82=0,0,IF(AG82=1,(SUM($AG$75:AG82)-1),1))</f>
        <v>0</v>
      </c>
      <c r="AI82" s="3">
        <f t="shared" si="1"/>
        <v>0</v>
      </c>
      <c r="AJ82" s="3">
        <f t="shared" si="2"/>
        <v>0</v>
      </c>
      <c r="AK82" s="3">
        <f t="shared" si="3"/>
        <v>0</v>
      </c>
    </row>
    <row r="83" spans="2:37" x14ac:dyDescent="0.25">
      <c r="B83" s="2"/>
      <c r="D83" s="360" t="s">
        <v>55</v>
      </c>
      <c r="E83" s="360"/>
      <c r="F83" s="16" t="s">
        <v>500</v>
      </c>
      <c r="G83" s="16" t="s">
        <v>500</v>
      </c>
      <c r="H83" s="16" t="s">
        <v>500</v>
      </c>
      <c r="I83" s="16" t="s">
        <v>500</v>
      </c>
      <c r="J83" s="16" t="s">
        <v>500</v>
      </c>
      <c r="K83" s="16" t="s">
        <v>500</v>
      </c>
      <c r="L83" s="16" t="s">
        <v>500</v>
      </c>
      <c r="M83" s="16" t="s">
        <v>500</v>
      </c>
      <c r="O83" s="2"/>
      <c r="AE83" s="3" t="s">
        <v>55</v>
      </c>
      <c r="AF83" s="3">
        <v>9</v>
      </c>
      <c r="AG83" s="3">
        <f t="shared" si="0"/>
        <v>0</v>
      </c>
      <c r="AH83" s="3">
        <f>+IF(AG83=0,0,IF(AG83=1,(SUM($AG$75:AG83)-1),1))</f>
        <v>0</v>
      </c>
      <c r="AI83" s="3">
        <f t="shared" si="1"/>
        <v>0</v>
      </c>
      <c r="AJ83" s="3">
        <f t="shared" si="2"/>
        <v>0</v>
      </c>
      <c r="AK83" s="3">
        <f t="shared" si="3"/>
        <v>0</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0</v>
      </c>
      <c r="AH84" s="3">
        <f>+IF(AG84=0,0,IF(AG84=1,(SUM($AG$75:AG84)-1),1))</f>
        <v>0</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0</v>
      </c>
      <c r="AH85" s="3">
        <f>+IF(AG85=0,0,IF(AG85=1,(SUM($AG$75:AG85)-1),1))</f>
        <v>0</v>
      </c>
      <c r="AI85" s="3">
        <f t="shared" si="1"/>
        <v>0</v>
      </c>
      <c r="AJ85" s="3">
        <f t="shared" si="2"/>
        <v>0</v>
      </c>
      <c r="AK85" s="3">
        <f t="shared" si="3"/>
        <v>0</v>
      </c>
    </row>
    <row r="86" spans="2:37" x14ac:dyDescent="0.25">
      <c r="B86" s="2"/>
      <c r="D86" s="360" t="s">
        <v>58</v>
      </c>
      <c r="E86" s="360"/>
      <c r="F86" s="16" t="s">
        <v>500</v>
      </c>
      <c r="G86" s="16">
        <v>0.5</v>
      </c>
      <c r="H86" s="16">
        <v>0.501</v>
      </c>
      <c r="I86" s="16">
        <v>0.6</v>
      </c>
      <c r="J86" s="16">
        <v>0.60099999999999998</v>
      </c>
      <c r="K86" s="16">
        <v>0.999</v>
      </c>
      <c r="L86" s="16"/>
      <c r="M86" s="16">
        <v>1</v>
      </c>
      <c r="O86" s="2"/>
      <c r="AE86" s="3" t="s">
        <v>58</v>
      </c>
      <c r="AF86" s="65">
        <v>12</v>
      </c>
      <c r="AG86" s="3">
        <f t="shared" si="0"/>
        <v>1</v>
      </c>
      <c r="AH86" s="3">
        <f>+IF(AG86=0,0,IF(AG86=1,(SUM($AG$75:AG86)-1),1))</f>
        <v>0</v>
      </c>
      <c r="AI86" s="3">
        <f t="shared" si="1"/>
        <v>0</v>
      </c>
      <c r="AJ86" s="3">
        <f t="shared" si="2"/>
        <v>1</v>
      </c>
      <c r="AK86" s="3">
        <f t="shared" si="3"/>
        <v>1</v>
      </c>
    </row>
    <row r="87" spans="2:37" ht="3.75" customHeight="1" x14ac:dyDescent="0.25">
      <c r="B87" s="2"/>
      <c r="O87" s="2"/>
    </row>
    <row r="88" spans="2:37" ht="111.75" customHeight="1" x14ac:dyDescent="0.25">
      <c r="B88" s="2"/>
      <c r="D88" s="338" t="s">
        <v>59</v>
      </c>
      <c r="E88" s="339"/>
      <c r="F88" s="340" t="s">
        <v>1464</v>
      </c>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8" customHeight="1" x14ac:dyDescent="0.25">
      <c r="B97" s="2"/>
      <c r="D97" s="359" t="s">
        <v>35</v>
      </c>
      <c r="E97" s="359"/>
      <c r="F97" s="344" t="s">
        <v>1469</v>
      </c>
      <c r="G97" s="344"/>
      <c r="H97" s="344"/>
      <c r="I97" s="344"/>
      <c r="J97" s="344"/>
      <c r="K97" s="344"/>
      <c r="L97" s="344"/>
      <c r="M97" s="344"/>
      <c r="O97" s="2"/>
    </row>
    <row r="98" spans="2:15" ht="48" customHeight="1" x14ac:dyDescent="0.25">
      <c r="B98" s="2"/>
      <c r="D98" s="359" t="s">
        <v>36</v>
      </c>
      <c r="E98" s="359"/>
      <c r="F98" s="344" t="s">
        <v>1470</v>
      </c>
      <c r="G98" s="344"/>
      <c r="H98" s="344"/>
      <c r="I98" s="344"/>
      <c r="J98" s="344"/>
      <c r="K98" s="344"/>
      <c r="L98" s="344"/>
      <c r="M98" s="344"/>
      <c r="O98" s="2"/>
    </row>
    <row r="99" spans="2:15" ht="3.95" customHeight="1" x14ac:dyDescent="0.25">
      <c r="B99" s="2"/>
      <c r="O99" s="2"/>
    </row>
    <row r="100" spans="2:15" ht="200.25" customHeight="1" x14ac:dyDescent="0.25">
      <c r="B100" s="2"/>
      <c r="D100" s="338" t="s">
        <v>62</v>
      </c>
      <c r="E100" s="339"/>
      <c r="F100" s="478" t="s">
        <v>1454</v>
      </c>
      <c r="G100" s="479"/>
      <c r="H100" s="479"/>
      <c r="I100" s="479"/>
      <c r="J100" s="479"/>
      <c r="K100" s="479"/>
      <c r="L100" s="479"/>
      <c r="M100" s="480"/>
      <c r="O100" s="2"/>
    </row>
    <row r="101" spans="2:15" ht="3.95" customHeight="1" x14ac:dyDescent="0.25">
      <c r="B101" s="2"/>
      <c r="O101" s="2"/>
    </row>
    <row r="102" spans="2:15" ht="19.5" customHeight="1" x14ac:dyDescent="0.25">
      <c r="B102" s="2"/>
      <c r="D102" s="329" t="s">
        <v>64</v>
      </c>
      <c r="E102" s="330"/>
      <c r="F102" s="19" t="s">
        <v>65</v>
      </c>
      <c r="G102" s="4" t="s">
        <v>2</v>
      </c>
      <c r="K102" s="20"/>
      <c r="O102" s="2"/>
    </row>
    <row r="103" spans="2:15" ht="19.5" customHeight="1" x14ac:dyDescent="0.25">
      <c r="B103" s="2"/>
      <c r="D103" s="331"/>
      <c r="E103" s="332"/>
      <c r="F103" s="19" t="s">
        <v>66</v>
      </c>
      <c r="G103" s="4"/>
      <c r="K103" s="21"/>
      <c r="O103" s="2"/>
    </row>
    <row r="104" spans="2:15" ht="27.75" customHeight="1" x14ac:dyDescent="0.25">
      <c r="B104" s="2"/>
      <c r="D104" s="331"/>
      <c r="E104" s="332"/>
      <c r="F104" s="19" t="s">
        <v>67</v>
      </c>
      <c r="G104" s="333"/>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 xml:space="preserve">Subdirector(a) Monitoreo y Evaluación </v>
      </c>
      <c r="H108" s="334"/>
      <c r="I108" s="334"/>
      <c r="J108" s="334"/>
      <c r="K108" s="334"/>
      <c r="L108" s="334"/>
      <c r="M108" s="335"/>
      <c r="O108" s="2"/>
    </row>
    <row r="109" spans="2:15" ht="17.25" customHeight="1" x14ac:dyDescent="0.25">
      <c r="B109" s="2"/>
      <c r="D109" s="331"/>
      <c r="E109" s="332"/>
      <c r="F109" s="19" t="s">
        <v>2042</v>
      </c>
      <c r="G109" s="333" t="str">
        <f>+IF(M23="Si","Coordinador(a) Planeación y Sistemas","")</f>
        <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38" priority="33">
      <formula>+IF($F$43="no",1,0)</formula>
    </cfRule>
  </conditionalFormatting>
  <conditionalFormatting sqref="F32:M32">
    <cfRule type="expression" dxfId="237" priority="32">
      <formula>+IF($Q$30="NA",1,0)</formula>
    </cfRule>
  </conditionalFormatting>
  <conditionalFormatting sqref="F47:M47">
    <cfRule type="expression" dxfId="236" priority="30">
      <formula>+IF($Q$47=0,1,0)</formula>
    </cfRule>
  </conditionalFormatting>
  <conditionalFormatting sqref="F73:G73">
    <cfRule type="cellIs" dxfId="235" priority="16" operator="equal">
      <formula>"optimo"</formula>
    </cfRule>
    <cfRule type="cellIs" dxfId="234" priority="17" operator="equal">
      <formula>"critico"</formula>
    </cfRule>
  </conditionalFormatting>
  <conditionalFormatting sqref="H73:I73">
    <cfRule type="cellIs" dxfId="233" priority="14" operator="equal">
      <formula>"Adecuado"</formula>
    </cfRule>
    <cfRule type="cellIs" dxfId="232" priority="15" operator="equal">
      <formula>"en riesgo"</formula>
    </cfRule>
  </conditionalFormatting>
  <conditionalFormatting sqref="J73:K73">
    <cfRule type="cellIs" dxfId="231" priority="12" operator="equal">
      <formula>"Adecuado"</formula>
    </cfRule>
    <cfRule type="cellIs" dxfId="230" priority="13" operator="equal">
      <formula>"en riesgo"</formula>
    </cfRule>
  </conditionalFormatting>
  <conditionalFormatting sqref="L73:M73">
    <cfRule type="cellIs" dxfId="229" priority="10" operator="equal">
      <formula>"optimo"</formula>
    </cfRule>
    <cfRule type="cellIs" dxfId="228" priority="11" operator="equal">
      <formula>"critico"</formula>
    </cfRule>
  </conditionalFormatting>
  <conditionalFormatting sqref="F75:M86">
    <cfRule type="expression" dxfId="227" priority="9">
      <formula>+IF($AK75=0,1)</formula>
    </cfRule>
  </conditionalFormatting>
  <conditionalFormatting sqref="F103:G104">
    <cfRule type="expression" dxfId="226" priority="8">
      <formula>+IF($G$102="No",1,0)</formula>
    </cfRule>
  </conditionalFormatting>
  <conditionalFormatting sqref="F51">
    <cfRule type="expression" dxfId="225" priority="7">
      <formula>+IF($F$43="no",1,0)</formula>
    </cfRule>
  </conditionalFormatting>
  <conditionalFormatting sqref="I51">
    <cfRule type="expression" dxfId="224" priority="6">
      <formula>+IF($F$51="no",1,0)</formula>
    </cfRule>
  </conditionalFormatting>
  <conditionalFormatting sqref="F33:M33">
    <cfRule type="expression" dxfId="223" priority="5">
      <formula>+IF($Q$30="NA",1,0)</formula>
    </cfRule>
  </conditionalFormatting>
  <conditionalFormatting sqref="F33:M33">
    <cfRule type="expression" dxfId="222" priority="4">
      <formula>+IF($Q$33=0,1,0)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7">
    <tabColor rgb="FF0070C0"/>
  </sheetPr>
  <dimension ref="B1:AV113"/>
  <sheetViews>
    <sheetView topLeftCell="A52" zoomScale="90" zoomScaleNormal="90" workbookViewId="0">
      <selection activeCell="G78" sqref="G78"/>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459</v>
      </c>
      <c r="O10" s="2"/>
    </row>
    <row r="11" spans="2:24" ht="3.95" customHeight="1" x14ac:dyDescent="0.25">
      <c r="B11" s="2"/>
      <c r="D11" s="6"/>
      <c r="O11" s="2"/>
    </row>
    <row r="12" spans="2:24" ht="36" customHeight="1" x14ac:dyDescent="0.25">
      <c r="B12" s="2"/>
      <c r="D12" s="338" t="s">
        <v>5</v>
      </c>
      <c r="E12" s="339"/>
      <c r="F12" s="340" t="s">
        <v>460</v>
      </c>
      <c r="G12" s="341"/>
      <c r="H12" s="341"/>
      <c r="I12" s="341"/>
      <c r="J12" s="341"/>
      <c r="K12" s="341"/>
      <c r="L12" s="341"/>
      <c r="M12" s="342"/>
      <c r="O12" s="2"/>
      <c r="W12" s="3" t="str">
        <f>+F23</f>
        <v>Cuatrimestral</v>
      </c>
      <c r="X12" s="3" t="str">
        <f>+F71</f>
        <v>Abril</v>
      </c>
    </row>
    <row r="13" spans="2:24" ht="3.95" customHeight="1" x14ac:dyDescent="0.25">
      <c r="B13" s="2"/>
      <c r="O13" s="2"/>
    </row>
    <row r="14" spans="2:24" ht="38.25" customHeight="1" x14ac:dyDescent="0.25">
      <c r="B14" s="2"/>
      <c r="D14" s="338" t="s">
        <v>6</v>
      </c>
      <c r="E14" s="339"/>
      <c r="F14" s="340" t="s">
        <v>1511</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8.75" customHeight="1" x14ac:dyDescent="0.25">
      <c r="B22" s="2"/>
      <c r="D22" s="337" t="s">
        <v>8</v>
      </c>
      <c r="E22" s="337"/>
      <c r="F22" s="17">
        <v>0</v>
      </c>
      <c r="G22" s="337" t="s">
        <v>9</v>
      </c>
      <c r="H22" s="337"/>
      <c r="I22" s="17">
        <v>0.5</v>
      </c>
      <c r="K22" s="337" t="s">
        <v>10</v>
      </c>
      <c r="L22" s="337"/>
      <c r="M22" s="9" t="s">
        <v>496</v>
      </c>
      <c r="O22" s="2"/>
    </row>
    <row r="23" spans="2:17" ht="19.5" customHeight="1" x14ac:dyDescent="0.25">
      <c r="B23" s="2"/>
      <c r="D23" s="337" t="s">
        <v>11</v>
      </c>
      <c r="E23" s="337"/>
      <c r="F23" s="4" t="s">
        <v>1069</v>
      </c>
      <c r="G23" s="337" t="s">
        <v>12</v>
      </c>
      <c r="H23" s="337"/>
      <c r="I23" s="4" t="s">
        <v>497</v>
      </c>
      <c r="K23" s="337" t="s">
        <v>13</v>
      </c>
      <c r="L23" s="337"/>
      <c r="M23" s="9" t="s">
        <v>2</v>
      </c>
      <c r="O23" s="2"/>
    </row>
    <row r="24" spans="2:17" ht="20.100000000000001" customHeight="1" x14ac:dyDescent="0.25">
      <c r="B24" s="2"/>
      <c r="D24" s="337" t="s">
        <v>14</v>
      </c>
      <c r="E24" s="337"/>
      <c r="F24" s="4" t="s">
        <v>498</v>
      </c>
      <c r="G24" s="337" t="s">
        <v>15</v>
      </c>
      <c r="H24" s="337"/>
      <c r="I24" s="4" t="s">
        <v>103</v>
      </c>
      <c r="K24" s="337" t="s">
        <v>16</v>
      </c>
      <c r="L24" s="337"/>
      <c r="M24" s="9" t="s">
        <v>2</v>
      </c>
      <c r="O24" s="2"/>
    </row>
    <row r="25" spans="2:17" ht="20.100000000000001" customHeight="1" x14ac:dyDescent="0.25">
      <c r="B25" s="2"/>
      <c r="D25" s="337" t="s">
        <v>17</v>
      </c>
      <c r="E25" s="337"/>
      <c r="F25" s="4" t="s">
        <v>683</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evaluacion</v>
      </c>
    </row>
    <row r="31" spans="2:17" ht="24" customHeight="1" x14ac:dyDescent="0.25">
      <c r="B31" s="2"/>
      <c r="D31" s="347"/>
      <c r="E31" s="348"/>
      <c r="F31" s="4" t="s">
        <v>454</v>
      </c>
      <c r="G31" s="340" t="s">
        <v>455</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1615</v>
      </c>
      <c r="G33" s="340" t="s">
        <v>1616</v>
      </c>
      <c r="H33" s="341"/>
      <c r="I33" s="341"/>
      <c r="J33" s="341"/>
      <c r="K33" s="341"/>
      <c r="L33" s="341"/>
      <c r="M33" s="342"/>
      <c r="O33" s="2"/>
      <c r="Q33" s="3">
        <f>+IFERROR(IF(VLOOKUP(G33,base!$A$26:$C$40,3,FALSE)=F31,1,0),"")</f>
        <v>1</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1716</v>
      </c>
      <c r="G35" s="340" t="s">
        <v>1592</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501</v>
      </c>
      <c r="G45" s="340" t="s">
        <v>515</v>
      </c>
      <c r="H45" s="341"/>
      <c r="I45" s="341"/>
      <c r="J45" s="341"/>
      <c r="K45" s="341"/>
      <c r="L45" s="341"/>
      <c r="M45" s="342"/>
      <c r="O45" s="2"/>
      <c r="Q45" s="3" t="str">
        <f>+IFERROR(VLOOKUP(G45,base!$A$41:$C$45,3,FALSE),"")</f>
        <v>misional</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503</v>
      </c>
      <c r="G47" s="340" t="s">
        <v>995</v>
      </c>
      <c r="H47" s="341"/>
      <c r="I47" s="341"/>
      <c r="J47" s="341"/>
      <c r="K47" s="341"/>
      <c r="L47" s="341"/>
      <c r="M47" s="342"/>
      <c r="O47" s="2"/>
      <c r="Q47" s="3">
        <f>+IF(VLOOKUP(G47,base!$A$46:$C$66,3,FALSE)=F45,1,0)</f>
        <v>1</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920</v>
      </c>
      <c r="G49" s="340" t="s">
        <v>899</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496</v>
      </c>
      <c r="G51" s="337" t="s">
        <v>32</v>
      </c>
      <c r="H51" s="337"/>
      <c r="I51" s="17">
        <v>1</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37" t="s">
        <v>34</v>
      </c>
      <c r="E59" s="337"/>
      <c r="F59" s="473" t="s">
        <v>1512</v>
      </c>
      <c r="G59" s="473"/>
      <c r="H59" s="473"/>
      <c r="I59" s="473"/>
      <c r="J59" s="473"/>
      <c r="K59" s="473"/>
      <c r="L59" s="473"/>
      <c r="M59" s="473"/>
      <c r="O59" s="2"/>
    </row>
    <row r="60" spans="2:15" ht="42.75" customHeight="1" x14ac:dyDescent="0.25">
      <c r="B60" s="2"/>
      <c r="D60" s="359" t="s">
        <v>35</v>
      </c>
      <c r="E60" s="359"/>
      <c r="F60" s="344" t="s">
        <v>1513</v>
      </c>
      <c r="G60" s="344"/>
      <c r="H60" s="344"/>
      <c r="I60" s="344"/>
      <c r="J60" s="344"/>
      <c r="K60" s="344"/>
      <c r="L60" s="344"/>
      <c r="M60" s="344"/>
      <c r="O60" s="2"/>
    </row>
    <row r="61" spans="2:15" ht="42.75" customHeight="1" x14ac:dyDescent="0.25">
      <c r="B61" s="2"/>
      <c r="D61" s="359" t="s">
        <v>36</v>
      </c>
      <c r="E61" s="359"/>
      <c r="F61" s="474" t="s">
        <v>1514</v>
      </c>
      <c r="G61" s="475"/>
      <c r="H61" s="475"/>
      <c r="I61" s="475"/>
      <c r="J61" s="475"/>
      <c r="K61" s="475"/>
      <c r="L61" s="475"/>
      <c r="M61" s="476"/>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4</v>
      </c>
    </row>
    <row r="70" spans="2:37" ht="3.95" customHeight="1" x14ac:dyDescent="0.25">
      <c r="B70" s="2"/>
      <c r="D70" s="7"/>
      <c r="E70" s="7"/>
      <c r="O70" s="2"/>
    </row>
    <row r="71" spans="2:37" ht="18.75" customHeight="1" x14ac:dyDescent="0.25">
      <c r="B71" s="2"/>
      <c r="D71" s="343" t="s">
        <v>39</v>
      </c>
      <c r="E71" s="343"/>
      <c r="F71" s="4" t="s">
        <v>48</v>
      </c>
      <c r="G71" s="3">
        <v>4</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60" t="s">
        <v>48</v>
      </c>
      <c r="E78" s="360"/>
      <c r="F78" s="16" t="s">
        <v>500</v>
      </c>
      <c r="G78" s="16">
        <v>0.03</v>
      </c>
      <c r="H78" s="16">
        <v>3.1E-2</v>
      </c>
      <c r="I78" s="16">
        <v>0.05</v>
      </c>
      <c r="J78" s="16">
        <v>5.1000000000000004E-2</v>
      </c>
      <c r="K78" s="16">
        <v>9.9000000000000005E-2</v>
      </c>
      <c r="L78" s="16">
        <v>0.1</v>
      </c>
      <c r="M78" s="16"/>
      <c r="O78" s="2"/>
      <c r="AE78" s="3" t="s">
        <v>48</v>
      </c>
      <c r="AF78" s="3">
        <v>4</v>
      </c>
      <c r="AG78" s="3">
        <f t="shared" si="0"/>
        <v>1</v>
      </c>
      <c r="AH78" s="3">
        <f>+IF(AG78=0,0,IF(AG78=1,(SUM($AG$75:AG78)-1),1))</f>
        <v>0</v>
      </c>
      <c r="AI78" s="3">
        <f t="shared" si="1"/>
        <v>0</v>
      </c>
      <c r="AJ78" s="3">
        <f t="shared" si="2"/>
        <v>1</v>
      </c>
      <c r="AK78" s="3">
        <f t="shared" si="3"/>
        <v>1</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1</v>
      </c>
      <c r="AI79" s="3">
        <f t="shared" si="1"/>
        <v>0</v>
      </c>
      <c r="AJ79" s="3">
        <f t="shared" si="2"/>
        <v>0</v>
      </c>
      <c r="AK79" s="3">
        <f t="shared" si="3"/>
        <v>0</v>
      </c>
    </row>
    <row r="80" spans="2:37" x14ac:dyDescent="0.25">
      <c r="B80" s="2"/>
      <c r="D80" s="360" t="s">
        <v>50</v>
      </c>
      <c r="E80" s="360"/>
      <c r="F80" s="16" t="s">
        <v>500</v>
      </c>
      <c r="G80" s="16" t="s">
        <v>500</v>
      </c>
      <c r="H80" s="16" t="s">
        <v>500</v>
      </c>
      <c r="I80" s="16" t="s">
        <v>500</v>
      </c>
      <c r="J80" s="16" t="s">
        <v>500</v>
      </c>
      <c r="K80" s="16" t="s">
        <v>500</v>
      </c>
      <c r="L80" s="16" t="s">
        <v>500</v>
      </c>
      <c r="M80" s="16" t="s">
        <v>500</v>
      </c>
      <c r="O80" s="2"/>
      <c r="AE80" s="3" t="s">
        <v>50</v>
      </c>
      <c r="AF80" s="3">
        <v>6</v>
      </c>
      <c r="AG80" s="3">
        <f t="shared" si="0"/>
        <v>1</v>
      </c>
      <c r="AH80" s="3">
        <f>+IF(AG80=0,0,IF(AG80=1,(SUM($AG$75:AG80)-1),1))</f>
        <v>2</v>
      </c>
      <c r="AI80" s="3">
        <f t="shared" si="1"/>
        <v>0</v>
      </c>
      <c r="AJ80" s="3">
        <f t="shared" si="2"/>
        <v>0</v>
      </c>
      <c r="AK80" s="3">
        <f t="shared" si="3"/>
        <v>0</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3</v>
      </c>
      <c r="AI81" s="3">
        <f t="shared" si="1"/>
        <v>0</v>
      </c>
      <c r="AJ81" s="3">
        <f t="shared" si="2"/>
        <v>0</v>
      </c>
      <c r="AK81" s="3">
        <f t="shared" si="3"/>
        <v>0</v>
      </c>
    </row>
    <row r="82" spans="2:37" x14ac:dyDescent="0.25">
      <c r="B82" s="2"/>
      <c r="D82" s="360" t="s">
        <v>54</v>
      </c>
      <c r="E82" s="360"/>
      <c r="F82" s="16" t="s">
        <v>500</v>
      </c>
      <c r="G82" s="16">
        <v>0.15</v>
      </c>
      <c r="H82" s="16">
        <v>0.151</v>
      </c>
      <c r="I82" s="16">
        <v>0.2</v>
      </c>
      <c r="J82" s="16">
        <v>0.20100000000000001</v>
      </c>
      <c r="K82" s="16">
        <v>0.29899999999999999</v>
      </c>
      <c r="L82" s="16">
        <v>0.3</v>
      </c>
      <c r="M82" s="16"/>
      <c r="O82" s="2"/>
      <c r="AE82" s="3" t="s">
        <v>54</v>
      </c>
      <c r="AF82" s="3">
        <v>8</v>
      </c>
      <c r="AG82" s="3">
        <f t="shared" si="0"/>
        <v>1</v>
      </c>
      <c r="AH82" s="3">
        <f>+IF(AG82=0,0,IF(AG82=1,(SUM($AG$75:AG82)-1),1))</f>
        <v>4</v>
      </c>
      <c r="AI82" s="3">
        <f t="shared" si="1"/>
        <v>1</v>
      </c>
      <c r="AJ82" s="3">
        <f t="shared" si="2"/>
        <v>0</v>
      </c>
      <c r="AK82" s="3">
        <f t="shared" si="3"/>
        <v>1</v>
      </c>
    </row>
    <row r="83" spans="2:37" x14ac:dyDescent="0.25">
      <c r="B83" s="2"/>
      <c r="D83" s="360" t="s">
        <v>55</v>
      </c>
      <c r="E83" s="360"/>
      <c r="F83" s="16" t="s">
        <v>500</v>
      </c>
      <c r="G83" s="16" t="s">
        <v>500</v>
      </c>
      <c r="H83" s="16" t="s">
        <v>500</v>
      </c>
      <c r="I83" s="16" t="s">
        <v>500</v>
      </c>
      <c r="J83" s="16" t="s">
        <v>500</v>
      </c>
      <c r="K83" s="16" t="s">
        <v>500</v>
      </c>
      <c r="L83" s="16" t="s">
        <v>500</v>
      </c>
      <c r="M83" s="16" t="s">
        <v>500</v>
      </c>
      <c r="O83" s="2"/>
      <c r="AE83" s="3" t="s">
        <v>55</v>
      </c>
      <c r="AF83" s="3">
        <v>9</v>
      </c>
      <c r="AG83" s="3">
        <f t="shared" si="0"/>
        <v>1</v>
      </c>
      <c r="AH83" s="3">
        <f>+IF(AG83=0,0,IF(AG83=1,(SUM($AG$75:AG83)-1),1))</f>
        <v>5</v>
      </c>
      <c r="AI83" s="3">
        <f t="shared" si="1"/>
        <v>0</v>
      </c>
      <c r="AJ83" s="3">
        <f t="shared" si="2"/>
        <v>0</v>
      </c>
      <c r="AK83" s="3">
        <f t="shared" si="3"/>
        <v>0</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6</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7</v>
      </c>
      <c r="AI85" s="3">
        <f t="shared" si="1"/>
        <v>0</v>
      </c>
      <c r="AJ85" s="3">
        <f t="shared" si="2"/>
        <v>0</v>
      </c>
      <c r="AK85" s="3">
        <f t="shared" si="3"/>
        <v>0</v>
      </c>
    </row>
    <row r="86" spans="2:37" x14ac:dyDescent="0.25">
      <c r="B86" s="2"/>
      <c r="D86" s="360" t="s">
        <v>58</v>
      </c>
      <c r="E86" s="360"/>
      <c r="F86" s="16" t="s">
        <v>500</v>
      </c>
      <c r="G86" s="16">
        <v>0.35</v>
      </c>
      <c r="H86" s="16">
        <v>0.35099999999999998</v>
      </c>
      <c r="I86" s="16">
        <v>0.4</v>
      </c>
      <c r="J86" s="16">
        <v>0.40100000000000002</v>
      </c>
      <c r="K86" s="16">
        <v>0.499</v>
      </c>
      <c r="L86" s="16">
        <v>0.5</v>
      </c>
      <c r="M86" s="16"/>
      <c r="O86" s="2"/>
      <c r="AE86" s="3" t="s">
        <v>58</v>
      </c>
      <c r="AF86" s="65">
        <v>12</v>
      </c>
      <c r="AG86" s="3">
        <f t="shared" si="0"/>
        <v>1</v>
      </c>
      <c r="AH86" s="3">
        <f>+IF(AG86=0,0,IF(AG86=1,(SUM($AG$75:AG86)-1),1))</f>
        <v>8</v>
      </c>
      <c r="AI86" s="3">
        <f t="shared" si="1"/>
        <v>1</v>
      </c>
      <c r="AJ86" s="3">
        <f t="shared" si="2"/>
        <v>0</v>
      </c>
      <c r="AK86" s="3">
        <f t="shared" si="3"/>
        <v>1</v>
      </c>
    </row>
    <row r="87" spans="2:37" ht="3.75" customHeight="1" x14ac:dyDescent="0.25">
      <c r="B87" s="2"/>
      <c r="O87" s="2"/>
    </row>
    <row r="88" spans="2:37" ht="83.25" customHeight="1" x14ac:dyDescent="0.25">
      <c r="B88" s="2"/>
      <c r="D88" s="338" t="s">
        <v>59</v>
      </c>
      <c r="E88" s="339"/>
      <c r="F88" s="340" t="s">
        <v>2001</v>
      </c>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38.25" customHeight="1" x14ac:dyDescent="0.25">
      <c r="B97" s="2"/>
      <c r="D97" s="359" t="s">
        <v>35</v>
      </c>
      <c r="E97" s="359"/>
      <c r="F97" s="344" t="s">
        <v>1515</v>
      </c>
      <c r="G97" s="344"/>
      <c r="H97" s="344"/>
      <c r="I97" s="344"/>
      <c r="J97" s="344"/>
      <c r="K97" s="344"/>
      <c r="L97" s="344"/>
      <c r="M97" s="344"/>
      <c r="O97" s="2"/>
    </row>
    <row r="98" spans="2:15" ht="38.25" customHeight="1" x14ac:dyDescent="0.25">
      <c r="B98" s="2"/>
      <c r="D98" s="359" t="s">
        <v>36</v>
      </c>
      <c r="E98" s="359"/>
      <c r="F98" s="344" t="s">
        <v>1516</v>
      </c>
      <c r="G98" s="344"/>
      <c r="H98" s="344"/>
      <c r="I98" s="344"/>
      <c r="J98" s="344"/>
      <c r="K98" s="344"/>
      <c r="L98" s="344"/>
      <c r="M98" s="344"/>
      <c r="O98" s="2"/>
    </row>
    <row r="99" spans="2:15" ht="3.95" customHeight="1" x14ac:dyDescent="0.25">
      <c r="B99" s="2"/>
      <c r="O99" s="2"/>
    </row>
    <row r="100" spans="2:15" ht="58.5" customHeight="1" x14ac:dyDescent="0.25">
      <c r="B100" s="2"/>
      <c r="D100" s="338" t="s">
        <v>62</v>
      </c>
      <c r="E100" s="339"/>
      <c r="F100" s="340" t="s">
        <v>1455</v>
      </c>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2</v>
      </c>
      <c r="K102" s="20"/>
      <c r="O102" s="2"/>
    </row>
    <row r="103" spans="2:15" ht="19.5" customHeight="1" x14ac:dyDescent="0.25">
      <c r="B103" s="2"/>
      <c r="D103" s="331"/>
      <c r="E103" s="332"/>
      <c r="F103" s="19" t="s">
        <v>66</v>
      </c>
      <c r="G103" s="4"/>
      <c r="K103" s="21"/>
      <c r="O103" s="2"/>
    </row>
    <row r="104" spans="2:15" ht="27.75" customHeight="1" x14ac:dyDescent="0.25">
      <c r="B104" s="2"/>
      <c r="D104" s="331"/>
      <c r="E104" s="332"/>
      <c r="F104" s="19" t="s">
        <v>67</v>
      </c>
      <c r="G104" s="333"/>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 xml:space="preserve">Subdirector(a) Monitoreo y Evaluación </v>
      </c>
      <c r="H108" s="334"/>
      <c r="I108" s="334"/>
      <c r="J108" s="334"/>
      <c r="K108" s="334"/>
      <c r="L108" s="334"/>
      <c r="M108" s="335"/>
      <c r="O108" s="2"/>
    </row>
    <row r="109" spans="2:15" ht="17.25" customHeight="1" x14ac:dyDescent="0.25">
      <c r="B109" s="2"/>
      <c r="D109" s="331"/>
      <c r="E109" s="332"/>
      <c r="F109" s="19" t="s">
        <v>2042</v>
      </c>
      <c r="G109" s="333" t="str">
        <f>+IF(M23="Si","Coordinador(a) Planeación y Sistemas","")</f>
        <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21" priority="33">
      <formula>+IF($F$43="no",1,0)</formula>
    </cfRule>
  </conditionalFormatting>
  <conditionalFormatting sqref="F32:M32">
    <cfRule type="expression" dxfId="220" priority="32">
      <formula>+IF($Q$30="NA",1,0)</formula>
    </cfRule>
  </conditionalFormatting>
  <conditionalFormatting sqref="F47:M47">
    <cfRule type="expression" dxfId="219" priority="30">
      <formula>+IF($Q$47=0,1,0)</formula>
    </cfRule>
  </conditionalFormatting>
  <conditionalFormatting sqref="F73:G73">
    <cfRule type="cellIs" dxfId="218" priority="16" operator="equal">
      <formula>"optimo"</formula>
    </cfRule>
    <cfRule type="cellIs" dxfId="217" priority="17" operator="equal">
      <formula>"critico"</formula>
    </cfRule>
  </conditionalFormatting>
  <conditionalFormatting sqref="H73:I73">
    <cfRule type="cellIs" dxfId="216" priority="14" operator="equal">
      <formula>"Adecuado"</formula>
    </cfRule>
    <cfRule type="cellIs" dxfId="215" priority="15" operator="equal">
      <formula>"en riesgo"</formula>
    </cfRule>
  </conditionalFormatting>
  <conditionalFormatting sqref="J73:K73">
    <cfRule type="cellIs" dxfId="214" priority="12" operator="equal">
      <formula>"Adecuado"</formula>
    </cfRule>
    <cfRule type="cellIs" dxfId="213" priority="13" operator="equal">
      <formula>"en riesgo"</formula>
    </cfRule>
  </conditionalFormatting>
  <conditionalFormatting sqref="L73:M73">
    <cfRule type="cellIs" dxfId="212" priority="10" operator="equal">
      <formula>"optimo"</formula>
    </cfRule>
    <cfRule type="cellIs" dxfId="211" priority="11" operator="equal">
      <formula>"critico"</formula>
    </cfRule>
  </conditionalFormatting>
  <conditionalFormatting sqref="F75:M86">
    <cfRule type="expression" dxfId="210" priority="9">
      <formula>+IF($AK75=0,1)</formula>
    </cfRule>
  </conditionalFormatting>
  <conditionalFormatting sqref="F103:G104">
    <cfRule type="expression" dxfId="209" priority="8">
      <formula>+IF($G$102="No",1,0)</formula>
    </cfRule>
  </conditionalFormatting>
  <conditionalFormatting sqref="F51">
    <cfRule type="expression" dxfId="208" priority="7">
      <formula>+IF($F$43="no",1,0)</formula>
    </cfRule>
  </conditionalFormatting>
  <conditionalFormatting sqref="I51">
    <cfRule type="expression" dxfId="207" priority="6">
      <formula>+IF($F$51="no",1,0)</formula>
    </cfRule>
  </conditionalFormatting>
  <conditionalFormatting sqref="F33:M33">
    <cfRule type="expression" dxfId="206" priority="5">
      <formula>+IF($Q$30="NA",1,0)</formula>
    </cfRule>
  </conditionalFormatting>
  <conditionalFormatting sqref="F33:M33">
    <cfRule type="expression" dxfId="205" priority="4">
      <formula>+IF($Q$33=0,1,0)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8">
    <tabColor rgb="FF0070C0"/>
  </sheetPr>
  <dimension ref="B1:AV113"/>
  <sheetViews>
    <sheetView topLeftCell="A55" zoomScale="90" zoomScaleNormal="90" workbookViewId="0"/>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461</v>
      </c>
      <c r="O10" s="2"/>
    </row>
    <row r="11" spans="2:24" ht="3.95" customHeight="1" x14ac:dyDescent="0.25">
      <c r="B11" s="2"/>
      <c r="D11" s="6"/>
      <c r="O11" s="2"/>
    </row>
    <row r="12" spans="2:24" ht="36" customHeight="1" x14ac:dyDescent="0.25">
      <c r="B12" s="2"/>
      <c r="D12" s="338" t="s">
        <v>5</v>
      </c>
      <c r="E12" s="339"/>
      <c r="F12" s="340" t="s">
        <v>462</v>
      </c>
      <c r="G12" s="341"/>
      <c r="H12" s="341"/>
      <c r="I12" s="341"/>
      <c r="J12" s="341"/>
      <c r="K12" s="341"/>
      <c r="L12" s="341"/>
      <c r="M12" s="342"/>
      <c r="O12" s="2"/>
      <c r="W12" s="3" t="str">
        <f>+F23</f>
        <v>Trimestral</v>
      </c>
      <c r="X12" s="3" t="str">
        <f>+F71</f>
        <v>Junio</v>
      </c>
    </row>
    <row r="13" spans="2:24" ht="3.95" customHeight="1" x14ac:dyDescent="0.25">
      <c r="B13" s="2"/>
      <c r="O13" s="2"/>
    </row>
    <row r="14" spans="2:24" ht="38.25" customHeight="1" x14ac:dyDescent="0.25">
      <c r="B14" s="2"/>
      <c r="D14" s="338" t="s">
        <v>6</v>
      </c>
      <c r="E14" s="339"/>
      <c r="F14" s="340" t="s">
        <v>1506</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8.75" customHeight="1" x14ac:dyDescent="0.25">
      <c r="B22" s="2"/>
      <c r="D22" s="337" t="s">
        <v>8</v>
      </c>
      <c r="E22" s="337"/>
      <c r="F22" s="17" t="s">
        <v>512</v>
      </c>
      <c r="G22" s="337" t="s">
        <v>9</v>
      </c>
      <c r="H22" s="337"/>
      <c r="I22" s="17">
        <v>1</v>
      </c>
      <c r="K22" s="337" t="s">
        <v>10</v>
      </c>
      <c r="L22" s="337"/>
      <c r="M22" s="9" t="s">
        <v>496</v>
      </c>
      <c r="O22" s="2"/>
    </row>
    <row r="23" spans="2:17" ht="19.5" customHeight="1" x14ac:dyDescent="0.25">
      <c r="B23" s="2"/>
      <c r="D23" s="337" t="s">
        <v>11</v>
      </c>
      <c r="E23" s="337"/>
      <c r="F23" s="4" t="s">
        <v>71</v>
      </c>
      <c r="G23" s="337" t="s">
        <v>12</v>
      </c>
      <c r="H23" s="337"/>
      <c r="I23" s="4" t="s">
        <v>497</v>
      </c>
      <c r="K23" s="337" t="s">
        <v>13</v>
      </c>
      <c r="L23" s="337"/>
      <c r="M23" s="9" t="s">
        <v>496</v>
      </c>
      <c r="O23" s="2"/>
    </row>
    <row r="24" spans="2:17" ht="20.100000000000001" customHeight="1" x14ac:dyDescent="0.25">
      <c r="B24" s="2"/>
      <c r="D24" s="337" t="s">
        <v>14</v>
      </c>
      <c r="E24" s="337"/>
      <c r="F24" s="4" t="s">
        <v>498</v>
      </c>
      <c r="G24" s="337" t="s">
        <v>15</v>
      </c>
      <c r="H24" s="337"/>
      <c r="I24" s="4" t="s">
        <v>103</v>
      </c>
      <c r="K24" s="337" t="s">
        <v>16</v>
      </c>
      <c r="L24" s="337"/>
      <c r="M24" s="9" t="s">
        <v>496</v>
      </c>
      <c r="O24" s="2"/>
    </row>
    <row r="25" spans="2:17" ht="20.100000000000001" customHeight="1" x14ac:dyDescent="0.25">
      <c r="B25" s="2"/>
      <c r="D25" s="337" t="s">
        <v>17</v>
      </c>
      <c r="E25" s="337"/>
      <c r="F25" s="4" t="s">
        <v>683</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evaluacion</v>
      </c>
    </row>
    <row r="31" spans="2:17" ht="24" customHeight="1" x14ac:dyDescent="0.25">
      <c r="B31" s="2"/>
      <c r="D31" s="347"/>
      <c r="E31" s="348"/>
      <c r="F31" s="4" t="s">
        <v>454</v>
      </c>
      <c r="G31" s="340" t="s">
        <v>455</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1615</v>
      </c>
      <c r="G33" s="340" t="s">
        <v>1616</v>
      </c>
      <c r="H33" s="341"/>
      <c r="I33" s="341"/>
      <c r="J33" s="341"/>
      <c r="K33" s="341"/>
      <c r="L33" s="341"/>
      <c r="M33" s="342"/>
      <c r="O33" s="2"/>
      <c r="Q33" s="3">
        <f>+IFERROR(IF(VLOOKUP(G33,base!$A$26:$C$40,3,FALSE)=F31,1,0),"")</f>
        <v>1</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1716</v>
      </c>
      <c r="G35" s="340" t="s">
        <v>1592</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1250</v>
      </c>
      <c r="G45" s="340" t="s">
        <v>1251</v>
      </c>
      <c r="H45" s="341"/>
      <c r="I45" s="341"/>
      <c r="J45" s="341"/>
      <c r="K45" s="341"/>
      <c r="L45" s="341"/>
      <c r="M45" s="342"/>
      <c r="O45" s="2"/>
      <c r="Q45" s="3" t="str">
        <f>+IFERROR(VLOOKUP(G45,base!$A$41:$C$45,3,FALSE),"")</f>
        <v>transparencia</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1632</v>
      </c>
      <c r="G47" s="340" t="s">
        <v>1517</v>
      </c>
      <c r="H47" s="341"/>
      <c r="I47" s="341"/>
      <c r="J47" s="341"/>
      <c r="K47" s="341"/>
      <c r="L47" s="341"/>
      <c r="M47" s="342"/>
      <c r="O47" s="2"/>
      <c r="Q47" s="3">
        <f>+IF(VLOOKUP(G47,base!$A$46:$C$66,3,FALSE)=F45,1,0)</f>
        <v>1</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920</v>
      </c>
      <c r="G49" s="340" t="s">
        <v>899</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29"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37" t="s">
        <v>34</v>
      </c>
      <c r="E59" s="337"/>
      <c r="F59" s="473" t="s">
        <v>1507</v>
      </c>
      <c r="G59" s="473"/>
      <c r="H59" s="473"/>
      <c r="I59" s="473"/>
      <c r="J59" s="473"/>
      <c r="K59" s="473"/>
      <c r="L59" s="473"/>
      <c r="M59" s="473"/>
      <c r="O59" s="2"/>
    </row>
    <row r="60" spans="2:15" ht="39" customHeight="1" x14ac:dyDescent="0.25">
      <c r="B60" s="2"/>
      <c r="D60" s="359" t="s">
        <v>35</v>
      </c>
      <c r="E60" s="359"/>
      <c r="F60" s="344" t="s">
        <v>1508</v>
      </c>
      <c r="G60" s="344"/>
      <c r="H60" s="344"/>
      <c r="I60" s="344"/>
      <c r="J60" s="344"/>
      <c r="K60" s="344"/>
      <c r="L60" s="344"/>
      <c r="M60" s="344"/>
      <c r="O60" s="2"/>
    </row>
    <row r="61" spans="2:15" ht="39" customHeight="1" x14ac:dyDescent="0.25">
      <c r="B61" s="2"/>
      <c r="D61" s="359" t="s">
        <v>36</v>
      </c>
      <c r="E61" s="359"/>
      <c r="F61" s="474" t="s">
        <v>1509</v>
      </c>
      <c r="G61" s="475"/>
      <c r="H61" s="475"/>
      <c r="I61" s="475"/>
      <c r="J61" s="475"/>
      <c r="K61" s="475"/>
      <c r="L61" s="475"/>
      <c r="M61" s="476"/>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43" t="s">
        <v>39</v>
      </c>
      <c r="E71" s="343"/>
      <c r="F71" s="4" t="s">
        <v>50</v>
      </c>
      <c r="G71" s="3">
        <v>3</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c r="H77" s="16"/>
      <c r="I77" s="16"/>
      <c r="J77" s="16"/>
      <c r="K77" s="16"/>
      <c r="L77" s="16"/>
      <c r="M77" s="16"/>
      <c r="O77" s="2"/>
      <c r="AE77" s="3" t="s">
        <v>47</v>
      </c>
      <c r="AF77" s="3">
        <v>3</v>
      </c>
      <c r="AG77" s="3">
        <f t="shared" si="0"/>
        <v>1</v>
      </c>
      <c r="AH77" s="3">
        <f>+IF(AG77=0,0,IF(AG77=1,(SUM($AG$75:AG77)-1),1))</f>
        <v>0</v>
      </c>
      <c r="AI77" s="3">
        <f t="shared" si="1"/>
        <v>0</v>
      </c>
      <c r="AJ77" s="3">
        <f t="shared" si="2"/>
        <v>0</v>
      </c>
      <c r="AK77" s="3">
        <f t="shared" si="3"/>
        <v>0</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2</v>
      </c>
      <c r="AI79" s="3">
        <f t="shared" si="1"/>
        <v>0</v>
      </c>
      <c r="AJ79" s="3">
        <f t="shared" si="2"/>
        <v>0</v>
      </c>
      <c r="AK79" s="3">
        <f t="shared" si="3"/>
        <v>0</v>
      </c>
    </row>
    <row r="80" spans="2:37" x14ac:dyDescent="0.25">
      <c r="B80" s="2"/>
      <c r="D80" s="360" t="s">
        <v>50</v>
      </c>
      <c r="E80" s="360"/>
      <c r="F80" s="16" t="s">
        <v>500</v>
      </c>
      <c r="G80" s="16">
        <v>0.5</v>
      </c>
      <c r="H80" s="16">
        <v>0.501</v>
      </c>
      <c r="I80" s="16">
        <v>0.6</v>
      </c>
      <c r="J80" s="16">
        <v>0.60099999999999998</v>
      </c>
      <c r="K80" s="16">
        <v>0.999</v>
      </c>
      <c r="L80" s="16"/>
      <c r="M80" s="16">
        <v>1</v>
      </c>
      <c r="O80" s="2"/>
      <c r="AE80" s="3" t="s">
        <v>50</v>
      </c>
      <c r="AF80" s="3">
        <v>6</v>
      </c>
      <c r="AG80" s="3">
        <f t="shared" si="0"/>
        <v>1</v>
      </c>
      <c r="AH80" s="3">
        <f>+IF(AG80=0,0,IF(AG80=1,(SUM($AG$75:AG80)-1),1))</f>
        <v>3</v>
      </c>
      <c r="AI80" s="3">
        <f t="shared" si="1"/>
        <v>1</v>
      </c>
      <c r="AJ80" s="3">
        <f t="shared" si="2"/>
        <v>1</v>
      </c>
      <c r="AK80" s="3">
        <f t="shared" si="3"/>
        <v>1</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4</v>
      </c>
      <c r="AI81" s="3">
        <f t="shared" si="1"/>
        <v>0</v>
      </c>
      <c r="AJ81" s="3">
        <f t="shared" si="2"/>
        <v>0</v>
      </c>
      <c r="AK81" s="3">
        <f t="shared" si="3"/>
        <v>0</v>
      </c>
    </row>
    <row r="82" spans="2:37" x14ac:dyDescent="0.25">
      <c r="B82" s="2"/>
      <c r="D82" s="360" t="s">
        <v>54</v>
      </c>
      <c r="E82" s="360"/>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60" t="s">
        <v>55</v>
      </c>
      <c r="E83" s="360"/>
      <c r="F83" s="16" t="s">
        <v>500</v>
      </c>
      <c r="G83" s="16">
        <v>0.5</v>
      </c>
      <c r="H83" s="16">
        <v>0.501</v>
      </c>
      <c r="I83" s="16">
        <v>0.6</v>
      </c>
      <c r="J83" s="16">
        <v>0.60099999999999998</v>
      </c>
      <c r="K83" s="16">
        <v>0.999</v>
      </c>
      <c r="L83" s="16"/>
      <c r="M83" s="16">
        <v>1</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60" t="s">
        <v>58</v>
      </c>
      <c r="E86" s="360"/>
      <c r="F86" s="16" t="s">
        <v>500</v>
      </c>
      <c r="G86" s="16">
        <v>0.5</v>
      </c>
      <c r="H86" s="16">
        <v>0.501</v>
      </c>
      <c r="I86" s="16">
        <v>0.6</v>
      </c>
      <c r="J86" s="16">
        <v>0.60099999999999998</v>
      </c>
      <c r="K86" s="16">
        <v>0.999</v>
      </c>
      <c r="L86" s="16"/>
      <c r="M86" s="16">
        <v>1</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66" customHeight="1" x14ac:dyDescent="0.25">
      <c r="B88" s="2"/>
      <c r="D88" s="338" t="s">
        <v>59</v>
      </c>
      <c r="E88" s="339"/>
      <c r="F88" s="340"/>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57" customHeight="1" x14ac:dyDescent="0.25">
      <c r="B97" s="2"/>
      <c r="D97" s="359" t="s">
        <v>35</v>
      </c>
      <c r="E97" s="359"/>
      <c r="F97" s="344" t="s">
        <v>1510</v>
      </c>
      <c r="G97" s="344"/>
      <c r="H97" s="344"/>
      <c r="I97" s="344"/>
      <c r="J97" s="344"/>
      <c r="K97" s="344"/>
      <c r="L97" s="344"/>
      <c r="M97" s="344"/>
      <c r="O97" s="2"/>
    </row>
    <row r="98" spans="2:15" ht="57" customHeight="1" x14ac:dyDescent="0.25">
      <c r="B98" s="2"/>
      <c r="D98" s="359" t="s">
        <v>36</v>
      </c>
      <c r="E98" s="359"/>
      <c r="F98" s="344" t="s">
        <v>1510</v>
      </c>
      <c r="G98" s="344"/>
      <c r="H98" s="344"/>
      <c r="I98" s="344"/>
      <c r="J98" s="344"/>
      <c r="K98" s="344"/>
      <c r="L98" s="344"/>
      <c r="M98" s="344"/>
      <c r="O98" s="2"/>
    </row>
    <row r="99" spans="2:15" ht="3.95" customHeight="1" x14ac:dyDescent="0.25">
      <c r="B99" s="2"/>
      <c r="O99" s="2"/>
    </row>
    <row r="100" spans="2:15" ht="192" customHeight="1" x14ac:dyDescent="0.25">
      <c r="B100" s="2"/>
      <c r="D100" s="338" t="s">
        <v>62</v>
      </c>
      <c r="E100" s="339"/>
      <c r="F100" s="412" t="s">
        <v>1519</v>
      </c>
      <c r="G100" s="413"/>
      <c r="H100" s="413"/>
      <c r="I100" s="413"/>
      <c r="J100" s="413"/>
      <c r="K100" s="413"/>
      <c r="L100" s="413"/>
      <c r="M100" s="414"/>
      <c r="O100" s="2"/>
    </row>
    <row r="101" spans="2:15" ht="3.95" customHeight="1" x14ac:dyDescent="0.25">
      <c r="B101" s="2"/>
      <c r="O101" s="2"/>
    </row>
    <row r="102" spans="2:15" ht="19.5" customHeight="1" x14ac:dyDescent="0.25">
      <c r="B102" s="2"/>
      <c r="D102" s="329" t="s">
        <v>64</v>
      </c>
      <c r="E102" s="330"/>
      <c r="F102" s="19" t="s">
        <v>65</v>
      </c>
      <c r="G102" s="4" t="s">
        <v>2</v>
      </c>
      <c r="K102" s="20"/>
      <c r="O102" s="2"/>
    </row>
    <row r="103" spans="2:15" ht="19.5" customHeight="1" x14ac:dyDescent="0.25">
      <c r="B103" s="2"/>
      <c r="D103" s="331"/>
      <c r="E103" s="332"/>
      <c r="F103" s="19" t="s">
        <v>66</v>
      </c>
      <c r="G103" s="4"/>
      <c r="K103" s="21"/>
      <c r="O103" s="2"/>
    </row>
    <row r="104" spans="2:15" ht="27.75" customHeight="1" x14ac:dyDescent="0.25">
      <c r="B104" s="2"/>
      <c r="D104" s="331"/>
      <c r="E104" s="332"/>
      <c r="F104" s="19" t="s">
        <v>67</v>
      </c>
      <c r="G104" s="333"/>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 xml:space="preserve">Subdirector(a) Monitoreo y Evaluación </v>
      </c>
      <c r="H108" s="334"/>
      <c r="I108" s="334"/>
      <c r="J108" s="334"/>
      <c r="K108" s="334"/>
      <c r="L108" s="334"/>
      <c r="M108" s="335"/>
      <c r="O108" s="2"/>
    </row>
    <row r="109" spans="2:15" ht="17.25" customHeight="1" x14ac:dyDescent="0.25">
      <c r="B109" s="2"/>
      <c r="D109" s="331"/>
      <c r="E109" s="332"/>
      <c r="F109" s="19" t="s">
        <v>2042</v>
      </c>
      <c r="G109" s="333" t="str">
        <f>+IF(M23="Si","Coordinador(a) Planeación y Sistemas","")</f>
        <v>Coordinador(a) Planeación y Sistemas</v>
      </c>
      <c r="H109" s="334"/>
      <c r="I109" s="334"/>
      <c r="J109" s="334"/>
      <c r="K109" s="334"/>
      <c r="L109" s="334"/>
      <c r="M109" s="335"/>
      <c r="O109" s="2"/>
    </row>
    <row r="110" spans="2:15" ht="17.25" customHeight="1" x14ac:dyDescent="0.25">
      <c r="B110" s="2"/>
      <c r="D110" s="331"/>
      <c r="E110" s="332"/>
      <c r="F110" s="19" t="s">
        <v>2043</v>
      </c>
      <c r="G110" s="333" t="str">
        <f>+IF(M24="Si","Coordinador(a) Centro Zonal","")</f>
        <v>Coordinador(a) Centro Zonal</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04" priority="33">
      <formula>+IF($F$43="no",1,0)</formula>
    </cfRule>
  </conditionalFormatting>
  <conditionalFormatting sqref="F32:M32">
    <cfRule type="expression" dxfId="203" priority="32">
      <formula>+IF($Q$30="NA",1,0)</formula>
    </cfRule>
  </conditionalFormatting>
  <conditionalFormatting sqref="F47:M47">
    <cfRule type="expression" dxfId="202" priority="30">
      <formula>+IF($Q$47=0,1,0)</formula>
    </cfRule>
  </conditionalFormatting>
  <conditionalFormatting sqref="F73:G73">
    <cfRule type="cellIs" dxfId="201" priority="16" operator="equal">
      <formula>"optimo"</formula>
    </cfRule>
    <cfRule type="cellIs" dxfId="200" priority="17" operator="equal">
      <formula>"critico"</formula>
    </cfRule>
  </conditionalFormatting>
  <conditionalFormatting sqref="H73:I73">
    <cfRule type="cellIs" dxfId="199" priority="14" operator="equal">
      <formula>"Adecuado"</formula>
    </cfRule>
    <cfRule type="cellIs" dxfId="198" priority="15" operator="equal">
      <formula>"en riesgo"</formula>
    </cfRule>
  </conditionalFormatting>
  <conditionalFormatting sqref="J73:K73">
    <cfRule type="cellIs" dxfId="197" priority="12" operator="equal">
      <formula>"Adecuado"</formula>
    </cfRule>
    <cfRule type="cellIs" dxfId="196" priority="13" operator="equal">
      <formula>"en riesgo"</formula>
    </cfRule>
  </conditionalFormatting>
  <conditionalFormatting sqref="L73:M73">
    <cfRule type="cellIs" dxfId="195" priority="10" operator="equal">
      <formula>"optimo"</formula>
    </cfRule>
    <cfRule type="cellIs" dxfId="194" priority="11" operator="equal">
      <formula>"critico"</formula>
    </cfRule>
  </conditionalFormatting>
  <conditionalFormatting sqref="F75:M86">
    <cfRule type="expression" dxfId="193" priority="9">
      <formula>+IF($AK75=0,1)</formula>
    </cfRule>
  </conditionalFormatting>
  <conditionalFormatting sqref="F103:G104">
    <cfRule type="expression" dxfId="192" priority="8">
      <formula>+IF($G$102="No",1,0)</formula>
    </cfRule>
  </conditionalFormatting>
  <conditionalFormatting sqref="F51">
    <cfRule type="expression" dxfId="191" priority="7">
      <formula>+IF($F$43="no",1,0)</formula>
    </cfRule>
  </conditionalFormatting>
  <conditionalFormatting sqref="I51">
    <cfRule type="expression" dxfId="190" priority="6">
      <formula>+IF($F$51="no",1,0)</formula>
    </cfRule>
  </conditionalFormatting>
  <conditionalFormatting sqref="F33:M33">
    <cfRule type="expression" dxfId="189" priority="5">
      <formula>+IF($Q$30="NA",1,0)</formula>
    </cfRule>
  </conditionalFormatting>
  <conditionalFormatting sqref="F33:M33">
    <cfRule type="expression" dxfId="188" priority="4">
      <formula>+IF($Q$33=0,1,0)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9">
    <tabColor rgb="FF0070C0"/>
  </sheetPr>
  <dimension ref="B1:AV113"/>
  <sheetViews>
    <sheetView zoomScale="90" zoomScaleNormal="90" workbookViewId="0">
      <selection activeCell="S49" sqref="S49"/>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463</v>
      </c>
      <c r="O10" s="2"/>
    </row>
    <row r="11" spans="2:24" ht="3.95" customHeight="1" x14ac:dyDescent="0.25">
      <c r="B11" s="2"/>
      <c r="D11" s="6"/>
      <c r="O11" s="2"/>
    </row>
    <row r="12" spans="2:24" ht="36" customHeight="1" x14ac:dyDescent="0.25">
      <c r="B12" s="2"/>
      <c r="D12" s="338" t="s">
        <v>5</v>
      </c>
      <c r="E12" s="339"/>
      <c r="F12" s="340" t="s">
        <v>464</v>
      </c>
      <c r="G12" s="341"/>
      <c r="H12" s="341"/>
      <c r="I12" s="341"/>
      <c r="J12" s="341"/>
      <c r="K12" s="341"/>
      <c r="L12" s="341"/>
      <c r="M12" s="342"/>
      <c r="O12" s="2"/>
      <c r="W12" s="3" t="str">
        <f>+F23</f>
        <v>Trimestral</v>
      </c>
      <c r="X12" s="3" t="str">
        <f>+F71</f>
        <v>Marzo</v>
      </c>
    </row>
    <row r="13" spans="2:24" ht="3.95" customHeight="1" x14ac:dyDescent="0.25">
      <c r="B13" s="2"/>
      <c r="O13" s="2"/>
    </row>
    <row r="14" spans="2:24" ht="38.25" customHeight="1" x14ac:dyDescent="0.25">
      <c r="B14" s="2"/>
      <c r="D14" s="338" t="s">
        <v>6</v>
      </c>
      <c r="E14" s="339"/>
      <c r="F14" s="340" t="s">
        <v>1502</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8.75" customHeight="1" x14ac:dyDescent="0.25">
      <c r="B22" s="2"/>
      <c r="D22" s="337" t="s">
        <v>8</v>
      </c>
      <c r="E22" s="337"/>
      <c r="F22" s="17" t="s">
        <v>512</v>
      </c>
      <c r="G22" s="337" t="s">
        <v>9</v>
      </c>
      <c r="H22" s="337"/>
      <c r="I22" s="17">
        <v>1</v>
      </c>
      <c r="K22" s="337" t="s">
        <v>10</v>
      </c>
      <c r="L22" s="337"/>
      <c r="M22" s="9" t="s">
        <v>496</v>
      </c>
      <c r="O22" s="2"/>
    </row>
    <row r="23" spans="2:17" ht="19.5" customHeight="1" x14ac:dyDescent="0.25">
      <c r="B23" s="2"/>
      <c r="D23" s="337" t="s">
        <v>11</v>
      </c>
      <c r="E23" s="337"/>
      <c r="F23" s="4" t="s">
        <v>71</v>
      </c>
      <c r="G23" s="337" t="s">
        <v>12</v>
      </c>
      <c r="H23" s="337"/>
      <c r="I23" s="4" t="s">
        <v>497</v>
      </c>
      <c r="K23" s="337" t="s">
        <v>13</v>
      </c>
      <c r="L23" s="337"/>
      <c r="M23" s="9" t="s">
        <v>2</v>
      </c>
      <c r="O23" s="2"/>
    </row>
    <row r="24" spans="2:17" ht="20.100000000000001" customHeight="1" x14ac:dyDescent="0.25">
      <c r="B24" s="2"/>
      <c r="D24" s="337" t="s">
        <v>14</v>
      </c>
      <c r="E24" s="337"/>
      <c r="F24" s="4" t="s">
        <v>498</v>
      </c>
      <c r="G24" s="337" t="s">
        <v>15</v>
      </c>
      <c r="H24" s="337"/>
      <c r="I24" s="4" t="s">
        <v>103</v>
      </c>
      <c r="K24" s="337" t="s">
        <v>16</v>
      </c>
      <c r="L24" s="337"/>
      <c r="M24" s="9" t="s">
        <v>2</v>
      </c>
      <c r="O24" s="2"/>
    </row>
    <row r="25" spans="2:17" ht="20.100000000000001" customHeight="1" x14ac:dyDescent="0.25">
      <c r="B25" s="2"/>
      <c r="D25" s="337" t="s">
        <v>17</v>
      </c>
      <c r="E25" s="337"/>
      <c r="F25" s="4" t="s">
        <v>683</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evaluacion</v>
      </c>
    </row>
    <row r="31" spans="2:17" ht="24" customHeight="1" x14ac:dyDescent="0.25">
      <c r="B31" s="2"/>
      <c r="D31" s="347"/>
      <c r="E31" s="348"/>
      <c r="F31" s="4" t="s">
        <v>454</v>
      </c>
      <c r="G31" s="340" t="s">
        <v>455</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1615</v>
      </c>
      <c r="G33" s="340" t="s">
        <v>1616</v>
      </c>
      <c r="H33" s="341"/>
      <c r="I33" s="341"/>
      <c r="J33" s="341"/>
      <c r="K33" s="341"/>
      <c r="L33" s="341"/>
      <c r="M33" s="342"/>
      <c r="O33" s="2"/>
      <c r="Q33" s="3">
        <f>+IFERROR(IF(VLOOKUP(G33,base!$A$26:$C$40,3,FALSE)=F31,1,0),"")</f>
        <v>1</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1716</v>
      </c>
      <c r="G35" s="340" t="s">
        <v>1592</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2</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500</v>
      </c>
      <c r="G45" s="340" t="s">
        <v>512</v>
      </c>
      <c r="H45" s="341"/>
      <c r="I45" s="341"/>
      <c r="J45" s="341"/>
      <c r="K45" s="341"/>
      <c r="L45" s="341"/>
      <c r="M45" s="342"/>
      <c r="O45" s="2"/>
      <c r="Q45" s="3" t="str">
        <f>+IFERROR(VLOOKUP(G45,base!$A$41:$C$45,3,FALSE),"")</f>
        <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503</v>
      </c>
      <c r="G47" s="340"/>
      <c r="H47" s="341"/>
      <c r="I47" s="341"/>
      <c r="J47" s="341"/>
      <c r="K47" s="341"/>
      <c r="L47" s="341"/>
      <c r="M47" s="342"/>
      <c r="O47" s="2"/>
      <c r="Q47" s="3" t="e">
        <f>+IF(VLOOKUP(G47,base!$A$46:$C$66,3,FALSE)=F45,1,0)</f>
        <v>#N/A</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920</v>
      </c>
      <c r="G49" s="340" t="s">
        <v>899</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29"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37" t="s">
        <v>34</v>
      </c>
      <c r="E59" s="337"/>
      <c r="F59" s="473" t="s">
        <v>1503</v>
      </c>
      <c r="G59" s="473"/>
      <c r="H59" s="473"/>
      <c r="I59" s="473"/>
      <c r="J59" s="473"/>
      <c r="K59" s="473"/>
      <c r="L59" s="473"/>
      <c r="M59" s="473"/>
      <c r="O59" s="2"/>
    </row>
    <row r="60" spans="2:15" ht="44.25" customHeight="1" x14ac:dyDescent="0.25">
      <c r="B60" s="2"/>
      <c r="D60" s="359" t="s">
        <v>35</v>
      </c>
      <c r="E60" s="359"/>
      <c r="F60" s="344" t="s">
        <v>1504</v>
      </c>
      <c r="G60" s="344"/>
      <c r="H60" s="344"/>
      <c r="I60" s="344"/>
      <c r="J60" s="344"/>
      <c r="K60" s="344"/>
      <c r="L60" s="344"/>
      <c r="M60" s="344"/>
      <c r="O60" s="2"/>
    </row>
    <row r="61" spans="2:15" ht="44.25" customHeight="1" x14ac:dyDescent="0.25">
      <c r="B61" s="2"/>
      <c r="D61" s="359" t="s">
        <v>36</v>
      </c>
      <c r="E61" s="359"/>
      <c r="F61" s="474" t="s">
        <v>1505</v>
      </c>
      <c r="G61" s="475"/>
      <c r="H61" s="475"/>
      <c r="I61" s="475"/>
      <c r="J61" s="475"/>
      <c r="K61" s="475"/>
      <c r="L61" s="475"/>
      <c r="M61" s="476"/>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43" t="s">
        <v>39</v>
      </c>
      <c r="E71" s="343"/>
      <c r="F71" s="4" t="s">
        <v>47</v>
      </c>
      <c r="G71" s="3">
        <v>3</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v>0.1</v>
      </c>
      <c r="H77" s="16">
        <v>0.10100000000000001</v>
      </c>
      <c r="I77" s="16">
        <v>0.15</v>
      </c>
      <c r="J77" s="16">
        <v>0.151</v>
      </c>
      <c r="K77" s="16">
        <v>0.249</v>
      </c>
      <c r="L77" s="16">
        <v>0.25</v>
      </c>
      <c r="M77" s="16"/>
      <c r="O77" s="2"/>
      <c r="AE77" s="3" t="s">
        <v>47</v>
      </c>
      <c r="AF77" s="3">
        <v>3</v>
      </c>
      <c r="AG77" s="3">
        <f t="shared" si="0"/>
        <v>1</v>
      </c>
      <c r="AH77" s="3">
        <f>+IF(AG77=0,0,IF(AG77=1,(SUM($AG$75:AG77)-1),1))</f>
        <v>0</v>
      </c>
      <c r="AI77" s="3">
        <f t="shared" si="1"/>
        <v>0</v>
      </c>
      <c r="AJ77" s="3">
        <f t="shared" si="2"/>
        <v>1</v>
      </c>
      <c r="AK77" s="3">
        <f t="shared" si="3"/>
        <v>1</v>
      </c>
    </row>
    <row r="78" spans="2:37" x14ac:dyDescent="0.25">
      <c r="B78" s="2"/>
      <c r="D78" s="360" t="s">
        <v>48</v>
      </c>
      <c r="E78" s="360"/>
      <c r="F78" s="16" t="s">
        <v>500</v>
      </c>
      <c r="G78" s="16" t="s">
        <v>500</v>
      </c>
      <c r="H78" s="16" t="s">
        <v>500</v>
      </c>
      <c r="I78" s="16" t="s">
        <v>500</v>
      </c>
      <c r="J78" s="16" t="s">
        <v>500</v>
      </c>
      <c r="K78" s="16" t="s">
        <v>500</v>
      </c>
      <c r="L78" s="16" t="s">
        <v>500</v>
      </c>
      <c r="M78" s="16"/>
      <c r="O78" s="2"/>
      <c r="AE78" s="3" t="s">
        <v>48</v>
      </c>
      <c r="AF78" s="3">
        <v>4</v>
      </c>
      <c r="AG78" s="3">
        <f t="shared" si="0"/>
        <v>1</v>
      </c>
      <c r="AH78" s="3">
        <f>+IF(AG78=0,0,IF(AG78=1,(SUM($AG$75:AG78)-1),1))</f>
        <v>1</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c r="O79" s="2"/>
      <c r="AE79" s="3" t="s">
        <v>49</v>
      </c>
      <c r="AF79" s="3">
        <v>5</v>
      </c>
      <c r="AG79" s="3">
        <f t="shared" si="0"/>
        <v>1</v>
      </c>
      <c r="AH79" s="3">
        <f>+IF(AG79=0,0,IF(AG79=1,(SUM($AG$75:AG79)-1),1))</f>
        <v>2</v>
      </c>
      <c r="AI79" s="3">
        <f t="shared" si="1"/>
        <v>0</v>
      </c>
      <c r="AJ79" s="3">
        <f t="shared" si="2"/>
        <v>0</v>
      </c>
      <c r="AK79" s="3">
        <f t="shared" si="3"/>
        <v>0</v>
      </c>
    </row>
    <row r="80" spans="2:37" x14ac:dyDescent="0.25">
      <c r="B80" s="2"/>
      <c r="D80" s="360" t="s">
        <v>50</v>
      </c>
      <c r="E80" s="360"/>
      <c r="F80" s="16" t="s">
        <v>500</v>
      </c>
      <c r="G80" s="16">
        <v>0.35</v>
      </c>
      <c r="H80" s="16">
        <v>0.35099999999999998</v>
      </c>
      <c r="I80" s="16">
        <v>0.4</v>
      </c>
      <c r="J80" s="16">
        <v>0.40100000000000002</v>
      </c>
      <c r="K80" s="16">
        <v>0.499</v>
      </c>
      <c r="L80" s="16">
        <v>0.5</v>
      </c>
      <c r="M80" s="16"/>
      <c r="O80" s="2"/>
      <c r="AE80" s="3" t="s">
        <v>50</v>
      </c>
      <c r="AF80" s="3">
        <v>6</v>
      </c>
      <c r="AG80" s="3">
        <f t="shared" si="0"/>
        <v>1</v>
      </c>
      <c r="AH80" s="3">
        <f>+IF(AG80=0,0,IF(AG80=1,(SUM($AG$75:AG80)-1),1))</f>
        <v>3</v>
      </c>
      <c r="AI80" s="3">
        <f t="shared" si="1"/>
        <v>1</v>
      </c>
      <c r="AJ80" s="3">
        <f t="shared" si="2"/>
        <v>0</v>
      </c>
      <c r="AK80" s="3">
        <f t="shared" si="3"/>
        <v>1</v>
      </c>
    </row>
    <row r="81" spans="2:37" x14ac:dyDescent="0.25">
      <c r="B81" s="2"/>
      <c r="D81" s="360" t="s">
        <v>53</v>
      </c>
      <c r="E81" s="360"/>
      <c r="F81" s="16" t="s">
        <v>500</v>
      </c>
      <c r="G81" s="16" t="s">
        <v>500</v>
      </c>
      <c r="H81" s="16" t="s">
        <v>500</v>
      </c>
      <c r="I81" s="16" t="s">
        <v>500</v>
      </c>
      <c r="J81" s="16" t="s">
        <v>500</v>
      </c>
      <c r="K81" s="16" t="s">
        <v>500</v>
      </c>
      <c r="L81" s="16" t="s">
        <v>500</v>
      </c>
      <c r="M81" s="16"/>
      <c r="O81" s="2"/>
      <c r="AE81" s="3" t="s">
        <v>53</v>
      </c>
      <c r="AF81" s="3">
        <v>7</v>
      </c>
      <c r="AG81" s="3">
        <f t="shared" si="0"/>
        <v>1</v>
      </c>
      <c r="AH81" s="3">
        <f>+IF(AG81=0,0,IF(AG81=1,(SUM($AG$75:AG81)-1),1))</f>
        <v>4</v>
      </c>
      <c r="AI81" s="3">
        <f t="shared" si="1"/>
        <v>0</v>
      </c>
      <c r="AJ81" s="3">
        <f t="shared" si="2"/>
        <v>0</v>
      </c>
      <c r="AK81" s="3">
        <f t="shared" si="3"/>
        <v>0</v>
      </c>
    </row>
    <row r="82" spans="2:37" x14ac:dyDescent="0.25">
      <c r="B82" s="2"/>
      <c r="D82" s="360" t="s">
        <v>54</v>
      </c>
      <c r="E82" s="360"/>
      <c r="F82" s="16" t="s">
        <v>500</v>
      </c>
      <c r="G82" s="16" t="s">
        <v>500</v>
      </c>
      <c r="H82" s="16" t="s">
        <v>500</v>
      </c>
      <c r="I82" s="16" t="s">
        <v>500</v>
      </c>
      <c r="J82" s="16" t="s">
        <v>500</v>
      </c>
      <c r="K82" s="16" t="s">
        <v>500</v>
      </c>
      <c r="L82" s="16" t="s">
        <v>500</v>
      </c>
      <c r="M82" s="16"/>
      <c r="O82" s="2"/>
      <c r="AE82" s="3" t="s">
        <v>54</v>
      </c>
      <c r="AF82" s="3">
        <v>8</v>
      </c>
      <c r="AG82" s="3">
        <f t="shared" si="0"/>
        <v>1</v>
      </c>
      <c r="AH82" s="3">
        <f>+IF(AG82=0,0,IF(AG82=1,(SUM($AG$75:AG82)-1),1))</f>
        <v>5</v>
      </c>
      <c r="AI82" s="3">
        <f t="shared" si="1"/>
        <v>0</v>
      </c>
      <c r="AJ82" s="3">
        <f t="shared" si="2"/>
        <v>0</v>
      </c>
      <c r="AK82" s="3">
        <f t="shared" si="3"/>
        <v>0</v>
      </c>
    </row>
    <row r="83" spans="2:37" x14ac:dyDescent="0.25">
      <c r="B83" s="2"/>
      <c r="D83" s="360" t="s">
        <v>55</v>
      </c>
      <c r="E83" s="360"/>
      <c r="F83" s="16" t="s">
        <v>500</v>
      </c>
      <c r="G83" s="16">
        <v>0.6</v>
      </c>
      <c r="H83" s="16">
        <v>0.60099999999999998</v>
      </c>
      <c r="I83" s="16">
        <v>0.65</v>
      </c>
      <c r="J83" s="16">
        <v>0.65100000000000002</v>
      </c>
      <c r="K83" s="16">
        <v>0.749</v>
      </c>
      <c r="L83" s="16">
        <v>0.75</v>
      </c>
      <c r="M83" s="16"/>
      <c r="O83" s="2"/>
      <c r="AE83" s="3" t="s">
        <v>55</v>
      </c>
      <c r="AF83" s="3">
        <v>9</v>
      </c>
      <c r="AG83" s="3">
        <f t="shared" si="0"/>
        <v>1</v>
      </c>
      <c r="AH83" s="3">
        <f>+IF(AG83=0,0,IF(AG83=1,(SUM($AG$75:AG83)-1),1))</f>
        <v>6</v>
      </c>
      <c r="AI83" s="3">
        <f t="shared" si="1"/>
        <v>1</v>
      </c>
      <c r="AJ83" s="3">
        <f t="shared" si="2"/>
        <v>0</v>
      </c>
      <c r="AK83" s="3">
        <f t="shared" si="3"/>
        <v>1</v>
      </c>
    </row>
    <row r="84" spans="2:37" x14ac:dyDescent="0.25">
      <c r="B84" s="2"/>
      <c r="D84" s="360" t="s">
        <v>56</v>
      </c>
      <c r="E84" s="360"/>
      <c r="F84" s="16" t="s">
        <v>500</v>
      </c>
      <c r="G84" s="16" t="s">
        <v>500</v>
      </c>
      <c r="H84" s="16" t="s">
        <v>500</v>
      </c>
      <c r="I84" s="16" t="s">
        <v>500</v>
      </c>
      <c r="J84" s="16" t="s">
        <v>500</v>
      </c>
      <c r="K84" s="16" t="s">
        <v>500</v>
      </c>
      <c r="L84" s="16"/>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60" t="s">
        <v>58</v>
      </c>
      <c r="E86" s="360"/>
      <c r="F86" s="16" t="s">
        <v>500</v>
      </c>
      <c r="G86" s="16">
        <v>0.85</v>
      </c>
      <c r="H86" s="16">
        <v>0.85099999999999998</v>
      </c>
      <c r="I86" s="16">
        <v>0.9</v>
      </c>
      <c r="J86" s="16">
        <v>0.90100000000000002</v>
      </c>
      <c r="K86" s="16">
        <v>0.999</v>
      </c>
      <c r="L86" s="16"/>
      <c r="M86" s="16">
        <v>1</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66" customHeight="1" x14ac:dyDescent="0.25">
      <c r="B88" s="2"/>
      <c r="D88" s="338" t="s">
        <v>59</v>
      </c>
      <c r="E88" s="339"/>
      <c r="F88" s="340"/>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8" customHeight="1" x14ac:dyDescent="0.25">
      <c r="B97" s="2"/>
      <c r="D97" s="359" t="s">
        <v>35</v>
      </c>
      <c r="E97" s="359"/>
      <c r="F97" s="344" t="s">
        <v>1469</v>
      </c>
      <c r="G97" s="344"/>
      <c r="H97" s="344"/>
      <c r="I97" s="344"/>
      <c r="J97" s="344"/>
      <c r="K97" s="344"/>
      <c r="L97" s="344"/>
      <c r="M97" s="344"/>
      <c r="O97" s="2"/>
    </row>
    <row r="98" spans="2:15" ht="48" customHeight="1" x14ac:dyDescent="0.25">
      <c r="B98" s="2"/>
      <c r="D98" s="359" t="s">
        <v>36</v>
      </c>
      <c r="E98" s="359"/>
      <c r="F98" s="344" t="s">
        <v>1470</v>
      </c>
      <c r="G98" s="344"/>
      <c r="H98" s="344"/>
      <c r="I98" s="344"/>
      <c r="J98" s="344"/>
      <c r="K98" s="344"/>
      <c r="L98" s="344"/>
      <c r="M98" s="344"/>
      <c r="O98" s="2"/>
    </row>
    <row r="99" spans="2:15" ht="3.75" customHeight="1" x14ac:dyDescent="0.25">
      <c r="B99" s="2"/>
      <c r="O99" s="2"/>
    </row>
    <row r="100" spans="2:15" ht="226.5" customHeight="1" x14ac:dyDescent="0.25">
      <c r="B100" s="2"/>
      <c r="D100" s="338" t="s">
        <v>62</v>
      </c>
      <c r="E100" s="339"/>
      <c r="F100" s="412" t="s">
        <v>1454</v>
      </c>
      <c r="G100" s="413"/>
      <c r="H100" s="413"/>
      <c r="I100" s="413"/>
      <c r="J100" s="413"/>
      <c r="K100" s="413"/>
      <c r="L100" s="413"/>
      <c r="M100" s="414"/>
      <c r="O100" s="2"/>
    </row>
    <row r="101" spans="2:15" ht="3.95" customHeight="1" x14ac:dyDescent="0.25">
      <c r="B101" s="2"/>
      <c r="O101" s="2"/>
    </row>
    <row r="102" spans="2:15" ht="19.5" customHeight="1" x14ac:dyDescent="0.25">
      <c r="B102" s="2"/>
      <c r="D102" s="329" t="s">
        <v>64</v>
      </c>
      <c r="E102" s="330"/>
      <c r="F102" s="19" t="s">
        <v>65</v>
      </c>
      <c r="G102" s="4" t="s">
        <v>496</v>
      </c>
      <c r="K102" s="20"/>
      <c r="O102" s="2"/>
    </row>
    <row r="103" spans="2:15" ht="19.5" customHeight="1" x14ac:dyDescent="0.25">
      <c r="B103" s="2"/>
      <c r="D103" s="331"/>
      <c r="E103" s="332"/>
      <c r="F103" s="19" t="s">
        <v>66</v>
      </c>
      <c r="G103" s="4" t="s">
        <v>1891</v>
      </c>
      <c r="K103" s="21"/>
      <c r="O103" s="2"/>
    </row>
    <row r="104" spans="2:15" ht="27.75" customHeight="1" x14ac:dyDescent="0.25">
      <c r="B104" s="2"/>
      <c r="D104" s="331"/>
      <c r="E104" s="332"/>
      <c r="F104" s="19" t="s">
        <v>67</v>
      </c>
      <c r="G104" s="333" t="s">
        <v>1892</v>
      </c>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 xml:space="preserve">Subdirector(a) Monitoreo y Evaluación </v>
      </c>
      <c r="H108" s="334"/>
      <c r="I108" s="334"/>
      <c r="J108" s="334"/>
      <c r="K108" s="334"/>
      <c r="L108" s="334"/>
      <c r="M108" s="335"/>
      <c r="O108" s="2"/>
    </row>
    <row r="109" spans="2:15" ht="17.25" customHeight="1" x14ac:dyDescent="0.25">
      <c r="B109" s="2"/>
      <c r="D109" s="331"/>
      <c r="E109" s="332"/>
      <c r="F109" s="19" t="s">
        <v>2042</v>
      </c>
      <c r="G109" s="333" t="str">
        <f>+IF(M23="Si","Coordinador(a) Planeación y Sistemas","")</f>
        <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87" priority="33">
      <formula>+IF($F$43="no",1,0)</formula>
    </cfRule>
  </conditionalFormatting>
  <conditionalFormatting sqref="F32:M32">
    <cfRule type="expression" dxfId="186" priority="32">
      <formula>+IF($Q$30="NA",1,0)</formula>
    </cfRule>
  </conditionalFormatting>
  <conditionalFormatting sqref="F47:M47">
    <cfRule type="expression" dxfId="185" priority="30">
      <formula>+IF($Q$47=0,1,0)</formula>
    </cfRule>
  </conditionalFormatting>
  <conditionalFormatting sqref="F73:G73">
    <cfRule type="cellIs" dxfId="184" priority="16" operator="equal">
      <formula>"optimo"</formula>
    </cfRule>
    <cfRule type="cellIs" dxfId="183" priority="17" operator="equal">
      <formula>"critico"</formula>
    </cfRule>
  </conditionalFormatting>
  <conditionalFormatting sqref="H73:I73">
    <cfRule type="cellIs" dxfId="182" priority="14" operator="equal">
      <formula>"Adecuado"</formula>
    </cfRule>
    <cfRule type="cellIs" dxfId="181" priority="15" operator="equal">
      <formula>"en riesgo"</formula>
    </cfRule>
  </conditionalFormatting>
  <conditionalFormatting sqref="J73:K73">
    <cfRule type="cellIs" dxfId="180" priority="12" operator="equal">
      <formula>"Adecuado"</formula>
    </cfRule>
    <cfRule type="cellIs" dxfId="179" priority="13" operator="equal">
      <formula>"en riesgo"</formula>
    </cfRule>
  </conditionalFormatting>
  <conditionalFormatting sqref="L73:M73">
    <cfRule type="cellIs" dxfId="178" priority="10" operator="equal">
      <formula>"optimo"</formula>
    </cfRule>
    <cfRule type="cellIs" dxfId="177" priority="11" operator="equal">
      <formula>"critico"</formula>
    </cfRule>
  </conditionalFormatting>
  <conditionalFormatting sqref="F75:M86">
    <cfRule type="expression" dxfId="176" priority="9">
      <formula>+IF($AK75=0,1)</formula>
    </cfRule>
  </conditionalFormatting>
  <conditionalFormatting sqref="F103:G104">
    <cfRule type="expression" dxfId="175" priority="8">
      <formula>+IF($G$102="No",1,0)</formula>
    </cfRule>
  </conditionalFormatting>
  <conditionalFormatting sqref="F51">
    <cfRule type="expression" dxfId="174" priority="7">
      <formula>+IF($F$43="no",1,0)</formula>
    </cfRule>
  </conditionalFormatting>
  <conditionalFormatting sqref="I51">
    <cfRule type="expression" dxfId="173" priority="6">
      <formula>+IF($F$51="no",1,0)</formula>
    </cfRule>
  </conditionalFormatting>
  <conditionalFormatting sqref="F33:M33">
    <cfRule type="expression" dxfId="172" priority="5">
      <formula>+IF($Q$30="NA",1,0)</formula>
    </cfRule>
  </conditionalFormatting>
  <conditionalFormatting sqref="F33:M33">
    <cfRule type="expression" dxfId="171" priority="4">
      <formula>+IF($Q$33=0,1,0)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0">
    <tabColor rgb="FF0070C0"/>
  </sheetPr>
  <dimension ref="B1:AV113"/>
  <sheetViews>
    <sheetView zoomScale="90" zoomScaleNormal="90" workbookViewId="0">
      <selection activeCell="U78" sqref="U78"/>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465</v>
      </c>
      <c r="O10" s="2"/>
    </row>
    <row r="11" spans="2:24" ht="3.95" customHeight="1" x14ac:dyDescent="0.25">
      <c r="B11" s="2"/>
      <c r="D11" s="6"/>
      <c r="O11" s="2"/>
    </row>
    <row r="12" spans="2:24" ht="36" customHeight="1" x14ac:dyDescent="0.25">
      <c r="B12" s="2"/>
      <c r="D12" s="338" t="s">
        <v>5</v>
      </c>
      <c r="E12" s="339"/>
      <c r="F12" s="340" t="s">
        <v>1495</v>
      </c>
      <c r="G12" s="341"/>
      <c r="H12" s="341"/>
      <c r="I12" s="341"/>
      <c r="J12" s="341"/>
      <c r="K12" s="341"/>
      <c r="L12" s="341"/>
      <c r="M12" s="342"/>
      <c r="O12" s="2"/>
      <c r="W12" s="3" t="str">
        <f>+F23</f>
        <v>Trimestral</v>
      </c>
      <c r="X12" s="3" t="str">
        <f>+F71</f>
        <v>Mayo</v>
      </c>
    </row>
    <row r="13" spans="2:24" ht="3.95" customHeight="1" x14ac:dyDescent="0.25">
      <c r="B13" s="2"/>
      <c r="O13" s="2"/>
    </row>
    <row r="14" spans="2:24" ht="38.25" customHeight="1" x14ac:dyDescent="0.25">
      <c r="B14" s="2"/>
      <c r="D14" s="338" t="s">
        <v>6</v>
      </c>
      <c r="E14" s="339"/>
      <c r="F14" s="340" t="s">
        <v>1496</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8.75" customHeight="1" x14ac:dyDescent="0.25">
      <c r="B22" s="2"/>
      <c r="D22" s="337" t="s">
        <v>8</v>
      </c>
      <c r="E22" s="337"/>
      <c r="F22" s="17">
        <v>0</v>
      </c>
      <c r="G22" s="337" t="s">
        <v>9</v>
      </c>
      <c r="H22" s="337"/>
      <c r="I22" s="17">
        <v>1</v>
      </c>
      <c r="K22" s="337" t="s">
        <v>10</v>
      </c>
      <c r="L22" s="337"/>
      <c r="M22" s="9" t="s">
        <v>496</v>
      </c>
      <c r="O22" s="2"/>
    </row>
    <row r="23" spans="2:17" ht="19.5" customHeight="1" x14ac:dyDescent="0.25">
      <c r="B23" s="2"/>
      <c r="D23" s="337" t="s">
        <v>11</v>
      </c>
      <c r="E23" s="337"/>
      <c r="F23" s="4" t="s">
        <v>71</v>
      </c>
      <c r="G23" s="337" t="s">
        <v>12</v>
      </c>
      <c r="H23" s="337"/>
      <c r="I23" s="4" t="s">
        <v>497</v>
      </c>
      <c r="K23" s="337" t="s">
        <v>13</v>
      </c>
      <c r="L23" s="337"/>
      <c r="M23" s="9" t="s">
        <v>2</v>
      </c>
      <c r="O23" s="2"/>
    </row>
    <row r="24" spans="2:17" ht="20.100000000000001" customHeight="1" x14ac:dyDescent="0.25">
      <c r="B24" s="2"/>
      <c r="D24" s="337" t="s">
        <v>14</v>
      </c>
      <c r="E24" s="337"/>
      <c r="F24" s="4" t="s">
        <v>498</v>
      </c>
      <c r="G24" s="337" t="s">
        <v>15</v>
      </c>
      <c r="H24" s="337"/>
      <c r="I24" s="4" t="s">
        <v>533</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evaluacion</v>
      </c>
    </row>
    <row r="31" spans="2:17" ht="24" customHeight="1" x14ac:dyDescent="0.25">
      <c r="B31" s="2"/>
      <c r="D31" s="347"/>
      <c r="E31" s="348"/>
      <c r="F31" s="4" t="s">
        <v>454</v>
      </c>
      <c r="G31" s="340" t="s">
        <v>455</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1615</v>
      </c>
      <c r="G33" s="340" t="s">
        <v>1616</v>
      </c>
      <c r="H33" s="341"/>
      <c r="I33" s="341"/>
      <c r="J33" s="341"/>
      <c r="K33" s="341"/>
      <c r="L33" s="341"/>
      <c r="M33" s="342"/>
      <c r="O33" s="2"/>
      <c r="Q33" s="3">
        <f>+IFERROR(IF(VLOOKUP(G33,base!$A$26:$C$40,3,FALSE)=F31,1,0),"")</f>
        <v>1</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1716</v>
      </c>
      <c r="G35" s="340" t="s">
        <v>1592</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2</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500</v>
      </c>
      <c r="G45" s="340" t="s">
        <v>512</v>
      </c>
      <c r="H45" s="341"/>
      <c r="I45" s="341"/>
      <c r="J45" s="341"/>
      <c r="K45" s="341"/>
      <c r="L45" s="341"/>
      <c r="M45" s="342"/>
      <c r="O45" s="2"/>
      <c r="Q45" s="3" t="str">
        <f>+IFERROR(VLOOKUP(G45,base!$A$41:$C$45,3,FALSE),"")</f>
        <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503</v>
      </c>
      <c r="G47" s="340"/>
      <c r="H47" s="341"/>
      <c r="I47" s="341"/>
      <c r="J47" s="341"/>
      <c r="K47" s="341"/>
      <c r="L47" s="341"/>
      <c r="M47" s="342"/>
      <c r="O47" s="2"/>
      <c r="Q47" s="3" t="e">
        <f>+IF(VLOOKUP(G47,base!$A$46:$C$66,3,FALSE)=F45,1,0)</f>
        <v>#N/A</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920</v>
      </c>
      <c r="G49" s="340" t="s">
        <v>899</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29"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37" t="s">
        <v>34</v>
      </c>
      <c r="E59" s="337"/>
      <c r="F59" s="473" t="s">
        <v>1497</v>
      </c>
      <c r="G59" s="473"/>
      <c r="H59" s="473"/>
      <c r="I59" s="473"/>
      <c r="J59" s="473"/>
      <c r="K59" s="473"/>
      <c r="L59" s="473"/>
      <c r="M59" s="473"/>
      <c r="O59" s="2"/>
    </row>
    <row r="60" spans="2:15" ht="42" customHeight="1" x14ac:dyDescent="0.25">
      <c r="B60" s="2"/>
      <c r="D60" s="359" t="s">
        <v>35</v>
      </c>
      <c r="E60" s="359"/>
      <c r="F60" s="344" t="s">
        <v>1498</v>
      </c>
      <c r="G60" s="344"/>
      <c r="H60" s="344"/>
      <c r="I60" s="344"/>
      <c r="J60" s="344"/>
      <c r="K60" s="344"/>
      <c r="L60" s="344"/>
      <c r="M60" s="344"/>
      <c r="O60" s="2"/>
    </row>
    <row r="61" spans="2:15" ht="42" customHeight="1" x14ac:dyDescent="0.25">
      <c r="B61" s="2"/>
      <c r="D61" s="359" t="s">
        <v>36</v>
      </c>
      <c r="E61" s="359"/>
      <c r="F61" s="474" t="s">
        <v>1499</v>
      </c>
      <c r="G61" s="475"/>
      <c r="H61" s="475"/>
      <c r="I61" s="475"/>
      <c r="J61" s="475"/>
      <c r="K61" s="475"/>
      <c r="L61" s="475"/>
      <c r="M61" s="476"/>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43" t="s">
        <v>39</v>
      </c>
      <c r="E71" s="343"/>
      <c r="F71" s="4" t="s">
        <v>49</v>
      </c>
      <c r="G71" s="3">
        <v>5</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60" t="s">
        <v>48</v>
      </c>
      <c r="E78" s="360"/>
      <c r="F78" s="16" t="s">
        <v>500</v>
      </c>
      <c r="G78" s="16" t="s">
        <v>500</v>
      </c>
      <c r="H78" s="16" t="s">
        <v>500</v>
      </c>
      <c r="I78" s="16" t="s">
        <v>500</v>
      </c>
      <c r="J78" s="16" t="s">
        <v>500</v>
      </c>
      <c r="K78" s="16" t="s">
        <v>500</v>
      </c>
      <c r="L78" s="16" t="s">
        <v>500</v>
      </c>
      <c r="M78" s="16" t="s">
        <v>500</v>
      </c>
      <c r="O78" s="2"/>
      <c r="U78" s="1"/>
      <c r="AE78" s="3" t="s">
        <v>48</v>
      </c>
      <c r="AF78" s="3">
        <v>4</v>
      </c>
      <c r="AG78" s="3">
        <f t="shared" si="0"/>
        <v>0</v>
      </c>
      <c r="AH78" s="3">
        <f>+IF(AG78=0,0,IF(AG78=1,(SUM($AG$75:AG78)-1),1))</f>
        <v>0</v>
      </c>
      <c r="AI78" s="3">
        <f t="shared" si="1"/>
        <v>0</v>
      </c>
      <c r="AJ78" s="3">
        <f t="shared" si="2"/>
        <v>0</v>
      </c>
      <c r="AK78" s="3">
        <f t="shared" si="3"/>
        <v>0</v>
      </c>
    </row>
    <row r="79" spans="2:37" x14ac:dyDescent="0.25">
      <c r="B79" s="2"/>
      <c r="D79" s="360" t="s">
        <v>49</v>
      </c>
      <c r="E79" s="360"/>
      <c r="F79" s="16" t="s">
        <v>500</v>
      </c>
      <c r="G79" s="16">
        <v>0.23</v>
      </c>
      <c r="H79" s="16">
        <v>0.23100000000000001</v>
      </c>
      <c r="I79" s="16">
        <v>0.27</v>
      </c>
      <c r="J79" s="16">
        <v>0.27100000000000002</v>
      </c>
      <c r="K79" s="16">
        <v>0.32900000000000001</v>
      </c>
      <c r="L79" s="16">
        <v>0.33</v>
      </c>
      <c r="M79" s="16"/>
      <c r="O79" s="2"/>
      <c r="AE79" s="3" t="s">
        <v>49</v>
      </c>
      <c r="AF79" s="3">
        <v>5</v>
      </c>
      <c r="AG79" s="3">
        <f t="shared" si="0"/>
        <v>1</v>
      </c>
      <c r="AH79" s="3">
        <f>+IF(AG79=0,0,IF(AG79=1,(SUM($AG$75:AG79)-1),1))</f>
        <v>0</v>
      </c>
      <c r="AI79" s="3">
        <f t="shared" si="1"/>
        <v>0</v>
      </c>
      <c r="AJ79" s="3">
        <f t="shared" si="2"/>
        <v>1</v>
      </c>
      <c r="AK79" s="3">
        <f t="shared" si="3"/>
        <v>1</v>
      </c>
    </row>
    <row r="80" spans="2:37" x14ac:dyDescent="0.25">
      <c r="B80" s="2"/>
      <c r="D80" s="360" t="s">
        <v>50</v>
      </c>
      <c r="E80" s="360"/>
      <c r="F80" s="16" t="s">
        <v>500</v>
      </c>
      <c r="G80" s="16" t="s">
        <v>500</v>
      </c>
      <c r="H80" s="16" t="s">
        <v>500</v>
      </c>
      <c r="I80" s="16" t="s">
        <v>500</v>
      </c>
      <c r="J80" s="16" t="s">
        <v>500</v>
      </c>
      <c r="K80" s="16" t="s">
        <v>500</v>
      </c>
      <c r="L80" s="16" t="s">
        <v>500</v>
      </c>
      <c r="M80" s="16" t="s">
        <v>500</v>
      </c>
      <c r="O80" s="2"/>
      <c r="AE80" s="3" t="s">
        <v>50</v>
      </c>
      <c r="AF80" s="3">
        <v>6</v>
      </c>
      <c r="AG80" s="3">
        <f t="shared" si="0"/>
        <v>1</v>
      </c>
      <c r="AH80" s="3">
        <f>+IF(AG80=0,0,IF(AG80=1,(SUM($AG$75:AG80)-1),1))</f>
        <v>1</v>
      </c>
      <c r="AI80" s="3">
        <f t="shared" si="1"/>
        <v>0</v>
      </c>
      <c r="AJ80" s="3">
        <f t="shared" si="2"/>
        <v>0</v>
      </c>
      <c r="AK80" s="3">
        <f t="shared" si="3"/>
        <v>0</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2</v>
      </c>
      <c r="AI81" s="3">
        <f t="shared" si="1"/>
        <v>0</v>
      </c>
      <c r="AJ81" s="3">
        <f t="shared" si="2"/>
        <v>0</v>
      </c>
      <c r="AK81" s="3">
        <f t="shared" si="3"/>
        <v>0</v>
      </c>
    </row>
    <row r="82" spans="2:37" x14ac:dyDescent="0.25">
      <c r="B82" s="2"/>
      <c r="D82" s="360" t="s">
        <v>54</v>
      </c>
      <c r="E82" s="360"/>
      <c r="F82" s="16" t="s">
        <v>500</v>
      </c>
      <c r="G82" s="16">
        <v>0.47</v>
      </c>
      <c r="H82" s="16">
        <v>0.47099999999999997</v>
      </c>
      <c r="I82" s="16">
        <v>0.53</v>
      </c>
      <c r="J82" s="16">
        <v>0.53100000000000003</v>
      </c>
      <c r="K82" s="16">
        <v>0.66900000000000004</v>
      </c>
      <c r="L82" s="16">
        <v>0.67</v>
      </c>
      <c r="M82" s="16"/>
      <c r="O82" s="2"/>
      <c r="AE82" s="3" t="s">
        <v>54</v>
      </c>
      <c r="AF82" s="3">
        <v>8</v>
      </c>
      <c r="AG82" s="3">
        <f t="shared" si="0"/>
        <v>1</v>
      </c>
      <c r="AH82" s="3">
        <f>+IF(AG82=0,0,IF(AG82=1,(SUM($AG$75:AG82)-1),1))</f>
        <v>3</v>
      </c>
      <c r="AI82" s="3">
        <f t="shared" si="1"/>
        <v>1</v>
      </c>
      <c r="AJ82" s="3">
        <f t="shared" si="2"/>
        <v>0</v>
      </c>
      <c r="AK82" s="3">
        <f t="shared" si="3"/>
        <v>1</v>
      </c>
    </row>
    <row r="83" spans="2:37" x14ac:dyDescent="0.25">
      <c r="B83" s="2"/>
      <c r="D83" s="360" t="s">
        <v>55</v>
      </c>
      <c r="E83" s="360"/>
      <c r="F83" s="16" t="s">
        <v>500</v>
      </c>
      <c r="G83" s="16" t="s">
        <v>500</v>
      </c>
      <c r="H83" s="16" t="s">
        <v>500</v>
      </c>
      <c r="I83" s="16" t="s">
        <v>500</v>
      </c>
      <c r="J83" s="16" t="s">
        <v>500</v>
      </c>
      <c r="K83" s="16" t="s">
        <v>500</v>
      </c>
      <c r="L83" s="16" t="s">
        <v>500</v>
      </c>
      <c r="M83" s="16" t="s">
        <v>500</v>
      </c>
      <c r="O83" s="2"/>
      <c r="AE83" s="3" t="s">
        <v>55</v>
      </c>
      <c r="AF83" s="3">
        <v>9</v>
      </c>
      <c r="AG83" s="3">
        <f t="shared" si="0"/>
        <v>1</v>
      </c>
      <c r="AH83" s="3">
        <f>+IF(AG83=0,0,IF(AG83=1,(SUM($AG$75:AG83)-1),1))</f>
        <v>4</v>
      </c>
      <c r="AI83" s="3">
        <f t="shared" si="1"/>
        <v>0</v>
      </c>
      <c r="AJ83" s="3">
        <f t="shared" si="2"/>
        <v>0</v>
      </c>
      <c r="AK83" s="3">
        <f t="shared" si="3"/>
        <v>0</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5</v>
      </c>
      <c r="AI84" s="3">
        <f t="shared" si="1"/>
        <v>0</v>
      </c>
      <c r="AJ84" s="3">
        <f t="shared" si="2"/>
        <v>0</v>
      </c>
      <c r="AK84" s="3">
        <f t="shared" si="3"/>
        <v>0</v>
      </c>
    </row>
    <row r="85" spans="2:37" x14ac:dyDescent="0.25">
      <c r="B85" s="2"/>
      <c r="D85" s="360" t="s">
        <v>57</v>
      </c>
      <c r="E85" s="360"/>
      <c r="F85" s="16" t="s">
        <v>500</v>
      </c>
      <c r="G85" s="16">
        <v>0.7</v>
      </c>
      <c r="H85" s="16">
        <v>0.70099999999999996</v>
      </c>
      <c r="I85" s="16">
        <v>0.8</v>
      </c>
      <c r="J85" s="16">
        <v>0.80100000000000005</v>
      </c>
      <c r="K85" s="16">
        <v>0.999</v>
      </c>
      <c r="L85" s="16"/>
      <c r="M85" s="16">
        <v>1</v>
      </c>
      <c r="O85" s="2"/>
      <c r="AE85" s="3" t="s">
        <v>57</v>
      </c>
      <c r="AF85" s="3">
        <v>11</v>
      </c>
      <c r="AG85" s="3">
        <f t="shared" si="0"/>
        <v>1</v>
      </c>
      <c r="AH85" s="3">
        <f>+IF(AG85=0,0,IF(AG85=1,(SUM($AG$75:AG85)-1),1))</f>
        <v>6</v>
      </c>
      <c r="AI85" s="3">
        <f t="shared" si="1"/>
        <v>1</v>
      </c>
      <c r="AJ85" s="3">
        <f t="shared" si="2"/>
        <v>0</v>
      </c>
      <c r="AK85" s="3">
        <f t="shared" si="3"/>
        <v>1</v>
      </c>
    </row>
    <row r="86" spans="2:37" x14ac:dyDescent="0.25">
      <c r="B86" s="2"/>
      <c r="D86" s="360" t="s">
        <v>58</v>
      </c>
      <c r="E86" s="360"/>
      <c r="F86" s="16" t="s">
        <v>500</v>
      </c>
      <c r="G86" s="16" t="s">
        <v>500</v>
      </c>
      <c r="H86" s="16" t="s">
        <v>500</v>
      </c>
      <c r="I86" s="16" t="s">
        <v>500</v>
      </c>
      <c r="J86" s="16" t="s">
        <v>500</v>
      </c>
      <c r="K86" s="16" t="s">
        <v>500</v>
      </c>
      <c r="L86" s="16" t="s">
        <v>500</v>
      </c>
      <c r="M86" s="16" t="s">
        <v>500</v>
      </c>
      <c r="O86" s="2"/>
      <c r="AE86" s="3" t="s">
        <v>58</v>
      </c>
      <c r="AF86" s="65">
        <v>12</v>
      </c>
      <c r="AG86" s="3">
        <f t="shared" si="0"/>
        <v>1</v>
      </c>
      <c r="AH86" s="3">
        <f>+IF(AG86=0,0,IF(AG86=1,(SUM($AG$75:AG86)-1),1))</f>
        <v>7</v>
      </c>
      <c r="AI86" s="3">
        <f t="shared" si="1"/>
        <v>0</v>
      </c>
      <c r="AJ86" s="3">
        <f t="shared" si="2"/>
        <v>0</v>
      </c>
      <c r="AK86" s="3">
        <f t="shared" si="3"/>
        <v>0</v>
      </c>
    </row>
    <row r="87" spans="2:37" ht="3.75" customHeight="1" x14ac:dyDescent="0.25">
      <c r="B87" s="2"/>
      <c r="O87" s="2"/>
    </row>
    <row r="88" spans="2:37" ht="66" customHeight="1" x14ac:dyDescent="0.25">
      <c r="B88" s="2"/>
      <c r="D88" s="338" t="s">
        <v>59</v>
      </c>
      <c r="E88" s="339"/>
      <c r="F88" s="340" t="s">
        <v>1456</v>
      </c>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2" customHeight="1" x14ac:dyDescent="0.25">
      <c r="B97" s="2"/>
      <c r="D97" s="359" t="s">
        <v>35</v>
      </c>
      <c r="E97" s="359"/>
      <c r="F97" s="344" t="s">
        <v>1500</v>
      </c>
      <c r="G97" s="344"/>
      <c r="H97" s="344"/>
      <c r="I97" s="344"/>
      <c r="J97" s="344"/>
      <c r="K97" s="344"/>
      <c r="L97" s="344"/>
      <c r="M97" s="344"/>
      <c r="O97" s="2"/>
    </row>
    <row r="98" spans="2:15" ht="42" customHeight="1" x14ac:dyDescent="0.25">
      <c r="B98" s="2"/>
      <c r="D98" s="359" t="s">
        <v>36</v>
      </c>
      <c r="E98" s="359"/>
      <c r="F98" s="344" t="s">
        <v>1501</v>
      </c>
      <c r="G98" s="344"/>
      <c r="H98" s="344"/>
      <c r="I98" s="344"/>
      <c r="J98" s="344"/>
      <c r="K98" s="344"/>
      <c r="L98" s="344"/>
      <c r="M98" s="344"/>
      <c r="O98" s="2"/>
    </row>
    <row r="99" spans="2:15" ht="3.95" customHeight="1" x14ac:dyDescent="0.25">
      <c r="B99" s="2"/>
      <c r="O99" s="2"/>
    </row>
    <row r="100" spans="2:15" ht="58.5" customHeight="1" x14ac:dyDescent="0.25">
      <c r="B100" s="2"/>
      <c r="D100" s="338" t="s">
        <v>62</v>
      </c>
      <c r="E100" s="339"/>
      <c r="F100" s="333"/>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1</v>
      </c>
      <c r="K102" s="20"/>
      <c r="O102" s="2"/>
    </row>
    <row r="103" spans="2:15" ht="19.5" customHeight="1" x14ac:dyDescent="0.25">
      <c r="B103" s="2"/>
      <c r="D103" s="331"/>
      <c r="E103" s="332"/>
      <c r="F103" s="19" t="s">
        <v>66</v>
      </c>
      <c r="G103" s="4" t="s">
        <v>463</v>
      </c>
      <c r="K103" s="21"/>
      <c r="O103" s="2"/>
    </row>
    <row r="104" spans="2:15" ht="27.75" customHeight="1" x14ac:dyDescent="0.25">
      <c r="B104" s="2"/>
      <c r="D104" s="331"/>
      <c r="E104" s="332"/>
      <c r="F104" s="19" t="s">
        <v>67</v>
      </c>
      <c r="G104" s="333" t="s">
        <v>1893</v>
      </c>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 xml:space="preserve">Subdirector(a) Monitoreo y Evaluación </v>
      </c>
      <c r="H108" s="334"/>
      <c r="I108" s="334"/>
      <c r="J108" s="334"/>
      <c r="K108" s="334"/>
      <c r="L108" s="334"/>
      <c r="M108" s="335"/>
      <c r="O108" s="2"/>
    </row>
    <row r="109" spans="2:15" ht="17.25" customHeight="1" x14ac:dyDescent="0.25">
      <c r="B109" s="2"/>
      <c r="D109" s="331"/>
      <c r="E109" s="332"/>
      <c r="F109" s="19" t="s">
        <v>2042</v>
      </c>
      <c r="G109" s="333" t="str">
        <f>+IF(M23="Si","Coordinador(a) Planeación y Sistemas","")</f>
        <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70" priority="33">
      <formula>+IF($F$43="no",1,0)</formula>
    </cfRule>
  </conditionalFormatting>
  <conditionalFormatting sqref="F32:M32">
    <cfRule type="expression" dxfId="169" priority="32">
      <formula>+IF($Q$30="NA",1,0)</formula>
    </cfRule>
  </conditionalFormatting>
  <conditionalFormatting sqref="F47:M47">
    <cfRule type="expression" dxfId="168" priority="30">
      <formula>+IF($Q$47=0,1,0)</formula>
    </cfRule>
  </conditionalFormatting>
  <conditionalFormatting sqref="F73:G73">
    <cfRule type="cellIs" dxfId="167" priority="16" operator="equal">
      <formula>"optimo"</formula>
    </cfRule>
    <cfRule type="cellIs" dxfId="166" priority="17" operator="equal">
      <formula>"critico"</formula>
    </cfRule>
  </conditionalFormatting>
  <conditionalFormatting sqref="H73:I73">
    <cfRule type="cellIs" dxfId="165" priority="14" operator="equal">
      <formula>"Adecuado"</formula>
    </cfRule>
    <cfRule type="cellIs" dxfId="164" priority="15" operator="equal">
      <formula>"en riesgo"</formula>
    </cfRule>
  </conditionalFormatting>
  <conditionalFormatting sqref="J73:K73">
    <cfRule type="cellIs" dxfId="163" priority="12" operator="equal">
      <formula>"Adecuado"</formula>
    </cfRule>
    <cfRule type="cellIs" dxfId="162" priority="13" operator="equal">
      <formula>"en riesgo"</formula>
    </cfRule>
  </conditionalFormatting>
  <conditionalFormatting sqref="L73:M73">
    <cfRule type="cellIs" dxfId="161" priority="10" operator="equal">
      <formula>"optimo"</formula>
    </cfRule>
    <cfRule type="cellIs" dxfId="160" priority="11" operator="equal">
      <formula>"critico"</formula>
    </cfRule>
  </conditionalFormatting>
  <conditionalFormatting sqref="F75:M86">
    <cfRule type="expression" dxfId="159" priority="9">
      <formula>+IF($AK75=0,1)</formula>
    </cfRule>
  </conditionalFormatting>
  <conditionalFormatting sqref="F103:G104">
    <cfRule type="expression" dxfId="158" priority="8">
      <formula>+IF($G$102="No",1,0)</formula>
    </cfRule>
  </conditionalFormatting>
  <conditionalFormatting sqref="F51">
    <cfRule type="expression" dxfId="157" priority="7">
      <formula>+IF($F$43="no",1,0)</formula>
    </cfRule>
  </conditionalFormatting>
  <conditionalFormatting sqref="I51">
    <cfRule type="expression" dxfId="156" priority="6">
      <formula>+IF($F$51="no",1,0)</formula>
    </cfRule>
  </conditionalFormatting>
  <conditionalFormatting sqref="F33:M33">
    <cfRule type="expression" dxfId="155" priority="5">
      <formula>+IF($Q$30="NA",1,0)</formula>
    </cfRule>
  </conditionalFormatting>
  <conditionalFormatting sqref="F33:M33">
    <cfRule type="expression" dxfId="154" priority="4">
      <formula>+IF($Q$33=0,1,0)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BY185"/>
  <sheetViews>
    <sheetView topLeftCell="M1" workbookViewId="0">
      <selection activeCell="U32" sqref="U32"/>
    </sheetView>
  </sheetViews>
  <sheetFormatPr baseColWidth="10" defaultRowHeight="12" x14ac:dyDescent="0.2"/>
  <cols>
    <col min="1" max="5" width="11.42578125" style="139"/>
    <col min="6" max="6" width="17.5703125" style="139" bestFit="1" customWidth="1"/>
    <col min="7" max="7" width="7.7109375" style="139" customWidth="1"/>
    <col min="8" max="8" width="9" style="139" customWidth="1"/>
    <col min="9" max="9" width="12.5703125" style="139" customWidth="1"/>
    <col min="10" max="10" width="12.5703125" style="139" bestFit="1" customWidth="1"/>
    <col min="11" max="11" width="12.85546875" style="139" customWidth="1"/>
    <col min="12" max="12" width="9" style="139" customWidth="1"/>
    <col min="13" max="13" width="42.42578125" style="139" customWidth="1"/>
    <col min="14" max="14" width="11.85546875" style="139" customWidth="1"/>
    <col min="15" max="15" width="10.28515625" style="139" customWidth="1"/>
    <col min="16" max="16" width="11.42578125" style="139"/>
    <col min="17" max="17" width="4.5703125" style="139" bestFit="1" customWidth="1"/>
    <col min="18" max="18" width="11.42578125" style="141"/>
    <col min="19" max="25" width="11.42578125" style="139"/>
    <col min="26" max="26" width="8.140625" style="141" customWidth="1"/>
    <col min="27" max="29" width="11.42578125" style="139"/>
    <col min="30" max="30" width="12.5703125" style="139" bestFit="1" customWidth="1"/>
    <col min="31" max="31" width="43.7109375" style="139" customWidth="1"/>
    <col min="32" max="32" width="5.140625" style="139" bestFit="1" customWidth="1"/>
    <col min="33" max="33" width="4.5703125" style="139" customWidth="1"/>
    <col min="34" max="34" width="3.5703125" style="141" customWidth="1"/>
    <col min="35" max="35" width="6.140625" style="146" customWidth="1"/>
    <col min="36" max="38" width="11.42578125" style="139"/>
    <col min="39" max="39" width="11.42578125" style="161"/>
    <col min="40" max="40" width="43.7109375" style="139" bestFit="1" customWidth="1"/>
    <col min="41" max="41" width="11.7109375" style="141" customWidth="1"/>
    <col min="42" max="42" width="11.7109375" style="155" customWidth="1"/>
    <col min="43" max="43" width="11.7109375" style="141" customWidth="1"/>
    <col min="44" max="44" width="8.42578125" style="155" customWidth="1"/>
    <col min="45" max="45" width="8.42578125" style="141" customWidth="1"/>
    <col min="46" max="46" width="8.42578125" style="155" customWidth="1"/>
    <col min="47" max="60" width="11.42578125" style="139"/>
    <col min="61" max="61" width="43.7109375" style="139" bestFit="1" customWidth="1"/>
    <col min="62" max="65" width="11.7109375" style="139" customWidth="1"/>
    <col min="66" max="66" width="15.7109375" style="139" customWidth="1"/>
    <col min="67" max="67" width="13.42578125" style="139" customWidth="1"/>
    <col min="68" max="68" width="15.140625" style="139" customWidth="1"/>
    <col min="69" max="69" width="15.28515625" style="139" customWidth="1"/>
    <col min="70" max="70" width="13.7109375" style="139" bestFit="1" customWidth="1"/>
    <col min="71" max="71" width="13.28515625" style="139" bestFit="1" customWidth="1"/>
    <col min="72" max="72" width="14.28515625" style="139" bestFit="1" customWidth="1"/>
    <col min="73" max="73" width="10.28515625" style="139" customWidth="1"/>
    <col min="74" max="74" width="9" style="139" customWidth="1"/>
    <col min="75" max="75" width="9.5703125" style="139" customWidth="1"/>
    <col min="76" max="76" width="9.42578125" style="139" customWidth="1"/>
    <col min="77" max="77" width="9.28515625" style="139" customWidth="1"/>
    <col min="78" max="16384" width="11.42578125" style="139"/>
  </cols>
  <sheetData>
    <row r="1" spans="1:77" x14ac:dyDescent="0.2">
      <c r="A1" s="139" t="s">
        <v>1938</v>
      </c>
      <c r="B1" s="139" t="s">
        <v>1939</v>
      </c>
      <c r="C1" s="139" t="s">
        <v>1940</v>
      </c>
      <c r="F1" s="140" t="s">
        <v>1633</v>
      </c>
      <c r="G1" s="140" t="s">
        <v>1964</v>
      </c>
      <c r="H1" s="140" t="s">
        <v>1941</v>
      </c>
      <c r="K1" s="140" t="s">
        <v>1941</v>
      </c>
      <c r="L1" s="140" t="s">
        <v>1965</v>
      </c>
      <c r="M1" s="140" t="s">
        <v>1598</v>
      </c>
      <c r="N1" s="139" t="s">
        <v>1963</v>
      </c>
      <c r="AD1" s="140" t="s">
        <v>1633</v>
      </c>
      <c r="AE1" s="140" t="s">
        <v>1950</v>
      </c>
      <c r="AF1" s="140" t="s">
        <v>1561</v>
      </c>
      <c r="AG1" s="140" t="s">
        <v>1562</v>
      </c>
      <c r="AH1" s="141" t="s">
        <v>2014</v>
      </c>
      <c r="AI1" s="158" t="s">
        <v>2013</v>
      </c>
      <c r="AP1" s="141"/>
      <c r="AR1" s="141"/>
      <c r="AT1" s="141"/>
    </row>
    <row r="2" spans="1:77" ht="15" x14ac:dyDescent="0.25">
      <c r="A2" s="36" t="s">
        <v>112</v>
      </c>
      <c r="B2" s="139" t="s">
        <v>98</v>
      </c>
      <c r="C2" s="139" t="s">
        <v>519</v>
      </c>
      <c r="F2" s="139" t="s">
        <v>109</v>
      </c>
      <c r="G2" s="139" t="s">
        <v>112</v>
      </c>
      <c r="H2" s="139" t="s">
        <v>519</v>
      </c>
      <c r="K2" s="139" t="s">
        <v>103</v>
      </c>
      <c r="L2" s="139" t="s">
        <v>501</v>
      </c>
      <c r="M2" s="139" t="s">
        <v>502</v>
      </c>
      <c r="N2" s="142">
        <v>32</v>
      </c>
      <c r="AD2" s="139" t="s">
        <v>109</v>
      </c>
      <c r="AE2" s="139" t="s">
        <v>111</v>
      </c>
      <c r="AH2" s="156">
        <v>19</v>
      </c>
      <c r="AI2" s="158">
        <v>8.6842552126120701E-2</v>
      </c>
      <c r="AO2" s="319" t="s">
        <v>2015</v>
      </c>
      <c r="AP2" s="319"/>
      <c r="AQ2" s="319" t="s">
        <v>1969</v>
      </c>
      <c r="AR2" s="319"/>
      <c r="AS2" s="319" t="s">
        <v>2016</v>
      </c>
      <c r="AT2" s="319"/>
      <c r="BJ2" s="140" t="s">
        <v>1559</v>
      </c>
      <c r="BK2" s="140" t="s">
        <v>2048</v>
      </c>
      <c r="BR2"/>
      <c r="BS2"/>
      <c r="BT2"/>
      <c r="BU2" s="140" t="s">
        <v>1941</v>
      </c>
      <c r="BV2" s="139" t="s">
        <v>2055</v>
      </c>
      <c r="BW2" s="139" t="s">
        <v>2056</v>
      </c>
      <c r="BX2" s="139" t="s">
        <v>2057</v>
      </c>
    </row>
    <row r="3" spans="1:77" ht="15" x14ac:dyDescent="0.25">
      <c r="A3" s="36" t="s">
        <v>114</v>
      </c>
      <c r="B3" s="139" t="s">
        <v>98</v>
      </c>
      <c r="C3" s="139" t="s">
        <v>519</v>
      </c>
      <c r="G3" s="139" t="s">
        <v>114</v>
      </c>
      <c r="H3" s="139" t="s">
        <v>519</v>
      </c>
      <c r="L3" s="139" t="s">
        <v>1250</v>
      </c>
      <c r="M3" s="139" t="s">
        <v>1251</v>
      </c>
      <c r="N3" s="142">
        <v>5</v>
      </c>
      <c r="AD3" s="139" t="s">
        <v>144</v>
      </c>
      <c r="AE3" s="139" t="s">
        <v>146</v>
      </c>
      <c r="AH3" s="156">
        <v>12</v>
      </c>
      <c r="AI3" s="158">
        <v>5.9657093342866403E-2</v>
      </c>
      <c r="AN3" s="164" t="s">
        <v>1950</v>
      </c>
      <c r="AO3" s="165" t="s">
        <v>2014</v>
      </c>
      <c r="AP3" s="166" t="s">
        <v>2013</v>
      </c>
      <c r="AQ3" s="165" t="s">
        <v>2014</v>
      </c>
      <c r="AR3" s="166" t="s">
        <v>2013</v>
      </c>
      <c r="AS3" s="165" t="s">
        <v>2014</v>
      </c>
      <c r="AT3" s="166" t="s">
        <v>2013</v>
      </c>
      <c r="BJ3" s="139" t="s">
        <v>1564</v>
      </c>
      <c r="BN3" s="139" t="s">
        <v>2051</v>
      </c>
      <c r="BO3" s="139" t="s">
        <v>2049</v>
      </c>
      <c r="BP3" s="139" t="s">
        <v>2053</v>
      </c>
      <c r="BQ3" s="139" t="s">
        <v>2054</v>
      </c>
      <c r="BR3"/>
      <c r="BS3"/>
      <c r="BT3"/>
      <c r="BU3" s="139" t="s">
        <v>103</v>
      </c>
      <c r="BV3" s="142">
        <v>75</v>
      </c>
      <c r="BW3" s="142">
        <v>42</v>
      </c>
      <c r="BX3" s="142">
        <v>22</v>
      </c>
    </row>
    <row r="4" spans="1:77" ht="15" x14ac:dyDescent="0.25">
      <c r="A4" s="36" t="s">
        <v>115</v>
      </c>
      <c r="B4" s="139" t="s">
        <v>98</v>
      </c>
      <c r="C4" s="139" t="s">
        <v>533</v>
      </c>
      <c r="G4" s="139" t="s">
        <v>115</v>
      </c>
      <c r="H4" s="139" t="s">
        <v>533</v>
      </c>
      <c r="L4" s="139" t="s">
        <v>1126</v>
      </c>
      <c r="M4" s="139" t="s">
        <v>1127</v>
      </c>
      <c r="N4" s="142">
        <v>5</v>
      </c>
      <c r="AD4" s="139" t="s">
        <v>168</v>
      </c>
      <c r="AE4" s="139" t="s">
        <v>170</v>
      </c>
      <c r="AH4" s="156">
        <v>5</v>
      </c>
      <c r="AI4" s="158">
        <v>3.5842079220813047E-2</v>
      </c>
      <c r="AM4" s="325" t="s">
        <v>2018</v>
      </c>
      <c r="AN4" s="139" t="s">
        <v>111</v>
      </c>
      <c r="AO4" s="156">
        <f>+AH2</f>
        <v>19</v>
      </c>
      <c r="AP4" s="146">
        <f>+AI2</f>
        <v>8.6842552126120701E-2</v>
      </c>
      <c r="AQ4" s="169">
        <f>+AH32</f>
        <v>9</v>
      </c>
      <c r="AR4" s="170">
        <f>+AI32</f>
        <v>6.7270501835985319E-2</v>
      </c>
      <c r="AS4" s="169">
        <f>+AH62</f>
        <v>9</v>
      </c>
      <c r="AT4" s="170">
        <f>+AI62</f>
        <v>6.7270501835985319E-2</v>
      </c>
      <c r="BH4" s="140" t="s">
        <v>1633</v>
      </c>
      <c r="BI4" s="140" t="s">
        <v>1950</v>
      </c>
      <c r="BJ4" s="139" t="s">
        <v>2052</v>
      </c>
      <c r="BK4" s="139" t="s">
        <v>2050</v>
      </c>
      <c r="BL4" s="139" t="s">
        <v>26</v>
      </c>
      <c r="BM4" s="139" t="s">
        <v>31</v>
      </c>
      <c r="BR4"/>
      <c r="BS4"/>
      <c r="BT4"/>
      <c r="BU4" s="139" t="s">
        <v>519</v>
      </c>
      <c r="BV4" s="142">
        <v>30</v>
      </c>
      <c r="BW4" s="142">
        <v>15</v>
      </c>
      <c r="BX4" s="142">
        <v>6</v>
      </c>
    </row>
    <row r="5" spans="1:77" ht="15" x14ac:dyDescent="0.25">
      <c r="A5" s="36" t="s">
        <v>117</v>
      </c>
      <c r="B5" s="139" t="s">
        <v>98</v>
      </c>
      <c r="C5" s="139" t="s">
        <v>519</v>
      </c>
      <c r="G5" s="139" t="s">
        <v>117</v>
      </c>
      <c r="H5" s="139" t="s">
        <v>519</v>
      </c>
      <c r="L5" s="139" t="s">
        <v>1328</v>
      </c>
      <c r="M5" s="139" t="s">
        <v>991</v>
      </c>
      <c r="N5" s="142">
        <v>1</v>
      </c>
      <c r="AD5" s="139" t="s">
        <v>176</v>
      </c>
      <c r="AE5" s="139" t="s">
        <v>178</v>
      </c>
      <c r="AH5" s="156">
        <v>15</v>
      </c>
      <c r="AI5" s="158">
        <v>9.3661846662673534E-2</v>
      </c>
      <c r="AM5" s="325"/>
      <c r="AN5" s="139" t="s">
        <v>146</v>
      </c>
      <c r="AO5" s="156">
        <f t="shared" ref="AO5:AP7" si="0">+AH3</f>
        <v>12</v>
      </c>
      <c r="AP5" s="146">
        <f t="shared" si="0"/>
        <v>5.9657093342866403E-2</v>
      </c>
      <c r="AQ5" s="169">
        <f t="shared" ref="AQ5:AR5" si="1">+AH33</f>
        <v>7</v>
      </c>
      <c r="AR5" s="170">
        <f t="shared" si="1"/>
        <v>5.2190942472460221E-2</v>
      </c>
      <c r="AS5" s="169">
        <f t="shared" ref="AS5:AT5" si="2">+AH63</f>
        <v>7</v>
      </c>
      <c r="AT5" s="170">
        <f t="shared" si="2"/>
        <v>5.2190942472460221E-2</v>
      </c>
      <c r="BH5" s="139" t="s">
        <v>109</v>
      </c>
      <c r="BI5" s="139" t="s">
        <v>111</v>
      </c>
      <c r="BJ5" s="156">
        <v>11</v>
      </c>
      <c r="BK5" s="156">
        <v>4</v>
      </c>
      <c r="BL5" s="156">
        <v>2</v>
      </c>
      <c r="BM5" s="156">
        <v>2</v>
      </c>
      <c r="BN5" s="156">
        <v>11</v>
      </c>
      <c r="BO5" s="156">
        <v>4</v>
      </c>
      <c r="BP5" s="156">
        <v>2</v>
      </c>
      <c r="BQ5" s="156">
        <v>2</v>
      </c>
      <c r="BR5"/>
      <c r="BS5"/>
      <c r="BT5"/>
      <c r="BU5" s="139" t="s">
        <v>533</v>
      </c>
      <c r="BV5" s="142">
        <v>90</v>
      </c>
      <c r="BW5" s="142">
        <v>22</v>
      </c>
      <c r="BX5" s="142">
        <v>2</v>
      </c>
    </row>
    <row r="6" spans="1:77" ht="15" x14ac:dyDescent="0.25">
      <c r="A6" s="36" t="s">
        <v>119</v>
      </c>
      <c r="B6" s="139" t="s">
        <v>98</v>
      </c>
      <c r="C6" s="139" t="s">
        <v>519</v>
      </c>
      <c r="G6" s="139" t="s">
        <v>119</v>
      </c>
      <c r="H6" s="139" t="s">
        <v>519</v>
      </c>
      <c r="K6" s="143" t="s">
        <v>1966</v>
      </c>
      <c r="L6" s="143"/>
      <c r="M6" s="143"/>
      <c r="N6" s="144">
        <v>43</v>
      </c>
      <c r="P6" s="139" t="s">
        <v>2010</v>
      </c>
      <c r="Q6" s="145">
        <v>0.5</v>
      </c>
      <c r="R6" s="146">
        <f>+($N$17*Q6/N6)</f>
        <v>9.3023255813953487E-3</v>
      </c>
      <c r="U6" s="139">
        <v>106</v>
      </c>
      <c r="V6" s="139" t="s">
        <v>1969</v>
      </c>
      <c r="AD6" s="139" t="s">
        <v>202</v>
      </c>
      <c r="AE6" s="139" t="s">
        <v>238</v>
      </c>
      <c r="AH6" s="156">
        <v>4</v>
      </c>
      <c r="AI6" s="158">
        <v>2.7936046511627906E-2</v>
      </c>
      <c r="AM6" s="325"/>
      <c r="AN6" s="139" t="s">
        <v>170</v>
      </c>
      <c r="AO6" s="156">
        <f t="shared" si="0"/>
        <v>5</v>
      </c>
      <c r="AP6" s="146">
        <f t="shared" si="0"/>
        <v>3.5842079220813047E-2</v>
      </c>
      <c r="AQ6" s="169">
        <f t="shared" ref="AQ6:AR6" si="3">+AH34</f>
        <v>4</v>
      </c>
      <c r="AR6" s="170">
        <f t="shared" si="3"/>
        <v>3.4565483476132197E-2</v>
      </c>
      <c r="AS6" s="169">
        <f t="shared" ref="AS6:AT6" si="4">+AH64</f>
        <v>4</v>
      </c>
      <c r="AT6" s="170">
        <f t="shared" si="4"/>
        <v>3.4565483476132197E-2</v>
      </c>
      <c r="BH6" s="139" t="s">
        <v>144</v>
      </c>
      <c r="BI6" s="139" t="s">
        <v>146</v>
      </c>
      <c r="BJ6" s="156">
        <v>6</v>
      </c>
      <c r="BK6" s="156">
        <v>1</v>
      </c>
      <c r="BL6" s="156">
        <v>2</v>
      </c>
      <c r="BM6" s="156">
        <v>2</v>
      </c>
      <c r="BN6" s="156">
        <v>6</v>
      </c>
      <c r="BO6" s="156">
        <v>1</v>
      </c>
      <c r="BP6" s="156">
        <v>2</v>
      </c>
      <c r="BQ6" s="156">
        <v>2</v>
      </c>
      <c r="BR6"/>
      <c r="BS6"/>
      <c r="BT6"/>
      <c r="BU6" s="147" t="s">
        <v>1949</v>
      </c>
      <c r="BV6" s="148">
        <v>195</v>
      </c>
      <c r="BW6" s="148">
        <v>79</v>
      </c>
      <c r="BX6" s="148">
        <v>30</v>
      </c>
    </row>
    <row r="7" spans="1:77" ht="15" x14ac:dyDescent="0.25">
      <c r="A7" s="36" t="s">
        <v>120</v>
      </c>
      <c r="B7" s="139" t="s">
        <v>98</v>
      </c>
      <c r="C7" s="139" t="s">
        <v>519</v>
      </c>
      <c r="G7" s="139" t="s">
        <v>120</v>
      </c>
      <c r="H7" s="139" t="s">
        <v>519</v>
      </c>
      <c r="K7" s="139" t="s">
        <v>519</v>
      </c>
      <c r="L7" s="139" t="s">
        <v>501</v>
      </c>
      <c r="M7" s="139" t="s">
        <v>502</v>
      </c>
      <c r="N7" s="142">
        <v>19</v>
      </c>
      <c r="U7" s="139">
        <v>95</v>
      </c>
      <c r="V7" s="139" t="s">
        <v>1970</v>
      </c>
      <c r="AE7" s="139" t="s">
        <v>247</v>
      </c>
      <c r="AH7" s="156">
        <v>5</v>
      </c>
      <c r="AI7" s="158">
        <v>2.9796511627906974E-2</v>
      </c>
      <c r="AM7" s="325"/>
      <c r="AN7" s="139" t="s">
        <v>178</v>
      </c>
      <c r="AO7" s="156">
        <f t="shared" si="0"/>
        <v>15</v>
      </c>
      <c r="AP7" s="146">
        <f t="shared" si="0"/>
        <v>9.3661846662673534E-2</v>
      </c>
      <c r="AQ7" s="169">
        <f t="shared" ref="AQ7:AR7" si="5">+AH35</f>
        <v>9</v>
      </c>
      <c r="AR7" s="170">
        <f t="shared" si="5"/>
        <v>7.3635250917992667E-2</v>
      </c>
      <c r="AS7" s="169">
        <f t="shared" ref="AS7:AT7" si="6">+AH65</f>
        <v>7</v>
      </c>
      <c r="AT7" s="170">
        <f t="shared" si="6"/>
        <v>5.5030599755201956E-2</v>
      </c>
      <c r="BH7" s="139" t="s">
        <v>168</v>
      </c>
      <c r="BI7" s="139" t="s">
        <v>170</v>
      </c>
      <c r="BJ7" s="156">
        <v>1</v>
      </c>
      <c r="BK7" s="156">
        <v>1</v>
      </c>
      <c r="BL7" s="156">
        <v>1</v>
      </c>
      <c r="BM7" s="156">
        <v>1</v>
      </c>
      <c r="BN7" s="156">
        <v>1</v>
      </c>
      <c r="BO7" s="156">
        <v>1</v>
      </c>
      <c r="BP7" s="156">
        <v>1</v>
      </c>
      <c r="BQ7" s="156">
        <v>1</v>
      </c>
      <c r="BR7"/>
      <c r="BS7"/>
      <c r="BT7"/>
      <c r="BU7"/>
      <c r="BV7"/>
      <c r="BW7"/>
      <c r="BX7"/>
    </row>
    <row r="8" spans="1:77" ht="15" x14ac:dyDescent="0.25">
      <c r="A8" s="36" t="s">
        <v>122</v>
      </c>
      <c r="B8" s="139" t="s">
        <v>98</v>
      </c>
      <c r="C8" s="139" t="s">
        <v>533</v>
      </c>
      <c r="G8" s="139" t="s">
        <v>122</v>
      </c>
      <c r="H8" s="139" t="s">
        <v>533</v>
      </c>
      <c r="K8" s="143" t="s">
        <v>1967</v>
      </c>
      <c r="L8" s="143"/>
      <c r="M8" s="143"/>
      <c r="N8" s="144">
        <v>19</v>
      </c>
      <c r="P8" s="139" t="s">
        <v>2011</v>
      </c>
      <c r="Q8" s="145">
        <v>0.2</v>
      </c>
      <c r="R8" s="146">
        <f>+($N$17*Q8/N8)</f>
        <v>8.4210526315789489E-3</v>
      </c>
      <c r="AE8" s="139" t="s">
        <v>204</v>
      </c>
      <c r="AH8" s="156">
        <v>18</v>
      </c>
      <c r="AI8" s="158">
        <v>8.589374072241468E-2</v>
      </c>
      <c r="AM8" s="325"/>
      <c r="AN8" s="139" t="s">
        <v>2017</v>
      </c>
      <c r="AO8" s="162">
        <f>+SUM(AO9:AO11)</f>
        <v>27</v>
      </c>
      <c r="AP8" s="171">
        <f>+SUM(AP9:AP11)</f>
        <v>0.14362629886194955</v>
      </c>
      <c r="AQ8" s="162">
        <f t="shared" ref="AQ8:AT8" si="7">+SUM(AQ9:AQ11)</f>
        <v>15</v>
      </c>
      <c r="AR8" s="171">
        <f t="shared" si="7"/>
        <v>0.10604651162790699</v>
      </c>
      <c r="AS8" s="162">
        <f t="shared" si="7"/>
        <v>9</v>
      </c>
      <c r="AT8" s="171">
        <f t="shared" si="7"/>
        <v>5.7674418604651161E-2</v>
      </c>
      <c r="BH8" s="139" t="s">
        <v>176</v>
      </c>
      <c r="BI8" s="139" t="s">
        <v>178</v>
      </c>
      <c r="BJ8" s="156">
        <v>9</v>
      </c>
      <c r="BK8" s="156">
        <v>9</v>
      </c>
      <c r="BL8" s="156">
        <v>4</v>
      </c>
      <c r="BM8" s="156">
        <v>2</v>
      </c>
      <c r="BN8" s="156">
        <v>9</v>
      </c>
      <c r="BO8" s="156">
        <v>9</v>
      </c>
      <c r="BP8" s="156">
        <v>4</v>
      </c>
      <c r="BQ8" s="156">
        <v>2</v>
      </c>
      <c r="BR8"/>
      <c r="BS8"/>
      <c r="BT8"/>
      <c r="BU8" s="140" t="s">
        <v>1944</v>
      </c>
      <c r="BV8" s="140" t="s">
        <v>1941</v>
      </c>
      <c r="BW8" s="139" t="s">
        <v>2055</v>
      </c>
      <c r="BX8" s="139" t="s">
        <v>2056</v>
      </c>
      <c r="BY8" s="139" t="s">
        <v>2057</v>
      </c>
    </row>
    <row r="9" spans="1:77" ht="15" x14ac:dyDescent="0.25">
      <c r="A9" s="36" t="s">
        <v>123</v>
      </c>
      <c r="B9" s="139" t="s">
        <v>98</v>
      </c>
      <c r="C9" s="139" t="s">
        <v>533</v>
      </c>
      <c r="G9" s="139" t="s">
        <v>123</v>
      </c>
      <c r="H9" s="139" t="s">
        <v>533</v>
      </c>
      <c r="K9" s="139" t="s">
        <v>533</v>
      </c>
      <c r="L9" s="139" t="s">
        <v>501</v>
      </c>
      <c r="M9" s="139" t="s">
        <v>502</v>
      </c>
      <c r="N9" s="142">
        <v>28</v>
      </c>
      <c r="AD9" s="139" t="s">
        <v>257</v>
      </c>
      <c r="AE9" s="139" t="s">
        <v>259</v>
      </c>
      <c r="AH9" s="156">
        <v>19</v>
      </c>
      <c r="AI9" s="158">
        <v>7.7918728352300848E-2</v>
      </c>
      <c r="AN9" s="160" t="s">
        <v>238</v>
      </c>
      <c r="AO9" s="172">
        <f>+AH6</f>
        <v>4</v>
      </c>
      <c r="AP9" s="173">
        <f>+AI6</f>
        <v>2.7936046511627906E-2</v>
      </c>
      <c r="AQ9" s="172">
        <f>+AH36</f>
        <v>3</v>
      </c>
      <c r="AR9" s="173">
        <f>+AI36</f>
        <v>2.4186046511627906E-2</v>
      </c>
      <c r="AS9" s="172">
        <f>+AH66</f>
        <v>2</v>
      </c>
      <c r="AT9" s="173">
        <f>+AI66</f>
        <v>1.4883720930232557E-2</v>
      </c>
      <c r="BH9" s="139" t="s">
        <v>202</v>
      </c>
      <c r="BI9" s="139" t="s">
        <v>238</v>
      </c>
      <c r="BJ9" s="156">
        <v>4</v>
      </c>
      <c r="BK9" s="156"/>
      <c r="BL9" s="156">
        <v>3</v>
      </c>
      <c r="BM9" s="156">
        <v>2</v>
      </c>
      <c r="BN9" s="156">
        <v>4</v>
      </c>
      <c r="BO9" s="156"/>
      <c r="BP9" s="156">
        <v>3</v>
      </c>
      <c r="BQ9" s="156">
        <v>2</v>
      </c>
      <c r="BR9"/>
      <c r="BS9"/>
      <c r="BT9"/>
      <c r="BU9" s="139" t="s">
        <v>98</v>
      </c>
      <c r="BV9" s="139" t="s">
        <v>103</v>
      </c>
      <c r="BW9" s="142">
        <v>65</v>
      </c>
      <c r="BX9" s="142">
        <v>36</v>
      </c>
      <c r="BY9" s="142">
        <v>19</v>
      </c>
    </row>
    <row r="10" spans="1:77" ht="15" x14ac:dyDescent="0.25">
      <c r="A10" s="36" t="s">
        <v>124</v>
      </c>
      <c r="B10" s="139" t="s">
        <v>98</v>
      </c>
      <c r="C10" s="139" t="s">
        <v>533</v>
      </c>
      <c r="G10" s="139" t="s">
        <v>125</v>
      </c>
      <c r="H10" s="139" t="s">
        <v>519</v>
      </c>
      <c r="L10" s="139" t="s">
        <v>1250</v>
      </c>
      <c r="M10" s="139" t="s">
        <v>1251</v>
      </c>
      <c r="N10" s="142">
        <v>1</v>
      </c>
      <c r="AE10" s="139" t="s">
        <v>291</v>
      </c>
      <c r="AH10" s="156">
        <v>7</v>
      </c>
      <c r="AI10" s="158">
        <v>2.7529883590718507E-2</v>
      </c>
      <c r="AN10" s="160" t="s">
        <v>247</v>
      </c>
      <c r="AO10" s="172">
        <f t="shared" ref="AO10:AP30" si="8">+AH7</f>
        <v>5</v>
      </c>
      <c r="AP10" s="173">
        <f t="shared" si="8"/>
        <v>2.9796511627906974E-2</v>
      </c>
      <c r="AQ10" s="172">
        <f t="shared" ref="AQ10:AR10" si="9">+AH37</f>
        <v>4</v>
      </c>
      <c r="AR10" s="173">
        <f t="shared" si="9"/>
        <v>2.6046511627906974E-2</v>
      </c>
      <c r="AS10" s="172">
        <f t="shared" ref="AS10:AT10" si="10">+AH67</f>
        <v>4</v>
      </c>
      <c r="AT10" s="173">
        <f t="shared" si="10"/>
        <v>2.6046511627906978E-2</v>
      </c>
      <c r="BI10" s="139" t="s">
        <v>247</v>
      </c>
      <c r="BJ10" s="156">
        <v>2</v>
      </c>
      <c r="BK10" s="156"/>
      <c r="BL10" s="156">
        <v>1</v>
      </c>
      <c r="BM10" s="156">
        <v>1</v>
      </c>
      <c r="BN10" s="156">
        <v>2</v>
      </c>
      <c r="BO10" s="156"/>
      <c r="BP10" s="156">
        <v>1</v>
      </c>
      <c r="BQ10" s="156">
        <v>1</v>
      </c>
      <c r="BR10"/>
      <c r="BS10"/>
      <c r="BT10"/>
      <c r="BV10" s="139" t="s">
        <v>519</v>
      </c>
      <c r="BW10" s="142">
        <v>29</v>
      </c>
      <c r="BX10" s="142">
        <v>15</v>
      </c>
      <c r="BY10" s="142">
        <v>6</v>
      </c>
    </row>
    <row r="11" spans="1:77" ht="15" x14ac:dyDescent="0.25">
      <c r="A11" s="36" t="s">
        <v>125</v>
      </c>
      <c r="B11" s="139" t="s">
        <v>98</v>
      </c>
      <c r="C11" s="139" t="s">
        <v>519</v>
      </c>
      <c r="F11" s="139" t="s">
        <v>144</v>
      </c>
      <c r="G11" s="139" t="s">
        <v>147</v>
      </c>
      <c r="H11" s="139" t="s">
        <v>533</v>
      </c>
      <c r="L11" s="139" t="s">
        <v>948</v>
      </c>
      <c r="M11" s="139" t="s">
        <v>949</v>
      </c>
      <c r="N11" s="142">
        <v>4</v>
      </c>
      <c r="AE11" s="139" t="s">
        <v>303</v>
      </c>
      <c r="AH11" s="156">
        <v>2</v>
      </c>
      <c r="AI11" s="158">
        <v>1.8604651162790697E-2</v>
      </c>
      <c r="AN11" s="160" t="s">
        <v>204</v>
      </c>
      <c r="AO11" s="172">
        <f t="shared" si="8"/>
        <v>18</v>
      </c>
      <c r="AP11" s="173">
        <f t="shared" si="8"/>
        <v>8.589374072241468E-2</v>
      </c>
      <c r="AQ11" s="172">
        <f t="shared" ref="AQ11:AR11" si="11">+AH38</f>
        <v>8</v>
      </c>
      <c r="AR11" s="173">
        <f t="shared" si="11"/>
        <v>5.5813953488372106E-2</v>
      </c>
      <c r="AS11" s="172">
        <f t="shared" ref="AS11:AT11" si="12">+AH68</f>
        <v>3</v>
      </c>
      <c r="AT11" s="173">
        <f t="shared" si="12"/>
        <v>1.6744186046511629E-2</v>
      </c>
      <c r="BI11" s="139" t="s">
        <v>204</v>
      </c>
      <c r="BJ11" s="156">
        <v>12</v>
      </c>
      <c r="BK11" s="156">
        <v>8</v>
      </c>
      <c r="BL11" s="156">
        <v>3</v>
      </c>
      <c r="BM11" s="156"/>
      <c r="BN11" s="156">
        <v>12</v>
      </c>
      <c r="BO11" s="156">
        <v>8</v>
      </c>
      <c r="BP11" s="156">
        <v>3</v>
      </c>
      <c r="BQ11" s="156"/>
      <c r="BR11"/>
      <c r="BS11"/>
      <c r="BT11"/>
      <c r="BV11" s="139" t="s">
        <v>533</v>
      </c>
      <c r="BW11" s="142">
        <v>60</v>
      </c>
      <c r="BX11" s="142">
        <v>16</v>
      </c>
      <c r="BY11" s="142">
        <v>2</v>
      </c>
    </row>
    <row r="12" spans="1:77" ht="15" x14ac:dyDescent="0.25">
      <c r="A12" s="36" t="s">
        <v>127</v>
      </c>
      <c r="B12" s="139" t="s">
        <v>98</v>
      </c>
      <c r="C12" s="139" t="s">
        <v>519</v>
      </c>
      <c r="G12" s="139" t="s">
        <v>149</v>
      </c>
      <c r="H12" s="139" t="s">
        <v>533</v>
      </c>
      <c r="L12" s="139" t="s">
        <v>1126</v>
      </c>
      <c r="M12" s="139" t="s">
        <v>1127</v>
      </c>
      <c r="N12" s="142">
        <v>4</v>
      </c>
      <c r="AE12" s="139" t="s">
        <v>308</v>
      </c>
      <c r="AH12" s="156">
        <v>13</v>
      </c>
      <c r="AI12" s="158">
        <v>3.3814943097476492E-2</v>
      </c>
      <c r="AM12" s="325" t="s">
        <v>2019</v>
      </c>
      <c r="AN12" s="139" t="s">
        <v>259</v>
      </c>
      <c r="AO12" s="162">
        <f t="shared" si="8"/>
        <v>19</v>
      </c>
      <c r="AP12" s="171">
        <f t="shared" si="8"/>
        <v>7.7918728352300848E-2</v>
      </c>
      <c r="AQ12" s="169">
        <f t="shared" ref="AQ12:AR12" si="13">+AH39</f>
        <v>7</v>
      </c>
      <c r="AR12" s="170">
        <f t="shared" si="13"/>
        <v>5.0232558139534894E-2</v>
      </c>
      <c r="AS12" s="169">
        <f t="shared" ref="AS12:AT12" si="14">+AH69</f>
        <v>2</v>
      </c>
      <c r="AT12" s="170">
        <f t="shared" si="14"/>
        <v>1.1162790697674419E-2</v>
      </c>
      <c r="BH12" s="139" t="s">
        <v>257</v>
      </c>
      <c r="BI12" s="139" t="s">
        <v>259</v>
      </c>
      <c r="BJ12" s="156">
        <v>8</v>
      </c>
      <c r="BK12" s="156"/>
      <c r="BL12" s="156"/>
      <c r="BM12" s="156"/>
      <c r="BN12" s="156">
        <v>8</v>
      </c>
      <c r="BO12" s="156"/>
      <c r="BP12" s="156"/>
      <c r="BQ12" s="156"/>
      <c r="BR12"/>
      <c r="BS12"/>
      <c r="BT12"/>
      <c r="BU12" s="139" t="s">
        <v>1971</v>
      </c>
      <c r="BW12" s="142">
        <v>154</v>
      </c>
      <c r="BX12" s="142">
        <v>67</v>
      </c>
      <c r="BY12" s="142">
        <v>27</v>
      </c>
    </row>
    <row r="13" spans="1:77" ht="15" x14ac:dyDescent="0.25">
      <c r="A13" s="36" t="s">
        <v>129</v>
      </c>
      <c r="B13" s="139" t="s">
        <v>98</v>
      </c>
      <c r="C13" s="139" t="s">
        <v>519</v>
      </c>
      <c r="G13" s="139" t="s">
        <v>151</v>
      </c>
      <c r="H13" s="139" t="s">
        <v>103</v>
      </c>
      <c r="L13" s="139" t="s">
        <v>1328</v>
      </c>
      <c r="M13" s="139" t="s">
        <v>991</v>
      </c>
      <c r="N13" s="142">
        <v>6</v>
      </c>
      <c r="AE13" s="139" t="s">
        <v>334</v>
      </c>
      <c r="AH13" s="156">
        <v>5</v>
      </c>
      <c r="AI13" s="158">
        <v>1.4992577931716971E-2</v>
      </c>
      <c r="AM13" s="325"/>
      <c r="AN13" s="139" t="s">
        <v>291</v>
      </c>
      <c r="AO13" s="269">
        <f t="shared" si="8"/>
        <v>7</v>
      </c>
      <c r="AP13" s="171">
        <f t="shared" si="8"/>
        <v>2.7529883590718507E-2</v>
      </c>
      <c r="AQ13" s="169">
        <f t="shared" ref="AQ13:AR13" si="15">+AH40</f>
        <v>3</v>
      </c>
      <c r="AR13" s="170">
        <f t="shared" si="15"/>
        <v>2.2423500611995106E-2</v>
      </c>
      <c r="AS13" s="169">
        <f t="shared" ref="AS13:AT13" si="16">+AH70</f>
        <v>2</v>
      </c>
      <c r="AT13" s="170">
        <f t="shared" si="16"/>
        <v>1.6842105263157898E-2</v>
      </c>
      <c r="BI13" s="139" t="s">
        <v>291</v>
      </c>
      <c r="BJ13" s="156">
        <v>2</v>
      </c>
      <c r="BK13" s="156"/>
      <c r="BL13" s="156">
        <v>1</v>
      </c>
      <c r="BM13" s="156"/>
      <c r="BN13" s="156">
        <v>2</v>
      </c>
      <c r="BO13" s="156"/>
      <c r="BP13" s="156">
        <v>1</v>
      </c>
      <c r="BQ13" s="156"/>
      <c r="BR13"/>
      <c r="BS13"/>
      <c r="BT13"/>
      <c r="BU13" s="139" t="s">
        <v>683</v>
      </c>
      <c r="BV13" s="139" t="s">
        <v>103</v>
      </c>
      <c r="BW13" s="142">
        <v>10</v>
      </c>
      <c r="BX13" s="142">
        <v>6</v>
      </c>
      <c r="BY13" s="142">
        <v>3</v>
      </c>
    </row>
    <row r="14" spans="1:77" ht="15" x14ac:dyDescent="0.25">
      <c r="A14" s="36" t="s">
        <v>130</v>
      </c>
      <c r="B14" s="139" t="s">
        <v>98</v>
      </c>
      <c r="C14" s="139" t="s">
        <v>519</v>
      </c>
      <c r="G14" s="139" t="s">
        <v>153</v>
      </c>
      <c r="H14" s="139" t="s">
        <v>103</v>
      </c>
      <c r="K14" s="143" t="s">
        <v>1968</v>
      </c>
      <c r="L14" s="143"/>
      <c r="M14" s="143"/>
      <c r="N14" s="144">
        <v>43</v>
      </c>
      <c r="P14" s="139" t="s">
        <v>2012</v>
      </c>
      <c r="Q14" s="145">
        <v>0.3</v>
      </c>
      <c r="R14" s="146">
        <f>+($N$17*Q14/N14)</f>
        <v>5.5813953488372094E-3</v>
      </c>
      <c r="AE14" s="139" t="s">
        <v>343</v>
      </c>
      <c r="AH14" s="156">
        <v>5</v>
      </c>
      <c r="AI14" s="158">
        <v>1.0687778327560613E-2</v>
      </c>
      <c r="AM14" s="325"/>
      <c r="AN14" s="139" t="s">
        <v>303</v>
      </c>
      <c r="AO14" s="269">
        <f t="shared" si="8"/>
        <v>2</v>
      </c>
      <c r="AP14" s="171">
        <f t="shared" si="8"/>
        <v>1.8604651162790697E-2</v>
      </c>
      <c r="AQ14" s="169">
        <f t="shared" ref="AQ14:AR14" si="17">+AH41</f>
        <v>2</v>
      </c>
      <c r="AR14" s="170">
        <f t="shared" si="17"/>
        <v>1.8604651162790697E-2</v>
      </c>
      <c r="AS14" s="169">
        <f t="shared" ref="AS14:AT14" si="18">+AH71</f>
        <v>1</v>
      </c>
      <c r="AT14" s="170">
        <f t="shared" si="18"/>
        <v>9.3023255813953487E-3</v>
      </c>
      <c r="BI14" s="139" t="s">
        <v>303</v>
      </c>
      <c r="BJ14" s="156">
        <v>1</v>
      </c>
      <c r="BK14" s="156"/>
      <c r="BL14" s="156">
        <v>1</v>
      </c>
      <c r="BM14" s="156"/>
      <c r="BN14" s="156">
        <v>1</v>
      </c>
      <c r="BO14" s="156"/>
      <c r="BP14" s="156">
        <v>1</v>
      </c>
      <c r="BQ14" s="156"/>
      <c r="BR14"/>
      <c r="BS14"/>
      <c r="BT14"/>
      <c r="BV14" s="139" t="s">
        <v>519</v>
      </c>
      <c r="BW14" s="142">
        <v>1</v>
      </c>
      <c r="BX14" s="142"/>
      <c r="BY14" s="142"/>
    </row>
    <row r="15" spans="1:77" ht="15" x14ac:dyDescent="0.25">
      <c r="A15" s="36" t="s">
        <v>132</v>
      </c>
      <c r="B15" s="139" t="s">
        <v>98</v>
      </c>
      <c r="C15" s="139" t="s">
        <v>519</v>
      </c>
      <c r="G15" s="139" t="s">
        <v>155</v>
      </c>
      <c r="H15" s="139" t="s">
        <v>519</v>
      </c>
      <c r="K15" s="147" t="s">
        <v>1949</v>
      </c>
      <c r="L15" s="147"/>
      <c r="M15" s="147"/>
      <c r="N15" s="148">
        <v>105</v>
      </c>
      <c r="AD15" s="139" t="s">
        <v>354</v>
      </c>
      <c r="AE15" s="139" t="s">
        <v>356</v>
      </c>
      <c r="AH15" s="156">
        <v>4</v>
      </c>
      <c r="AI15" s="158">
        <v>9.4111825828797624E-3</v>
      </c>
      <c r="AM15" s="325"/>
      <c r="AN15" s="139" t="s">
        <v>308</v>
      </c>
      <c r="AO15" s="269">
        <f t="shared" si="8"/>
        <v>13</v>
      </c>
      <c r="AP15" s="171">
        <f t="shared" si="8"/>
        <v>3.3814943097476492E-2</v>
      </c>
      <c r="AQ15" s="169">
        <f t="shared" ref="AQ15:AR15" si="19">+AH42</f>
        <v>4</v>
      </c>
      <c r="AR15" s="170">
        <f t="shared" si="19"/>
        <v>2.2325581395348838E-2</v>
      </c>
      <c r="AS15" s="169">
        <f t="shared" ref="AS15:AT15" si="20">+AH72</f>
        <v>1</v>
      </c>
      <c r="AT15" s="170">
        <f t="shared" si="20"/>
        <v>5.5813953488372094E-3</v>
      </c>
      <c r="BI15" s="139" t="s">
        <v>308</v>
      </c>
      <c r="BJ15" s="156">
        <v>5</v>
      </c>
      <c r="BK15" s="156"/>
      <c r="BL15" s="156">
        <v>2</v>
      </c>
      <c r="BM15" s="156"/>
      <c r="BN15" s="156">
        <v>5</v>
      </c>
      <c r="BO15" s="156"/>
      <c r="BP15" s="156">
        <v>2</v>
      </c>
      <c r="BQ15" s="156"/>
      <c r="BR15"/>
      <c r="BS15"/>
      <c r="BT15"/>
      <c r="BV15" s="139" t="s">
        <v>533</v>
      </c>
      <c r="BW15" s="142">
        <v>30</v>
      </c>
      <c r="BX15" s="142">
        <v>6</v>
      </c>
      <c r="BY15" s="142"/>
    </row>
    <row r="16" spans="1:77" ht="15" x14ac:dyDescent="0.25">
      <c r="A16" s="36" t="s">
        <v>134</v>
      </c>
      <c r="B16" s="139" t="s">
        <v>98</v>
      </c>
      <c r="C16" s="139" t="s">
        <v>103</v>
      </c>
      <c r="G16" s="139" t="s">
        <v>157</v>
      </c>
      <c r="H16" s="139" t="s">
        <v>519</v>
      </c>
      <c r="AD16" s="139" t="s">
        <v>363</v>
      </c>
      <c r="AE16" s="139" t="s">
        <v>365</v>
      </c>
      <c r="AH16" s="156">
        <v>2</v>
      </c>
      <c r="AI16" s="158">
        <v>1.8604651162790697E-2</v>
      </c>
      <c r="AM16" s="325"/>
      <c r="AN16" s="139" t="s">
        <v>334</v>
      </c>
      <c r="AO16" s="269">
        <f t="shared" si="8"/>
        <v>5</v>
      </c>
      <c r="AP16" s="171">
        <f t="shared" si="8"/>
        <v>1.4992577931716971E-2</v>
      </c>
      <c r="AQ16" s="169">
        <f t="shared" ref="AQ16:AR16" si="21">+AH43</f>
        <v>2</v>
      </c>
      <c r="AR16" s="170">
        <f t="shared" si="21"/>
        <v>1.1162790697674419E-2</v>
      </c>
      <c r="AS16" s="169">
        <f t="shared" ref="AS16:AT16" si="22">+AH73</f>
        <v>2</v>
      </c>
      <c r="AT16" s="170">
        <f t="shared" si="22"/>
        <v>1.1162790697674419E-2</v>
      </c>
      <c r="BI16" s="139" t="s">
        <v>334</v>
      </c>
      <c r="BJ16" s="156">
        <v>4</v>
      </c>
      <c r="BK16" s="156"/>
      <c r="BL16" s="156">
        <v>2</v>
      </c>
      <c r="BM16" s="156">
        <v>2</v>
      </c>
      <c r="BN16" s="156">
        <v>4</v>
      </c>
      <c r="BO16" s="156"/>
      <c r="BP16" s="156">
        <v>2</v>
      </c>
      <c r="BQ16" s="156">
        <v>2</v>
      </c>
      <c r="BR16"/>
      <c r="BS16"/>
      <c r="BT16"/>
      <c r="BU16" s="139" t="s">
        <v>1972</v>
      </c>
      <c r="BW16" s="142">
        <v>41</v>
      </c>
      <c r="BX16" s="142">
        <v>12</v>
      </c>
      <c r="BY16" s="142">
        <v>3</v>
      </c>
    </row>
    <row r="17" spans="1:77" ht="15" x14ac:dyDescent="0.25">
      <c r="A17" s="36" t="s">
        <v>136</v>
      </c>
      <c r="B17" s="139" t="s">
        <v>98</v>
      </c>
      <c r="C17" s="139" t="s">
        <v>519</v>
      </c>
      <c r="G17" s="139" t="s">
        <v>159</v>
      </c>
      <c r="H17" s="139" t="s">
        <v>533</v>
      </c>
      <c r="N17" s="145">
        <v>0.8</v>
      </c>
      <c r="AD17" s="139" t="s">
        <v>370</v>
      </c>
      <c r="AE17" s="139" t="s">
        <v>372</v>
      </c>
      <c r="AH17" s="156">
        <v>5</v>
      </c>
      <c r="AI17" s="158">
        <v>2.6441834422771426E-2</v>
      </c>
      <c r="AM17" s="325"/>
      <c r="AN17" s="139" t="s">
        <v>343</v>
      </c>
      <c r="AO17" s="269">
        <f t="shared" si="8"/>
        <v>5</v>
      </c>
      <c r="AP17" s="171">
        <f t="shared" si="8"/>
        <v>1.0687778327560613E-2</v>
      </c>
      <c r="AQ17" s="169">
        <f t="shared" ref="AQ17:AR17" si="23">+AH44</f>
        <v>1</v>
      </c>
      <c r="AR17" s="170">
        <f t="shared" si="23"/>
        <v>5.5813953488372094E-3</v>
      </c>
      <c r="AS17" s="169">
        <f t="shared" ref="AS17:AT17" si="24">+AH74</f>
        <v>1</v>
      </c>
      <c r="AT17" s="170">
        <f t="shared" si="24"/>
        <v>5.5813953488372094E-3</v>
      </c>
      <c r="BH17" s="139" t="s">
        <v>354</v>
      </c>
      <c r="BI17" s="139" t="s">
        <v>356</v>
      </c>
      <c r="BJ17" s="156">
        <v>1</v>
      </c>
      <c r="BK17" s="156"/>
      <c r="BL17" s="156"/>
      <c r="BM17" s="156"/>
      <c r="BN17" s="156">
        <v>1</v>
      </c>
      <c r="BO17" s="156"/>
      <c r="BP17" s="156"/>
      <c r="BQ17" s="156"/>
      <c r="BR17"/>
      <c r="BS17"/>
      <c r="BT17"/>
      <c r="BU17" s="147" t="s">
        <v>1949</v>
      </c>
      <c r="BV17" s="147"/>
      <c r="BW17" s="148">
        <v>195</v>
      </c>
      <c r="BX17" s="148">
        <v>79</v>
      </c>
      <c r="BY17" s="148">
        <v>30</v>
      </c>
    </row>
    <row r="18" spans="1:77" ht="15" x14ac:dyDescent="0.25">
      <c r="A18" s="36" t="s">
        <v>138</v>
      </c>
      <c r="B18" s="139" t="s">
        <v>98</v>
      </c>
      <c r="C18" s="139" t="s">
        <v>519</v>
      </c>
      <c r="F18" s="139" t="s">
        <v>168</v>
      </c>
      <c r="G18" s="139" t="s">
        <v>171</v>
      </c>
      <c r="H18" s="139" t="s">
        <v>519</v>
      </c>
      <c r="AD18" s="139" t="s">
        <v>379</v>
      </c>
      <c r="AE18" s="139" t="s">
        <v>381</v>
      </c>
      <c r="AH18" s="156">
        <v>6</v>
      </c>
      <c r="AI18" s="158">
        <v>3.2962642256308752E-2</v>
      </c>
      <c r="AM18" s="325"/>
      <c r="AN18" s="139" t="s">
        <v>356</v>
      </c>
      <c r="AO18" s="269">
        <f t="shared" si="8"/>
        <v>4</v>
      </c>
      <c r="AP18" s="171">
        <f t="shared" si="8"/>
        <v>9.4111825828797624E-3</v>
      </c>
      <c r="AQ18" s="169">
        <f t="shared" ref="AQ18:AR18" si="25">+AH45</f>
        <v>1</v>
      </c>
      <c r="AR18" s="170">
        <f t="shared" si="25"/>
        <v>5.5813953488372094E-3</v>
      </c>
      <c r="AS18" s="169">
        <f t="shared" ref="AS18:AT18" si="26">+AH75</f>
        <v>1</v>
      </c>
      <c r="AT18" s="170">
        <f t="shared" si="26"/>
        <v>5.5813953488372094E-3</v>
      </c>
      <c r="BH18" s="139" t="s">
        <v>379</v>
      </c>
      <c r="BI18" s="139" t="s">
        <v>381</v>
      </c>
      <c r="BJ18" s="156">
        <v>3</v>
      </c>
      <c r="BK18" s="156">
        <v>3</v>
      </c>
      <c r="BL18" s="156">
        <v>1</v>
      </c>
      <c r="BM18" s="156"/>
      <c r="BN18" s="156">
        <v>3</v>
      </c>
      <c r="BO18" s="156">
        <v>3</v>
      </c>
      <c r="BP18" s="156">
        <v>1</v>
      </c>
      <c r="BQ18" s="156"/>
      <c r="BR18"/>
      <c r="BS18"/>
      <c r="BT18"/>
      <c r="BU18"/>
      <c r="BV18"/>
      <c r="BW18"/>
    </row>
    <row r="19" spans="1:77" ht="15" x14ac:dyDescent="0.25">
      <c r="A19" s="36" t="s">
        <v>140</v>
      </c>
      <c r="B19" s="139" t="s">
        <v>98</v>
      </c>
      <c r="C19" s="139" t="s">
        <v>519</v>
      </c>
      <c r="G19" s="139" t="s">
        <v>172</v>
      </c>
      <c r="H19" s="139" t="s">
        <v>519</v>
      </c>
      <c r="AD19" s="139" t="s">
        <v>391</v>
      </c>
      <c r="AE19" s="139" t="s">
        <v>393</v>
      </c>
      <c r="AH19" s="156">
        <v>7</v>
      </c>
      <c r="AI19" s="158">
        <v>3.4881246907471547E-2</v>
      </c>
      <c r="AM19" s="325"/>
      <c r="AN19" s="139" t="s">
        <v>365</v>
      </c>
      <c r="AO19" s="269">
        <f t="shared" si="8"/>
        <v>2</v>
      </c>
      <c r="AP19" s="171">
        <f t="shared" si="8"/>
        <v>1.8604651162790697E-2</v>
      </c>
      <c r="AQ19" s="169">
        <f t="shared" ref="AQ19:AR19" si="27">+AH46</f>
        <v>2</v>
      </c>
      <c r="AR19" s="170">
        <f t="shared" si="27"/>
        <v>1.8604651162790697E-2</v>
      </c>
      <c r="AS19" s="169">
        <f t="shared" ref="AS19:AT19" si="28">+AH76</f>
        <v>1</v>
      </c>
      <c r="AT19" s="170">
        <f t="shared" si="28"/>
        <v>9.3023255813953487E-3</v>
      </c>
      <c r="BH19" s="139" t="s">
        <v>391</v>
      </c>
      <c r="BI19" s="139" t="s">
        <v>393</v>
      </c>
      <c r="BJ19" s="156">
        <v>2</v>
      </c>
      <c r="BK19" s="156"/>
      <c r="BL19" s="156"/>
      <c r="BM19" s="156"/>
      <c r="BN19" s="156">
        <v>2</v>
      </c>
      <c r="BO19" s="156"/>
      <c r="BP19" s="156"/>
      <c r="BQ19" s="156"/>
      <c r="BR19"/>
      <c r="BS19"/>
      <c r="BT19"/>
      <c r="BU19"/>
      <c r="BV19"/>
      <c r="BW19"/>
    </row>
    <row r="20" spans="1:77" ht="15" x14ac:dyDescent="0.25">
      <c r="A20" s="36" t="s">
        <v>142</v>
      </c>
      <c r="B20" s="139" t="s">
        <v>98</v>
      </c>
      <c r="C20" s="139" t="s">
        <v>519</v>
      </c>
      <c r="G20" s="139" t="s">
        <v>173</v>
      </c>
      <c r="H20" s="139" t="s">
        <v>519</v>
      </c>
      <c r="K20" s="140" t="s">
        <v>1941</v>
      </c>
      <c r="L20" s="140" t="s">
        <v>1965</v>
      </c>
      <c r="M20" s="140" t="s">
        <v>1598</v>
      </c>
      <c r="N20" s="139" t="s">
        <v>1963</v>
      </c>
      <c r="AD20" s="139" t="s">
        <v>405</v>
      </c>
      <c r="AE20" s="139" t="s">
        <v>407</v>
      </c>
      <c r="AH20" s="156">
        <v>4</v>
      </c>
      <c r="AI20" s="158">
        <v>2.8302299539050495E-2</v>
      </c>
      <c r="AM20" s="325"/>
      <c r="AN20" s="139" t="s">
        <v>372</v>
      </c>
      <c r="AO20" s="269">
        <f t="shared" si="8"/>
        <v>5</v>
      </c>
      <c r="AP20" s="171">
        <f t="shared" si="8"/>
        <v>2.6441834422771426E-2</v>
      </c>
      <c r="AQ20" s="169">
        <f t="shared" ref="AQ20:AR20" si="29">+AH47</f>
        <v>4</v>
      </c>
      <c r="AR20" s="170">
        <f t="shared" si="29"/>
        <v>2.5165238678090576E-2</v>
      </c>
      <c r="AS20" s="169">
        <f t="shared" ref="AS20:AT20" si="30">+AH77</f>
        <v>4</v>
      </c>
      <c r="AT20" s="170">
        <f t="shared" si="30"/>
        <v>2.5165238678090576E-2</v>
      </c>
      <c r="BH20" s="139" t="s">
        <v>425</v>
      </c>
      <c r="BI20" s="139" t="s">
        <v>427</v>
      </c>
      <c r="BJ20" s="156">
        <v>4</v>
      </c>
      <c r="BK20" s="156">
        <v>3</v>
      </c>
      <c r="BL20" s="156"/>
      <c r="BM20" s="156"/>
      <c r="BN20" s="156">
        <v>4</v>
      </c>
      <c r="BO20" s="156">
        <v>3</v>
      </c>
      <c r="BP20" s="156"/>
      <c r="BQ20" s="156"/>
      <c r="BR20"/>
      <c r="BS20"/>
      <c r="BT20"/>
      <c r="BU20"/>
      <c r="BV20"/>
      <c r="BW20"/>
    </row>
    <row r="21" spans="1:77" ht="15" x14ac:dyDescent="0.25">
      <c r="A21" s="36" t="s">
        <v>147</v>
      </c>
      <c r="B21" s="139" t="s">
        <v>98</v>
      </c>
      <c r="C21" s="139" t="s">
        <v>554</v>
      </c>
      <c r="G21" s="139" t="s">
        <v>175</v>
      </c>
      <c r="H21" s="139" t="s">
        <v>103</v>
      </c>
      <c r="K21" s="139" t="s">
        <v>103</v>
      </c>
      <c r="L21" s="139" t="s">
        <v>512</v>
      </c>
      <c r="M21" s="139" t="s">
        <v>512</v>
      </c>
      <c r="N21" s="142">
        <v>32</v>
      </c>
      <c r="AD21" s="139" t="s">
        <v>411</v>
      </c>
      <c r="AE21" s="139" t="s">
        <v>413</v>
      </c>
      <c r="AH21" s="156">
        <v>7</v>
      </c>
      <c r="AI21" s="158">
        <v>3.8485898070262245E-2</v>
      </c>
      <c r="AM21" s="325"/>
      <c r="AN21" s="139" t="s">
        <v>381</v>
      </c>
      <c r="AO21" s="269">
        <f t="shared" si="8"/>
        <v>6</v>
      </c>
      <c r="AP21" s="171">
        <f t="shared" si="8"/>
        <v>3.2962642256308752E-2</v>
      </c>
      <c r="AQ21" s="169">
        <f t="shared" ref="AQ21:AR21" si="31">+AH48</f>
        <v>3</v>
      </c>
      <c r="AR21" s="170">
        <f t="shared" si="31"/>
        <v>2.4186046511627906E-2</v>
      </c>
      <c r="AS21" s="169">
        <f t="shared" ref="AS21:AT21" si="32">+AH78</f>
        <v>1</v>
      </c>
      <c r="AT21" s="170">
        <f t="shared" si="32"/>
        <v>5.5813953488372094E-3</v>
      </c>
      <c r="BH21" s="139" t="s">
        <v>441</v>
      </c>
      <c r="BI21" s="139" t="s">
        <v>443</v>
      </c>
      <c r="BJ21" s="156">
        <v>3</v>
      </c>
      <c r="BK21" s="156"/>
      <c r="BL21" s="156">
        <v>3</v>
      </c>
      <c r="BM21" s="156">
        <v>3</v>
      </c>
      <c r="BN21" s="156">
        <v>3</v>
      </c>
      <c r="BO21" s="156"/>
      <c r="BP21" s="156">
        <v>3</v>
      </c>
      <c r="BQ21" s="156">
        <v>3</v>
      </c>
      <c r="BR21"/>
      <c r="BS21"/>
      <c r="BT21"/>
      <c r="BU21"/>
      <c r="BV21"/>
      <c r="BW21"/>
    </row>
    <row r="22" spans="1:77" ht="15" x14ac:dyDescent="0.25">
      <c r="A22" s="36" t="s">
        <v>149</v>
      </c>
      <c r="B22" s="139" t="s">
        <v>98</v>
      </c>
      <c r="C22" s="139" t="s">
        <v>554</v>
      </c>
      <c r="F22" s="139" t="s">
        <v>176</v>
      </c>
      <c r="G22" s="139" t="s">
        <v>179</v>
      </c>
      <c r="H22" s="139" t="s">
        <v>103</v>
      </c>
      <c r="K22" s="143" t="s">
        <v>1966</v>
      </c>
      <c r="L22" s="143"/>
      <c r="M22" s="143"/>
      <c r="N22" s="144">
        <v>32</v>
      </c>
      <c r="P22" s="139" t="s">
        <v>103</v>
      </c>
      <c r="Q22" s="145">
        <v>0.6</v>
      </c>
      <c r="R22" s="146">
        <f>+($N$29*Q22/N22)</f>
        <v>3.7499999999999999E-3</v>
      </c>
      <c r="AE22" s="139" t="s">
        <v>1551</v>
      </c>
      <c r="AH22" s="156">
        <v>1</v>
      </c>
      <c r="AI22" s="158">
        <v>1.8181818181818186E-3</v>
      </c>
      <c r="AM22" s="325"/>
      <c r="AN22" s="139" t="s">
        <v>393</v>
      </c>
      <c r="AO22" s="269">
        <f t="shared" si="8"/>
        <v>7</v>
      </c>
      <c r="AP22" s="171">
        <f t="shared" si="8"/>
        <v>3.4881246907471547E-2</v>
      </c>
      <c r="AQ22" s="169">
        <f t="shared" ref="AQ22:AR22" si="33">+AH49</f>
        <v>2</v>
      </c>
      <c r="AR22" s="170">
        <f t="shared" si="33"/>
        <v>1.8604651162790697E-2</v>
      </c>
      <c r="AS22" s="169">
        <f t="shared" ref="AS22:AT22" si="34">+AH79</f>
        <v>1</v>
      </c>
      <c r="AT22" s="170">
        <f t="shared" si="34"/>
        <v>9.3023255813953487E-3</v>
      </c>
      <c r="BH22" s="139" t="s">
        <v>454</v>
      </c>
      <c r="BI22" s="139" t="s">
        <v>456</v>
      </c>
      <c r="BJ22" s="156">
        <v>1</v>
      </c>
      <c r="BK22" s="156">
        <v>1</v>
      </c>
      <c r="BL22" s="156">
        <v>1</v>
      </c>
      <c r="BM22" s="156"/>
      <c r="BN22" s="156">
        <v>1</v>
      </c>
      <c r="BO22" s="156">
        <v>1</v>
      </c>
      <c r="BP22" s="156">
        <v>1</v>
      </c>
      <c r="BQ22" s="156"/>
      <c r="BR22"/>
      <c r="BS22"/>
      <c r="BT22"/>
      <c r="BU22"/>
      <c r="BV22"/>
      <c r="BW22"/>
    </row>
    <row r="23" spans="1:77" ht="15" x14ac:dyDescent="0.25">
      <c r="A23" s="36" t="s">
        <v>151</v>
      </c>
      <c r="B23" s="139" t="s">
        <v>98</v>
      </c>
      <c r="C23" s="139" t="s">
        <v>103</v>
      </c>
      <c r="G23" s="139" t="s">
        <v>181</v>
      </c>
      <c r="H23" s="139" t="s">
        <v>103</v>
      </c>
      <c r="K23" s="139" t="s">
        <v>519</v>
      </c>
      <c r="L23" s="139" t="s">
        <v>512</v>
      </c>
      <c r="M23" s="139" t="s">
        <v>512</v>
      </c>
      <c r="N23" s="142">
        <v>11</v>
      </c>
      <c r="AD23" s="139" t="s">
        <v>425</v>
      </c>
      <c r="AE23" s="139" t="s">
        <v>427</v>
      </c>
      <c r="AH23" s="156">
        <v>10</v>
      </c>
      <c r="AI23" s="158">
        <v>4.9794037605145974E-2</v>
      </c>
      <c r="AM23" s="325"/>
      <c r="AN23" s="139" t="s">
        <v>407</v>
      </c>
      <c r="AO23" s="269">
        <f t="shared" si="8"/>
        <v>4</v>
      </c>
      <c r="AP23" s="171">
        <f t="shared" si="8"/>
        <v>2.8302299539050495E-2</v>
      </c>
      <c r="AQ23" s="169">
        <f t="shared" ref="AQ23:AR23" si="35">+AH50</f>
        <v>3</v>
      </c>
      <c r="AR23" s="170">
        <f t="shared" si="35"/>
        <v>2.7025703794369645E-2</v>
      </c>
      <c r="AS23" s="169">
        <f t="shared" ref="AS23:AT23" si="36">+AH80</f>
        <v>2</v>
      </c>
      <c r="AT23" s="170">
        <f t="shared" si="36"/>
        <v>1.8604651162790697E-2</v>
      </c>
      <c r="BH23" s="147" t="s">
        <v>1949</v>
      </c>
      <c r="BI23" s="147"/>
      <c r="BJ23" s="157">
        <v>79</v>
      </c>
      <c r="BK23" s="157">
        <v>30</v>
      </c>
      <c r="BL23" s="157">
        <v>27</v>
      </c>
      <c r="BM23" s="157">
        <v>15</v>
      </c>
      <c r="BN23" s="157">
        <v>79</v>
      </c>
      <c r="BO23" s="157">
        <v>30</v>
      </c>
      <c r="BP23" s="157">
        <v>27</v>
      </c>
      <c r="BQ23" s="157">
        <v>15</v>
      </c>
      <c r="BR23"/>
      <c r="BS23"/>
      <c r="BT23"/>
      <c r="BU23"/>
      <c r="BV23"/>
      <c r="BW23"/>
    </row>
    <row r="24" spans="1:77" ht="15" x14ac:dyDescent="0.25">
      <c r="A24" s="36" t="s">
        <v>153</v>
      </c>
      <c r="B24" s="139" t="s">
        <v>98</v>
      </c>
      <c r="C24" s="139" t="s">
        <v>103</v>
      </c>
      <c r="G24" s="139" t="s">
        <v>183</v>
      </c>
      <c r="H24" s="139" t="s">
        <v>533</v>
      </c>
      <c r="K24" s="143" t="s">
        <v>1967</v>
      </c>
      <c r="L24" s="143"/>
      <c r="M24" s="143"/>
      <c r="N24" s="144">
        <v>11</v>
      </c>
      <c r="P24" s="139" t="s">
        <v>519</v>
      </c>
      <c r="Q24" s="145">
        <v>0.1</v>
      </c>
      <c r="R24" s="146">
        <f>+($N$29*Q24/N24)</f>
        <v>1.8181818181818186E-3</v>
      </c>
      <c r="AD24" s="139" t="s">
        <v>441</v>
      </c>
      <c r="AE24" s="139" t="s">
        <v>443</v>
      </c>
      <c r="AH24" s="156">
        <v>7</v>
      </c>
      <c r="AI24" s="158">
        <v>5.7090549233052942E-2</v>
      </c>
      <c r="AM24" s="325" t="s">
        <v>2021</v>
      </c>
      <c r="AN24" s="139" t="s">
        <v>413</v>
      </c>
      <c r="AO24" s="269">
        <f t="shared" si="8"/>
        <v>7</v>
      </c>
      <c r="AP24" s="171">
        <f t="shared" si="8"/>
        <v>3.8485898070262245E-2</v>
      </c>
      <c r="AQ24" s="169">
        <f t="shared" ref="AQ24:AR24" si="37">+AH51</f>
        <v>6</v>
      </c>
      <c r="AR24" s="170">
        <f t="shared" si="37"/>
        <v>3.7209302325581395E-2</v>
      </c>
      <c r="AS24" s="169">
        <f t="shared" ref="AS24:AT24" si="38">+AH81</f>
        <v>2</v>
      </c>
      <c r="AT24" s="170">
        <f t="shared" si="38"/>
        <v>1.1162790697674419E-2</v>
      </c>
      <c r="BH24"/>
      <c r="BI24"/>
      <c r="BJ24"/>
      <c r="BK24"/>
      <c r="BL24"/>
      <c r="BM24"/>
      <c r="BN24"/>
      <c r="BO24"/>
      <c r="BP24"/>
      <c r="BQ24"/>
      <c r="BR24"/>
      <c r="BS24"/>
      <c r="BT24"/>
      <c r="BU24"/>
    </row>
    <row r="25" spans="1:77" ht="15" x14ac:dyDescent="0.25">
      <c r="A25" s="36" t="s">
        <v>155</v>
      </c>
      <c r="B25" s="139" t="s">
        <v>98</v>
      </c>
      <c r="C25" s="139" t="s">
        <v>519</v>
      </c>
      <c r="G25" s="139" t="s">
        <v>184</v>
      </c>
      <c r="H25" s="139" t="s">
        <v>533</v>
      </c>
      <c r="K25" s="139" t="s">
        <v>533</v>
      </c>
      <c r="L25" s="139" t="s">
        <v>512</v>
      </c>
      <c r="M25" s="139" t="s">
        <v>512</v>
      </c>
      <c r="N25" s="142">
        <v>47</v>
      </c>
      <c r="AD25" s="139" t="s">
        <v>454</v>
      </c>
      <c r="AE25" s="139" t="s">
        <v>467</v>
      </c>
      <c r="AH25" s="156">
        <v>4</v>
      </c>
      <c r="AI25" s="158">
        <v>3.7209302325581395E-2</v>
      </c>
      <c r="AM25" s="325"/>
      <c r="AN25" s="139" t="s">
        <v>1551</v>
      </c>
      <c r="AO25" s="269">
        <f t="shared" si="8"/>
        <v>1</v>
      </c>
      <c r="AP25" s="171">
        <f t="shared" si="8"/>
        <v>1.8181818181818186E-3</v>
      </c>
      <c r="AQ25" s="162">
        <v>0</v>
      </c>
      <c r="AR25" s="170">
        <v>0</v>
      </c>
      <c r="AS25" s="162">
        <v>0</v>
      </c>
      <c r="AT25" s="170">
        <v>0</v>
      </c>
      <c r="BH25"/>
      <c r="BI25"/>
      <c r="BJ25"/>
      <c r="BK25"/>
      <c r="BL25"/>
      <c r="BM25"/>
      <c r="BN25"/>
      <c r="BO25"/>
      <c r="BP25"/>
      <c r="BQ25"/>
      <c r="BR25"/>
      <c r="BS25"/>
      <c r="BT25"/>
      <c r="BU25"/>
    </row>
    <row r="26" spans="1:77" ht="36" x14ac:dyDescent="0.25">
      <c r="A26" s="36" t="s">
        <v>157</v>
      </c>
      <c r="B26" s="139" t="s">
        <v>98</v>
      </c>
      <c r="C26" s="139" t="s">
        <v>519</v>
      </c>
      <c r="G26" s="139" t="s">
        <v>185</v>
      </c>
      <c r="H26" s="139" t="s">
        <v>103</v>
      </c>
      <c r="K26" s="143" t="s">
        <v>1968</v>
      </c>
      <c r="L26" s="143"/>
      <c r="M26" s="143"/>
      <c r="N26" s="144">
        <v>47</v>
      </c>
      <c r="P26" s="139" t="s">
        <v>533</v>
      </c>
      <c r="Q26" s="145">
        <v>0.3</v>
      </c>
      <c r="R26" s="146">
        <f>+($N$29*Q26/N26)</f>
        <v>1.276595744680851E-3</v>
      </c>
      <c r="V26" s="273" t="s">
        <v>2081</v>
      </c>
      <c r="W26" s="274" t="s">
        <v>2082</v>
      </c>
      <c r="X26" s="274" t="s">
        <v>1941</v>
      </c>
      <c r="Y26" s="274" t="s">
        <v>2083</v>
      </c>
      <c r="Z26" s="274" t="s">
        <v>2084</v>
      </c>
      <c r="AA26" s="275" t="s">
        <v>2085</v>
      </c>
      <c r="AE26" s="139" t="s">
        <v>456</v>
      </c>
      <c r="AH26" s="156">
        <v>5</v>
      </c>
      <c r="AI26" s="158">
        <v>3.29335724888669E-2</v>
      </c>
      <c r="AM26" s="325"/>
      <c r="AN26" s="139" t="s">
        <v>427</v>
      </c>
      <c r="AO26" s="269">
        <f t="shared" si="8"/>
        <v>10</v>
      </c>
      <c r="AP26" s="171">
        <f t="shared" si="8"/>
        <v>4.9794037605145974E-2</v>
      </c>
      <c r="AQ26" s="169">
        <f>+AH52</f>
        <v>4</v>
      </c>
      <c r="AR26" s="170">
        <f>+AI52</f>
        <v>2.9767441860465114E-2</v>
      </c>
      <c r="AS26" s="169">
        <f>+AH82</f>
        <v>3</v>
      </c>
      <c r="AT26" s="170">
        <f>+AI82</f>
        <v>2.0465116279069766E-2</v>
      </c>
      <c r="BH26"/>
      <c r="BI26"/>
      <c r="BJ26"/>
      <c r="BK26"/>
      <c r="BL26"/>
      <c r="BM26"/>
      <c r="BN26"/>
      <c r="BO26"/>
      <c r="BP26"/>
      <c r="BQ26"/>
      <c r="BR26"/>
      <c r="BS26"/>
      <c r="BT26"/>
      <c r="BU26"/>
    </row>
    <row r="27" spans="1:77" ht="15" x14ac:dyDescent="0.25">
      <c r="A27" s="36" t="s">
        <v>159</v>
      </c>
      <c r="B27" s="139" t="s">
        <v>534</v>
      </c>
      <c r="C27" s="139" t="s">
        <v>554</v>
      </c>
      <c r="G27" s="139" t="s">
        <v>187</v>
      </c>
      <c r="H27" s="139" t="s">
        <v>103</v>
      </c>
      <c r="K27" s="147" t="s">
        <v>1949</v>
      </c>
      <c r="L27" s="147"/>
      <c r="M27" s="147"/>
      <c r="N27" s="148">
        <v>90</v>
      </c>
      <c r="V27" s="320" t="s">
        <v>2080</v>
      </c>
      <c r="W27" s="322">
        <v>0.8</v>
      </c>
      <c r="X27" s="186" t="s">
        <v>103</v>
      </c>
      <c r="Y27" s="276">
        <v>9.3023255813953487E-3</v>
      </c>
      <c r="Z27" s="205">
        <v>43</v>
      </c>
      <c r="AA27" s="277">
        <f>+Y27*Z27</f>
        <v>0.4</v>
      </c>
      <c r="AD27" s="139" t="s">
        <v>474</v>
      </c>
      <c r="AE27" s="139" t="s">
        <v>476</v>
      </c>
      <c r="AH27" s="156">
        <v>4</v>
      </c>
      <c r="AI27" s="158">
        <v>2.8886168910648713E-2</v>
      </c>
      <c r="AM27" s="325"/>
      <c r="AN27" s="139" t="s">
        <v>443</v>
      </c>
      <c r="AO27" s="269">
        <f t="shared" si="8"/>
        <v>7</v>
      </c>
      <c r="AP27" s="171">
        <f t="shared" si="8"/>
        <v>5.7090549233052942E-2</v>
      </c>
      <c r="AQ27" s="169">
        <f t="shared" ref="AQ27:AR27" si="39">+AH53</f>
        <v>6</v>
      </c>
      <c r="AR27" s="170">
        <f t="shared" si="39"/>
        <v>5.5813953488372092E-2</v>
      </c>
      <c r="AS27" s="169">
        <f t="shared" ref="AS27:AT27" si="40">+AH83</f>
        <v>6</v>
      </c>
      <c r="AT27" s="170">
        <f t="shared" si="40"/>
        <v>5.5813953488372092E-2</v>
      </c>
      <c r="BH27"/>
      <c r="BI27"/>
      <c r="BJ27"/>
      <c r="BK27"/>
      <c r="BL27"/>
      <c r="BM27"/>
      <c r="BN27"/>
      <c r="BO27"/>
      <c r="BP27"/>
      <c r="BQ27"/>
      <c r="BR27"/>
      <c r="BS27"/>
      <c r="BT27"/>
      <c r="BU27"/>
    </row>
    <row r="28" spans="1:77" ht="15" x14ac:dyDescent="0.25">
      <c r="A28" s="36" t="s">
        <v>161</v>
      </c>
      <c r="B28" s="139" t="s">
        <v>98</v>
      </c>
      <c r="C28" s="139" t="s">
        <v>519</v>
      </c>
      <c r="G28" s="139" t="s">
        <v>188</v>
      </c>
      <c r="H28" s="139" t="s">
        <v>519</v>
      </c>
      <c r="V28" s="320"/>
      <c r="W28" s="323"/>
      <c r="X28" s="186" t="s">
        <v>519</v>
      </c>
      <c r="Y28" s="278">
        <v>8.4210526315789489E-3</v>
      </c>
      <c r="Z28" s="205">
        <v>19</v>
      </c>
      <c r="AA28" s="277">
        <f t="shared" ref="AA28:AA32" si="41">+Y28*Z28</f>
        <v>0.16000000000000003</v>
      </c>
      <c r="AD28" s="147" t="s">
        <v>1949</v>
      </c>
      <c r="AE28" s="147"/>
      <c r="AF28" s="147"/>
      <c r="AG28" s="147"/>
      <c r="AH28" s="157">
        <v>195</v>
      </c>
      <c r="AI28" s="159">
        <v>0.99999999999999911</v>
      </c>
      <c r="AM28" s="325" t="s">
        <v>2020</v>
      </c>
      <c r="AN28" s="139" t="s">
        <v>467</v>
      </c>
      <c r="AO28" s="269">
        <f t="shared" si="8"/>
        <v>4</v>
      </c>
      <c r="AP28" s="171">
        <f t="shared" si="8"/>
        <v>3.7209302325581395E-2</v>
      </c>
      <c r="AQ28" s="169">
        <f t="shared" ref="AQ28:AR28" si="42">+AH54</f>
        <v>4</v>
      </c>
      <c r="AR28" s="170">
        <f t="shared" si="42"/>
        <v>3.7209302325581395E-2</v>
      </c>
      <c r="AS28" s="169">
        <f t="shared" ref="AS28:AT28" si="43">+AH84</f>
        <v>3</v>
      </c>
      <c r="AT28" s="170">
        <f t="shared" si="43"/>
        <v>2.7906976744186046E-2</v>
      </c>
      <c r="BH28"/>
      <c r="BI28"/>
      <c r="BJ28"/>
      <c r="BK28"/>
      <c r="BL28"/>
      <c r="BM28"/>
      <c r="BN28"/>
      <c r="BO28"/>
      <c r="BP28"/>
      <c r="BQ28"/>
      <c r="BR28"/>
      <c r="BS28"/>
      <c r="BT28"/>
      <c r="BU28"/>
    </row>
    <row r="29" spans="1:77" ht="15" x14ac:dyDescent="0.25">
      <c r="A29" s="36" t="s">
        <v>162</v>
      </c>
      <c r="B29" s="139" t="s">
        <v>98</v>
      </c>
      <c r="C29" s="139" t="s">
        <v>544</v>
      </c>
      <c r="G29" s="139" t="s">
        <v>189</v>
      </c>
      <c r="H29" s="139" t="s">
        <v>519</v>
      </c>
      <c r="N29" s="145">
        <v>0.2</v>
      </c>
      <c r="V29" s="320"/>
      <c r="W29" s="323"/>
      <c r="X29" s="186" t="s">
        <v>533</v>
      </c>
      <c r="Y29" s="278">
        <v>5.5813953488372094E-3</v>
      </c>
      <c r="Z29" s="205">
        <v>43</v>
      </c>
      <c r="AA29" s="277">
        <f t="shared" si="41"/>
        <v>0.24</v>
      </c>
      <c r="AD29"/>
      <c r="AE29"/>
      <c r="AF29"/>
      <c r="AG29"/>
      <c r="AH29" s="97"/>
      <c r="AM29" s="325"/>
      <c r="AN29" s="139" t="s">
        <v>456</v>
      </c>
      <c r="AO29" s="269">
        <f t="shared" si="8"/>
        <v>5</v>
      </c>
      <c r="AP29" s="171">
        <f t="shared" si="8"/>
        <v>3.29335724888669E-2</v>
      </c>
      <c r="AQ29" s="169">
        <f t="shared" ref="AQ29:AR29" si="44">+AH55</f>
        <v>3</v>
      </c>
      <c r="AR29" s="170">
        <f t="shared" si="44"/>
        <v>2.7906976744186046E-2</v>
      </c>
      <c r="AS29" s="169">
        <f t="shared" ref="AS29:AT29" si="45">+AH85</f>
        <v>2</v>
      </c>
      <c r="AT29" s="170">
        <f t="shared" si="45"/>
        <v>1.8604651162790697E-2</v>
      </c>
      <c r="BH29"/>
      <c r="BI29"/>
      <c r="BJ29"/>
      <c r="BK29"/>
      <c r="BL29"/>
      <c r="BM29"/>
      <c r="BN29"/>
      <c r="BO29"/>
      <c r="BP29"/>
      <c r="BQ29"/>
      <c r="BR29"/>
      <c r="BS29"/>
      <c r="BT29"/>
      <c r="BU29"/>
    </row>
    <row r="30" spans="1:77" ht="15" x14ac:dyDescent="0.25">
      <c r="A30" s="36" t="s">
        <v>164</v>
      </c>
      <c r="B30" s="139" t="s">
        <v>98</v>
      </c>
      <c r="C30" s="139" t="s">
        <v>533</v>
      </c>
      <c r="G30" s="139" t="s">
        <v>190</v>
      </c>
      <c r="H30" s="139" t="s">
        <v>519</v>
      </c>
      <c r="V30" s="320" t="s">
        <v>1970</v>
      </c>
      <c r="W30" s="322">
        <v>0.2</v>
      </c>
      <c r="X30" s="186" t="s">
        <v>103</v>
      </c>
      <c r="Y30" s="278">
        <v>3.7499999999999999E-3</v>
      </c>
      <c r="Z30" s="205">
        <v>32</v>
      </c>
      <c r="AA30" s="277">
        <f t="shared" si="41"/>
        <v>0.12</v>
      </c>
      <c r="AD30"/>
      <c r="AE30"/>
      <c r="AF30"/>
      <c r="AG30"/>
      <c r="AH30" s="97"/>
      <c r="AM30" s="325"/>
      <c r="AN30" s="139" t="s">
        <v>476</v>
      </c>
      <c r="AO30" s="269">
        <f t="shared" si="8"/>
        <v>4</v>
      </c>
      <c r="AP30" s="171">
        <f t="shared" si="8"/>
        <v>2.8886168910648713E-2</v>
      </c>
      <c r="AQ30" s="169">
        <f t="shared" ref="AQ30:AR30" si="46">+AH56</f>
        <v>4</v>
      </c>
      <c r="AR30" s="170">
        <f t="shared" si="46"/>
        <v>2.8886168910648713E-2</v>
      </c>
      <c r="AS30" s="169">
        <f t="shared" ref="AS30:AT30" si="47">+AH86</f>
        <v>3</v>
      </c>
      <c r="AT30" s="170">
        <f t="shared" si="47"/>
        <v>1.9583843329253368E-2</v>
      </c>
      <c r="BH30"/>
      <c r="BI30"/>
      <c r="BJ30"/>
      <c r="BK30"/>
      <c r="BL30"/>
      <c r="BM30"/>
      <c r="BN30"/>
      <c r="BO30"/>
      <c r="BP30"/>
      <c r="BQ30"/>
      <c r="BR30"/>
      <c r="BS30"/>
      <c r="BT30"/>
      <c r="BU30"/>
    </row>
    <row r="31" spans="1:77" ht="15" x14ac:dyDescent="0.25">
      <c r="A31" s="36" t="s">
        <v>166</v>
      </c>
      <c r="B31" s="139" t="s">
        <v>534</v>
      </c>
      <c r="C31" s="139" t="s">
        <v>533</v>
      </c>
      <c r="F31" s="139" t="s">
        <v>202</v>
      </c>
      <c r="G31" s="139" t="s">
        <v>205</v>
      </c>
      <c r="H31" s="139" t="s">
        <v>103</v>
      </c>
      <c r="V31" s="320"/>
      <c r="W31" s="323"/>
      <c r="X31" s="186" t="s">
        <v>519</v>
      </c>
      <c r="Y31" s="278">
        <v>1.8181818181818186E-3</v>
      </c>
      <c r="Z31" s="205">
        <v>11</v>
      </c>
      <c r="AA31" s="277">
        <f t="shared" si="41"/>
        <v>2.0000000000000004E-2</v>
      </c>
      <c r="AD31" s="140" t="s">
        <v>1633</v>
      </c>
      <c r="AE31" s="140" t="s">
        <v>1950</v>
      </c>
      <c r="AF31" s="140" t="s">
        <v>1561</v>
      </c>
      <c r="AG31" s="140" t="s">
        <v>1562</v>
      </c>
      <c r="AH31" s="141" t="s">
        <v>2014</v>
      </c>
      <c r="AI31" s="158" t="s">
        <v>2013</v>
      </c>
      <c r="AM31" s="139"/>
      <c r="AN31" s="163" t="s">
        <v>2022</v>
      </c>
      <c r="AO31" s="174">
        <f>+SUM(AO4:AO8)+SUM(AO12:AO30)</f>
        <v>195</v>
      </c>
      <c r="AP31" s="175">
        <f t="shared" ref="AP31:AT31" si="48">+SUM(AP4:AP8)+SUM(AP12:AP30)</f>
        <v>1</v>
      </c>
      <c r="AQ31" s="174">
        <f t="shared" si="48"/>
        <v>105</v>
      </c>
      <c r="AR31" s="175">
        <f t="shared" si="48"/>
        <v>0.79999999999999993</v>
      </c>
      <c r="AS31" s="174">
        <f t="shared" si="48"/>
        <v>74</v>
      </c>
      <c r="AT31" s="175">
        <f t="shared" si="48"/>
        <v>0.55343941248470019</v>
      </c>
      <c r="BH31"/>
      <c r="BI31"/>
      <c r="BJ31"/>
      <c r="BK31"/>
      <c r="BL31"/>
      <c r="BM31"/>
      <c r="BN31"/>
      <c r="BO31"/>
      <c r="BP31"/>
      <c r="BQ31"/>
      <c r="BR31"/>
      <c r="BS31"/>
      <c r="BT31"/>
      <c r="BU31"/>
    </row>
    <row r="32" spans="1:77" x14ac:dyDescent="0.2">
      <c r="A32" s="36" t="s">
        <v>171</v>
      </c>
      <c r="B32" s="139" t="s">
        <v>98</v>
      </c>
      <c r="C32" s="139" t="s">
        <v>519</v>
      </c>
      <c r="G32" s="139" t="s">
        <v>207</v>
      </c>
      <c r="H32" s="139" t="s">
        <v>103</v>
      </c>
      <c r="V32" s="321"/>
      <c r="W32" s="324"/>
      <c r="X32" s="272" t="s">
        <v>533</v>
      </c>
      <c r="Y32" s="279">
        <v>1.276595744680851E-3</v>
      </c>
      <c r="Z32" s="214">
        <v>47</v>
      </c>
      <c r="AA32" s="280">
        <f t="shared" si="41"/>
        <v>0.06</v>
      </c>
      <c r="AD32" s="139" t="s">
        <v>109</v>
      </c>
      <c r="AE32" s="139" t="s">
        <v>111</v>
      </c>
      <c r="AH32" s="156">
        <v>9</v>
      </c>
      <c r="AI32" s="158">
        <v>6.7270501835985319E-2</v>
      </c>
    </row>
    <row r="33" spans="1:46" x14ac:dyDescent="0.2">
      <c r="A33" s="36" t="s">
        <v>172</v>
      </c>
      <c r="B33" s="139" t="s">
        <v>98</v>
      </c>
      <c r="C33" s="139" t="s">
        <v>519</v>
      </c>
      <c r="G33" s="139" t="s">
        <v>209</v>
      </c>
      <c r="H33" s="139" t="s">
        <v>103</v>
      </c>
      <c r="V33" s="180"/>
      <c r="W33" s="180"/>
      <c r="X33" s="180"/>
      <c r="Y33" s="180"/>
      <c r="Z33" s="246">
        <f>SUM(Z27:Z32)</f>
        <v>195</v>
      </c>
      <c r="AA33" s="281">
        <f>SUM(AA27:AA32)</f>
        <v>1</v>
      </c>
      <c r="AD33" s="139" t="s">
        <v>144</v>
      </c>
      <c r="AE33" s="139" t="s">
        <v>146</v>
      </c>
      <c r="AH33" s="156">
        <v>7</v>
      </c>
      <c r="AI33" s="158">
        <v>5.2190942472460221E-2</v>
      </c>
      <c r="AO33" s="319" t="s">
        <v>2015</v>
      </c>
      <c r="AP33" s="319"/>
      <c r="AQ33" s="319" t="s">
        <v>1969</v>
      </c>
      <c r="AR33" s="319"/>
      <c r="AS33" s="319" t="s">
        <v>2016</v>
      </c>
      <c r="AT33" s="319"/>
    </row>
    <row r="34" spans="1:46" x14ac:dyDescent="0.2">
      <c r="A34" s="36" t="s">
        <v>173</v>
      </c>
      <c r="B34" s="139" t="s">
        <v>520</v>
      </c>
      <c r="C34" s="139" t="s">
        <v>519</v>
      </c>
      <c r="G34" s="139" t="s">
        <v>211</v>
      </c>
      <c r="H34" s="139" t="s">
        <v>533</v>
      </c>
      <c r="AD34" s="139" t="s">
        <v>168</v>
      </c>
      <c r="AE34" s="139" t="s">
        <v>170</v>
      </c>
      <c r="AH34" s="156">
        <v>4</v>
      </c>
      <c r="AI34" s="158">
        <v>3.4565483476132197E-2</v>
      </c>
      <c r="AO34" s="165" t="s">
        <v>2014</v>
      </c>
      <c r="AP34" s="166" t="s">
        <v>2013</v>
      </c>
      <c r="AQ34" s="165" t="s">
        <v>2014</v>
      </c>
      <c r="AR34" s="166" t="s">
        <v>2013</v>
      </c>
      <c r="AS34" s="165" t="s">
        <v>2014</v>
      </c>
      <c r="AT34" s="166" t="s">
        <v>2013</v>
      </c>
    </row>
    <row r="35" spans="1:46" x14ac:dyDescent="0.2">
      <c r="A35" s="36" t="s">
        <v>175</v>
      </c>
      <c r="B35" s="139" t="s">
        <v>98</v>
      </c>
      <c r="C35" s="139" t="s">
        <v>103</v>
      </c>
      <c r="G35" s="139" t="s">
        <v>213</v>
      </c>
      <c r="H35" s="139" t="s">
        <v>533</v>
      </c>
      <c r="AD35" s="139" t="s">
        <v>176</v>
      </c>
      <c r="AE35" s="139" t="s">
        <v>178</v>
      </c>
      <c r="AH35" s="156">
        <v>9</v>
      </c>
      <c r="AI35" s="158">
        <v>7.3635250917992667E-2</v>
      </c>
      <c r="AN35" s="139" t="s">
        <v>2018</v>
      </c>
      <c r="AO35" s="141">
        <f t="shared" ref="AO35:AT35" si="49">+SUM(AO4:AO8)</f>
        <v>78</v>
      </c>
      <c r="AP35" s="146">
        <f t="shared" si="49"/>
        <v>0.41962987021442322</v>
      </c>
      <c r="AQ35" s="141">
        <f t="shared" si="49"/>
        <v>44</v>
      </c>
      <c r="AR35" s="146">
        <f t="shared" si="49"/>
        <v>0.3337086903304774</v>
      </c>
      <c r="AS35" s="141">
        <f t="shared" si="49"/>
        <v>36</v>
      </c>
      <c r="AT35" s="146">
        <f t="shared" si="49"/>
        <v>0.26673194614443085</v>
      </c>
    </row>
    <row r="36" spans="1:46" x14ac:dyDescent="0.2">
      <c r="A36" s="36" t="s">
        <v>179</v>
      </c>
      <c r="B36" s="139" t="s">
        <v>98</v>
      </c>
      <c r="C36" s="139" t="s">
        <v>499</v>
      </c>
      <c r="G36" s="139" t="s">
        <v>215</v>
      </c>
      <c r="H36" s="139" t="s">
        <v>533</v>
      </c>
      <c r="K36" s="140" t="s">
        <v>1963</v>
      </c>
      <c r="M36" s="140" t="s">
        <v>1944</v>
      </c>
      <c r="AD36" s="139" t="s">
        <v>202</v>
      </c>
      <c r="AE36" s="139" t="s">
        <v>238</v>
      </c>
      <c r="AH36" s="156">
        <v>3</v>
      </c>
      <c r="AI36" s="158">
        <v>2.4186046511627906E-2</v>
      </c>
      <c r="AN36" s="139" t="s">
        <v>2019</v>
      </c>
      <c r="AO36" s="141">
        <f t="shared" ref="AO36:AT36" si="50">+SUM(AO12:AO23)</f>
        <v>79</v>
      </c>
      <c r="AP36" s="146">
        <f t="shared" si="50"/>
        <v>0.33415241933383677</v>
      </c>
      <c r="AQ36" s="141">
        <f t="shared" si="50"/>
        <v>34</v>
      </c>
      <c r="AR36" s="146">
        <f t="shared" si="50"/>
        <v>0.24949816401468786</v>
      </c>
      <c r="AS36" s="141">
        <f t="shared" si="50"/>
        <v>19</v>
      </c>
      <c r="AT36" s="146">
        <f t="shared" si="50"/>
        <v>0.13317013463892291</v>
      </c>
    </row>
    <row r="37" spans="1:46" x14ac:dyDescent="0.2">
      <c r="A37" s="36" t="s">
        <v>181</v>
      </c>
      <c r="B37" s="139" t="s">
        <v>98</v>
      </c>
      <c r="C37" s="139" t="s">
        <v>499</v>
      </c>
      <c r="G37" s="139" t="s">
        <v>217</v>
      </c>
      <c r="H37" s="139" t="s">
        <v>533</v>
      </c>
      <c r="K37" s="140" t="s">
        <v>1633</v>
      </c>
      <c r="L37" s="140" t="s">
        <v>21</v>
      </c>
      <c r="M37" s="139" t="s">
        <v>98</v>
      </c>
      <c r="N37" s="139" t="s">
        <v>683</v>
      </c>
      <c r="O37" s="139" t="s">
        <v>1949</v>
      </c>
      <c r="AE37" s="139" t="s">
        <v>247</v>
      </c>
      <c r="AH37" s="156">
        <v>4</v>
      </c>
      <c r="AI37" s="158">
        <v>2.6046511627906974E-2</v>
      </c>
      <c r="AN37" s="139" t="s">
        <v>2021</v>
      </c>
      <c r="AO37" s="141">
        <f t="shared" ref="AO37:AT37" si="51">+SUM(AO24:AO27)</f>
        <v>25</v>
      </c>
      <c r="AP37" s="146">
        <f t="shared" si="51"/>
        <v>0.14718866672664299</v>
      </c>
      <c r="AQ37" s="141">
        <f t="shared" si="51"/>
        <v>16</v>
      </c>
      <c r="AR37" s="146">
        <f t="shared" si="51"/>
        <v>0.12279069767441861</v>
      </c>
      <c r="AS37" s="141">
        <f t="shared" si="51"/>
        <v>11</v>
      </c>
      <c r="AT37" s="146">
        <f t="shared" si="51"/>
        <v>8.7441860465116275E-2</v>
      </c>
    </row>
    <row r="38" spans="1:46" x14ac:dyDescent="0.2">
      <c r="A38" s="36" t="s">
        <v>183</v>
      </c>
      <c r="B38" s="139" t="s">
        <v>683</v>
      </c>
      <c r="C38" s="139" t="s">
        <v>533</v>
      </c>
      <c r="G38" s="139" t="s">
        <v>219</v>
      </c>
      <c r="H38" s="139" t="s">
        <v>533</v>
      </c>
      <c r="K38" s="149" t="s">
        <v>109</v>
      </c>
      <c r="L38" s="149" t="s">
        <v>110</v>
      </c>
      <c r="M38" s="150">
        <v>17</v>
      </c>
      <c r="N38" s="150">
        <v>2</v>
      </c>
      <c r="O38" s="150">
        <v>19</v>
      </c>
      <c r="AE38" s="139" t="s">
        <v>204</v>
      </c>
      <c r="AH38" s="156">
        <v>8</v>
      </c>
      <c r="AI38" s="158">
        <v>5.5813953488372106E-2</v>
      </c>
      <c r="AN38" s="139" t="s">
        <v>2020</v>
      </c>
      <c r="AO38" s="141">
        <f t="shared" ref="AO38:AT38" si="52">+SUM(AO28:AO30)</f>
        <v>13</v>
      </c>
      <c r="AP38" s="146">
        <f t="shared" si="52"/>
        <v>9.9029043725097007E-2</v>
      </c>
      <c r="AQ38" s="141">
        <f t="shared" si="52"/>
        <v>11</v>
      </c>
      <c r="AR38" s="146">
        <f t="shared" si="52"/>
        <v>9.4002447980416154E-2</v>
      </c>
      <c r="AS38" s="141">
        <f t="shared" si="52"/>
        <v>8</v>
      </c>
      <c r="AT38" s="146">
        <f t="shared" si="52"/>
        <v>6.6095471236230108E-2</v>
      </c>
    </row>
    <row r="39" spans="1:46" x14ac:dyDescent="0.2">
      <c r="A39" s="36" t="s">
        <v>184</v>
      </c>
      <c r="B39" s="139" t="s">
        <v>683</v>
      </c>
      <c r="C39" s="139" t="s">
        <v>533</v>
      </c>
      <c r="G39" s="139" t="s">
        <v>239</v>
      </c>
      <c r="H39" s="139" t="s">
        <v>103</v>
      </c>
      <c r="K39" s="149" t="s">
        <v>144</v>
      </c>
      <c r="L39" s="149" t="s">
        <v>145</v>
      </c>
      <c r="M39" s="150">
        <v>9</v>
      </c>
      <c r="N39" s="150">
        <v>3</v>
      </c>
      <c r="O39" s="150">
        <v>12</v>
      </c>
      <c r="AD39" s="139" t="s">
        <v>257</v>
      </c>
      <c r="AE39" s="139" t="s">
        <v>259</v>
      </c>
      <c r="AH39" s="156">
        <v>7</v>
      </c>
      <c r="AI39" s="158">
        <v>5.0232558139534894E-2</v>
      </c>
      <c r="AN39" s="164" t="s">
        <v>2022</v>
      </c>
      <c r="AO39" s="167">
        <f>SUM(AO35:AO38)</f>
        <v>195</v>
      </c>
      <c r="AP39" s="168">
        <f t="shared" ref="AP39:AT39" si="53">SUM(AP35:AP38)</f>
        <v>1</v>
      </c>
      <c r="AQ39" s="167">
        <f t="shared" si="53"/>
        <v>105</v>
      </c>
      <c r="AR39" s="168">
        <f t="shared" si="53"/>
        <v>0.8</v>
      </c>
      <c r="AS39" s="167">
        <f t="shared" si="53"/>
        <v>74</v>
      </c>
      <c r="AT39" s="168">
        <f t="shared" si="53"/>
        <v>0.55343941248470019</v>
      </c>
    </row>
    <row r="40" spans="1:46" x14ac:dyDescent="0.2">
      <c r="A40" s="36" t="s">
        <v>185</v>
      </c>
      <c r="B40" s="139" t="s">
        <v>98</v>
      </c>
      <c r="C40" s="139" t="s">
        <v>103</v>
      </c>
      <c r="G40" s="139" t="s">
        <v>241</v>
      </c>
      <c r="H40" s="139" t="s">
        <v>103</v>
      </c>
      <c r="K40" s="149" t="s">
        <v>168</v>
      </c>
      <c r="L40" s="149" t="s">
        <v>169</v>
      </c>
      <c r="M40" s="150">
        <v>3</v>
      </c>
      <c r="N40" s="150">
        <v>2</v>
      </c>
      <c r="O40" s="150">
        <v>5</v>
      </c>
      <c r="AE40" s="139" t="s">
        <v>291</v>
      </c>
      <c r="AH40" s="156">
        <v>3</v>
      </c>
      <c r="AI40" s="158">
        <v>2.2423500611995106E-2</v>
      </c>
    </row>
    <row r="41" spans="1:46" x14ac:dyDescent="0.2">
      <c r="A41" s="36" t="s">
        <v>187</v>
      </c>
      <c r="B41" s="139" t="s">
        <v>98</v>
      </c>
      <c r="C41" s="139" t="s">
        <v>103</v>
      </c>
      <c r="G41" s="139" t="s">
        <v>243</v>
      </c>
      <c r="H41" s="139" t="s">
        <v>533</v>
      </c>
      <c r="K41" s="149" t="s">
        <v>176</v>
      </c>
      <c r="L41" s="149" t="s">
        <v>177</v>
      </c>
      <c r="M41" s="150">
        <v>12</v>
      </c>
      <c r="N41" s="150">
        <v>3</v>
      </c>
      <c r="O41" s="150">
        <v>15</v>
      </c>
      <c r="AE41" s="139" t="s">
        <v>303</v>
      </c>
      <c r="AH41" s="156">
        <v>2</v>
      </c>
      <c r="AI41" s="158">
        <v>1.8604651162790697E-2</v>
      </c>
    </row>
    <row r="42" spans="1:46" x14ac:dyDescent="0.2">
      <c r="A42" s="36" t="s">
        <v>188</v>
      </c>
      <c r="B42" s="139" t="s">
        <v>98</v>
      </c>
      <c r="C42" s="139" t="s">
        <v>519</v>
      </c>
      <c r="G42" s="139" t="s">
        <v>248</v>
      </c>
      <c r="H42" s="139" t="s">
        <v>103</v>
      </c>
      <c r="K42" s="149" t="s">
        <v>202</v>
      </c>
      <c r="L42" s="149" t="s">
        <v>203</v>
      </c>
      <c r="M42" s="150">
        <v>24</v>
      </c>
      <c r="N42" s="150">
        <v>3</v>
      </c>
      <c r="O42" s="150">
        <v>27</v>
      </c>
      <c r="AE42" s="139" t="s">
        <v>308</v>
      </c>
      <c r="AH42" s="156">
        <v>4</v>
      </c>
      <c r="AI42" s="158">
        <v>2.2325581395348838E-2</v>
      </c>
    </row>
    <row r="43" spans="1:46" x14ac:dyDescent="0.2">
      <c r="A43" s="36" t="s">
        <v>189</v>
      </c>
      <c r="B43" s="139" t="s">
        <v>98</v>
      </c>
      <c r="C43" s="139" t="s">
        <v>519</v>
      </c>
      <c r="G43" s="139" t="s">
        <v>250</v>
      </c>
      <c r="H43" s="139" t="s">
        <v>533</v>
      </c>
      <c r="K43" s="143" t="s">
        <v>257</v>
      </c>
      <c r="L43" s="143" t="s">
        <v>258</v>
      </c>
      <c r="M43" s="144">
        <v>39</v>
      </c>
      <c r="N43" s="144">
        <v>12</v>
      </c>
      <c r="O43" s="144">
        <v>51</v>
      </c>
      <c r="AE43" s="139" t="s">
        <v>334</v>
      </c>
      <c r="AH43" s="156">
        <v>2</v>
      </c>
      <c r="AI43" s="158">
        <v>1.1162790697674419E-2</v>
      </c>
    </row>
    <row r="44" spans="1:46" x14ac:dyDescent="0.2">
      <c r="A44" s="36" t="s">
        <v>190</v>
      </c>
      <c r="B44" s="139" t="s">
        <v>98</v>
      </c>
      <c r="C44" s="139" t="s">
        <v>519</v>
      </c>
      <c r="G44" s="139" t="s">
        <v>252</v>
      </c>
      <c r="H44" s="139" t="s">
        <v>533</v>
      </c>
      <c r="K44" s="143" t="s">
        <v>354</v>
      </c>
      <c r="L44" s="143" t="s">
        <v>355</v>
      </c>
      <c r="M44" s="144">
        <v>4</v>
      </c>
      <c r="N44" s="144"/>
      <c r="O44" s="144">
        <v>4</v>
      </c>
      <c r="AE44" s="139" t="s">
        <v>343</v>
      </c>
      <c r="AH44" s="156">
        <v>1</v>
      </c>
      <c r="AI44" s="158">
        <v>5.5813953488372094E-3</v>
      </c>
    </row>
    <row r="45" spans="1:46" x14ac:dyDescent="0.2">
      <c r="A45" s="36" t="s">
        <v>191</v>
      </c>
      <c r="B45" s="139" t="s">
        <v>98</v>
      </c>
      <c r="C45" s="139" t="s">
        <v>103</v>
      </c>
      <c r="G45" s="139" t="s">
        <v>254</v>
      </c>
      <c r="H45" s="139" t="s">
        <v>533</v>
      </c>
      <c r="K45" s="143" t="s">
        <v>363</v>
      </c>
      <c r="L45" s="143" t="s">
        <v>364</v>
      </c>
      <c r="M45" s="144">
        <v>2</v>
      </c>
      <c r="N45" s="144"/>
      <c r="O45" s="144">
        <v>2</v>
      </c>
      <c r="AD45" s="139" t="s">
        <v>354</v>
      </c>
      <c r="AE45" s="139" t="s">
        <v>356</v>
      </c>
      <c r="AH45" s="156">
        <v>1</v>
      </c>
      <c r="AI45" s="158">
        <v>5.5813953488372094E-3</v>
      </c>
    </row>
    <row r="46" spans="1:46" x14ac:dyDescent="0.2">
      <c r="A46" s="36" t="s">
        <v>192</v>
      </c>
      <c r="B46" s="139" t="s">
        <v>98</v>
      </c>
      <c r="C46" s="139" t="s">
        <v>103</v>
      </c>
      <c r="F46" s="139" t="s">
        <v>257</v>
      </c>
      <c r="G46" s="139" t="s">
        <v>309</v>
      </c>
      <c r="H46" s="139" t="s">
        <v>533</v>
      </c>
      <c r="K46" s="143" t="s">
        <v>370</v>
      </c>
      <c r="L46" s="143" t="s">
        <v>371</v>
      </c>
      <c r="M46" s="144">
        <v>3</v>
      </c>
      <c r="N46" s="144">
        <v>2</v>
      </c>
      <c r="O46" s="144">
        <v>5</v>
      </c>
      <c r="AD46" s="139" t="s">
        <v>363</v>
      </c>
      <c r="AE46" s="139" t="s">
        <v>365</v>
      </c>
      <c r="AH46" s="156">
        <v>2</v>
      </c>
      <c r="AI46" s="158">
        <v>1.8604651162790697E-2</v>
      </c>
    </row>
    <row r="47" spans="1:46" x14ac:dyDescent="0.2">
      <c r="A47" s="36" t="s">
        <v>194</v>
      </c>
      <c r="B47" s="139" t="s">
        <v>98</v>
      </c>
      <c r="C47" s="139" t="s">
        <v>103</v>
      </c>
      <c r="G47" s="139" t="s">
        <v>311</v>
      </c>
      <c r="H47" s="139" t="s">
        <v>533</v>
      </c>
      <c r="K47" s="143" t="s">
        <v>379</v>
      </c>
      <c r="L47" s="143" t="s">
        <v>380</v>
      </c>
      <c r="M47" s="144">
        <v>4</v>
      </c>
      <c r="N47" s="144">
        <v>2</v>
      </c>
      <c r="O47" s="144">
        <v>6</v>
      </c>
      <c r="AD47" s="139" t="s">
        <v>370</v>
      </c>
      <c r="AE47" s="139" t="s">
        <v>372</v>
      </c>
      <c r="AH47" s="156">
        <v>4</v>
      </c>
      <c r="AI47" s="158">
        <v>2.5165238678090576E-2</v>
      </c>
    </row>
    <row r="48" spans="1:46" x14ac:dyDescent="0.2">
      <c r="A48" s="36" t="s">
        <v>196</v>
      </c>
      <c r="B48" s="139" t="s">
        <v>98</v>
      </c>
      <c r="C48" s="139" t="s">
        <v>103</v>
      </c>
      <c r="G48" s="139" t="s">
        <v>313</v>
      </c>
      <c r="H48" s="139" t="s">
        <v>533</v>
      </c>
      <c r="K48" s="143" t="s">
        <v>391</v>
      </c>
      <c r="L48" s="143" t="s">
        <v>392</v>
      </c>
      <c r="M48" s="144">
        <v>6</v>
      </c>
      <c r="N48" s="144">
        <v>1</v>
      </c>
      <c r="O48" s="144">
        <v>7</v>
      </c>
      <c r="AD48" s="139" t="s">
        <v>379</v>
      </c>
      <c r="AE48" s="139" t="s">
        <v>381</v>
      </c>
      <c r="AH48" s="156">
        <v>3</v>
      </c>
      <c r="AI48" s="158">
        <v>2.4186046511627906E-2</v>
      </c>
    </row>
    <row r="49" spans="1:35" x14ac:dyDescent="0.2">
      <c r="A49" s="36" t="s">
        <v>198</v>
      </c>
      <c r="B49" s="139" t="s">
        <v>98</v>
      </c>
      <c r="C49" s="139" t="s">
        <v>103</v>
      </c>
      <c r="G49" s="139" t="s">
        <v>315</v>
      </c>
      <c r="H49" s="139" t="s">
        <v>533</v>
      </c>
      <c r="K49" s="143" t="s">
        <v>405</v>
      </c>
      <c r="L49" s="143" t="s">
        <v>406</v>
      </c>
      <c r="M49" s="144">
        <v>3</v>
      </c>
      <c r="N49" s="144">
        <v>1</v>
      </c>
      <c r="O49" s="144">
        <v>4</v>
      </c>
      <c r="AD49" s="139" t="s">
        <v>391</v>
      </c>
      <c r="AE49" s="139" t="s">
        <v>393</v>
      </c>
      <c r="AH49" s="156">
        <v>2</v>
      </c>
      <c r="AI49" s="158">
        <v>1.8604651162790697E-2</v>
      </c>
    </row>
    <row r="50" spans="1:35" x14ac:dyDescent="0.2">
      <c r="A50" s="36" t="s">
        <v>199</v>
      </c>
      <c r="B50" s="139" t="s">
        <v>98</v>
      </c>
      <c r="C50" s="139" t="s">
        <v>103</v>
      </c>
      <c r="G50" s="139" t="s">
        <v>335</v>
      </c>
      <c r="H50" s="139" t="s">
        <v>533</v>
      </c>
      <c r="K50" s="151" t="s">
        <v>411</v>
      </c>
      <c r="L50" s="151" t="s">
        <v>412</v>
      </c>
      <c r="M50" s="152">
        <v>3</v>
      </c>
      <c r="N50" s="152">
        <v>5</v>
      </c>
      <c r="O50" s="152">
        <v>8</v>
      </c>
      <c r="AD50" s="139" t="s">
        <v>405</v>
      </c>
      <c r="AE50" s="139" t="s">
        <v>407</v>
      </c>
      <c r="AH50" s="156">
        <v>3</v>
      </c>
      <c r="AI50" s="158">
        <v>2.7025703794369645E-2</v>
      </c>
    </row>
    <row r="51" spans="1:35" x14ac:dyDescent="0.2">
      <c r="A51" s="36" t="s">
        <v>201</v>
      </c>
      <c r="B51" s="139" t="s">
        <v>98</v>
      </c>
      <c r="C51" s="139" t="s">
        <v>103</v>
      </c>
      <c r="G51" s="139" t="s">
        <v>337</v>
      </c>
      <c r="H51" s="139" t="s">
        <v>533</v>
      </c>
      <c r="K51" s="151" t="s">
        <v>425</v>
      </c>
      <c r="L51" s="151" t="s">
        <v>426</v>
      </c>
      <c r="M51" s="152">
        <v>9</v>
      </c>
      <c r="N51" s="152">
        <v>1</v>
      </c>
      <c r="O51" s="152">
        <v>10</v>
      </c>
      <c r="AD51" s="139" t="s">
        <v>411</v>
      </c>
      <c r="AE51" s="139" t="s">
        <v>413</v>
      </c>
      <c r="AH51" s="156">
        <v>6</v>
      </c>
      <c r="AI51" s="158">
        <v>3.7209302325581395E-2</v>
      </c>
    </row>
    <row r="52" spans="1:35" x14ac:dyDescent="0.2">
      <c r="A52" s="36" t="s">
        <v>710</v>
      </c>
      <c r="B52" s="139" t="s">
        <v>98</v>
      </c>
      <c r="C52" s="139" t="s">
        <v>103</v>
      </c>
      <c r="G52" s="139" t="s">
        <v>344</v>
      </c>
      <c r="H52" s="139" t="s">
        <v>533</v>
      </c>
      <c r="K52" s="151" t="s">
        <v>441</v>
      </c>
      <c r="L52" s="151" t="s">
        <v>442</v>
      </c>
      <c r="M52" s="152">
        <v>6</v>
      </c>
      <c r="N52" s="152">
        <v>1</v>
      </c>
      <c r="O52" s="152">
        <v>7</v>
      </c>
      <c r="AD52" s="139" t="s">
        <v>425</v>
      </c>
      <c r="AE52" s="139" t="s">
        <v>427</v>
      </c>
      <c r="AH52" s="156">
        <v>4</v>
      </c>
      <c r="AI52" s="158">
        <v>2.9767441860465114E-2</v>
      </c>
    </row>
    <row r="53" spans="1:35" x14ac:dyDescent="0.2">
      <c r="A53" s="36" t="s">
        <v>205</v>
      </c>
      <c r="B53" s="139" t="s">
        <v>98</v>
      </c>
      <c r="C53" s="139" t="s">
        <v>103</v>
      </c>
      <c r="G53" s="139" t="s">
        <v>292</v>
      </c>
      <c r="H53" s="139" t="s">
        <v>519</v>
      </c>
      <c r="K53" s="153" t="s">
        <v>454</v>
      </c>
      <c r="L53" s="153" t="s">
        <v>455</v>
      </c>
      <c r="M53" s="154">
        <v>6</v>
      </c>
      <c r="N53" s="154">
        <v>3</v>
      </c>
      <c r="O53" s="154">
        <v>9</v>
      </c>
      <c r="AD53" s="139" t="s">
        <v>441</v>
      </c>
      <c r="AE53" s="139" t="s">
        <v>443</v>
      </c>
      <c r="AH53" s="156">
        <v>6</v>
      </c>
      <c r="AI53" s="158">
        <v>5.5813953488372092E-2</v>
      </c>
    </row>
    <row r="54" spans="1:35" x14ac:dyDescent="0.2">
      <c r="A54" s="36" t="s">
        <v>207</v>
      </c>
      <c r="B54" s="139" t="s">
        <v>98</v>
      </c>
      <c r="C54" s="139" t="s">
        <v>103</v>
      </c>
      <c r="G54" s="139" t="s">
        <v>294</v>
      </c>
      <c r="H54" s="139" t="s">
        <v>519</v>
      </c>
      <c r="K54" s="153" t="s">
        <v>474</v>
      </c>
      <c r="L54" s="153" t="s">
        <v>475</v>
      </c>
      <c r="M54" s="154">
        <v>4</v>
      </c>
      <c r="N54" s="154"/>
      <c r="O54" s="154">
        <v>4</v>
      </c>
      <c r="AD54" s="139" t="s">
        <v>454</v>
      </c>
      <c r="AE54" s="139" t="s">
        <v>467</v>
      </c>
      <c r="AH54" s="156">
        <v>4</v>
      </c>
      <c r="AI54" s="158">
        <v>3.7209302325581395E-2</v>
      </c>
    </row>
    <row r="55" spans="1:35" x14ac:dyDescent="0.2">
      <c r="A55" s="36" t="s">
        <v>209</v>
      </c>
      <c r="B55" s="139" t="s">
        <v>98</v>
      </c>
      <c r="C55" s="139" t="s">
        <v>103</v>
      </c>
      <c r="G55" s="139" t="s">
        <v>296</v>
      </c>
      <c r="H55" s="139" t="s">
        <v>533</v>
      </c>
      <c r="K55" s="147" t="s">
        <v>1949</v>
      </c>
      <c r="L55" s="147"/>
      <c r="M55" s="148">
        <v>154</v>
      </c>
      <c r="N55" s="148">
        <v>41</v>
      </c>
      <c r="O55" s="148">
        <v>195</v>
      </c>
      <c r="AE55" s="139" t="s">
        <v>456</v>
      </c>
      <c r="AH55" s="156">
        <v>3</v>
      </c>
      <c r="AI55" s="158">
        <v>2.7906976744186046E-2</v>
      </c>
    </row>
    <row r="56" spans="1:35" x14ac:dyDescent="0.2">
      <c r="A56" s="36" t="s">
        <v>211</v>
      </c>
      <c r="B56" s="139" t="s">
        <v>98</v>
      </c>
      <c r="C56" s="139" t="s">
        <v>533</v>
      </c>
      <c r="G56" s="139" t="s">
        <v>260</v>
      </c>
      <c r="H56" s="139" t="s">
        <v>533</v>
      </c>
      <c r="AD56" s="139" t="s">
        <v>474</v>
      </c>
      <c r="AE56" s="139" t="s">
        <v>476</v>
      </c>
      <c r="AH56" s="156">
        <v>4</v>
      </c>
      <c r="AI56" s="158">
        <v>2.8886168910648713E-2</v>
      </c>
    </row>
    <row r="57" spans="1:35" x14ac:dyDescent="0.2">
      <c r="A57" s="36" t="s">
        <v>213</v>
      </c>
      <c r="B57" s="139" t="s">
        <v>98</v>
      </c>
      <c r="C57" s="139" t="s">
        <v>533</v>
      </c>
      <c r="G57" s="139" t="s">
        <v>262</v>
      </c>
      <c r="H57" s="139" t="s">
        <v>533</v>
      </c>
      <c r="AD57" s="147" t="s">
        <v>1949</v>
      </c>
      <c r="AE57" s="147"/>
      <c r="AF57" s="147"/>
      <c r="AG57" s="147"/>
      <c r="AH57" s="157">
        <v>105</v>
      </c>
      <c r="AI57" s="159">
        <v>0.79999999999999905</v>
      </c>
    </row>
    <row r="58" spans="1:35" ht="15" x14ac:dyDescent="0.25">
      <c r="A58" s="36" t="s">
        <v>215</v>
      </c>
      <c r="B58" s="139" t="s">
        <v>98</v>
      </c>
      <c r="C58" s="139" t="s">
        <v>554</v>
      </c>
      <c r="G58" s="139" t="s">
        <v>264</v>
      </c>
      <c r="H58" s="139" t="s">
        <v>533</v>
      </c>
      <c r="K58" s="140" t="s">
        <v>1944</v>
      </c>
      <c r="L58" s="140" t="s">
        <v>1941</v>
      </c>
      <c r="M58" s="139" t="s">
        <v>1963</v>
      </c>
      <c r="AD58"/>
      <c r="AE58"/>
      <c r="AF58"/>
      <c r="AG58"/>
      <c r="AH58"/>
      <c r="AI58"/>
    </row>
    <row r="59" spans="1:35" ht="15" x14ac:dyDescent="0.25">
      <c r="A59" s="36" t="s">
        <v>217</v>
      </c>
      <c r="B59" s="139" t="s">
        <v>98</v>
      </c>
      <c r="C59" s="139" t="s">
        <v>554</v>
      </c>
      <c r="G59" s="139" t="s">
        <v>265</v>
      </c>
      <c r="H59" s="139" t="s">
        <v>103</v>
      </c>
      <c r="K59" s="139" t="s">
        <v>98</v>
      </c>
      <c r="L59" s="139" t="s">
        <v>103</v>
      </c>
      <c r="M59" s="142">
        <v>65</v>
      </c>
      <c r="AD59"/>
      <c r="AE59"/>
      <c r="AF59"/>
      <c r="AG59"/>
      <c r="AH59" s="97"/>
    </row>
    <row r="60" spans="1:35" ht="15" x14ac:dyDescent="0.25">
      <c r="A60" s="36" t="s">
        <v>219</v>
      </c>
      <c r="B60" s="139" t="s">
        <v>98</v>
      </c>
      <c r="C60" s="139" t="s">
        <v>554</v>
      </c>
      <c r="G60" s="139" t="s">
        <v>267</v>
      </c>
      <c r="H60" s="139" t="s">
        <v>103</v>
      </c>
      <c r="L60" s="139" t="s">
        <v>519</v>
      </c>
      <c r="M60" s="142">
        <v>29</v>
      </c>
      <c r="AD60"/>
      <c r="AE60"/>
      <c r="AF60"/>
      <c r="AG60"/>
      <c r="AH60" s="97"/>
    </row>
    <row r="61" spans="1:35" x14ac:dyDescent="0.2">
      <c r="A61" s="36" t="s">
        <v>220</v>
      </c>
      <c r="B61" s="139" t="s">
        <v>98</v>
      </c>
      <c r="C61" s="139" t="s">
        <v>103</v>
      </c>
      <c r="G61" s="139" t="s">
        <v>269</v>
      </c>
      <c r="H61" s="139" t="s">
        <v>103</v>
      </c>
      <c r="L61" s="139" t="s">
        <v>533</v>
      </c>
      <c r="M61" s="142">
        <v>60</v>
      </c>
      <c r="AD61" s="140" t="s">
        <v>1633</v>
      </c>
      <c r="AE61" s="140" t="s">
        <v>1950</v>
      </c>
      <c r="AF61" s="140" t="s">
        <v>1561</v>
      </c>
      <c r="AG61" s="140" t="s">
        <v>1562</v>
      </c>
      <c r="AH61" s="141" t="s">
        <v>2014</v>
      </c>
      <c r="AI61" s="158" t="s">
        <v>2013</v>
      </c>
    </row>
    <row r="62" spans="1:35" x14ac:dyDescent="0.2">
      <c r="A62" s="36" t="s">
        <v>222</v>
      </c>
      <c r="B62" s="139" t="s">
        <v>98</v>
      </c>
      <c r="C62" s="139" t="s">
        <v>791</v>
      </c>
      <c r="G62" s="139" t="s">
        <v>271</v>
      </c>
      <c r="H62" s="139" t="s">
        <v>533</v>
      </c>
      <c r="K62" s="139" t="s">
        <v>1971</v>
      </c>
      <c r="M62" s="142">
        <v>154</v>
      </c>
      <c r="AD62" s="139" t="s">
        <v>109</v>
      </c>
      <c r="AE62" s="139" t="s">
        <v>111</v>
      </c>
      <c r="AH62" s="156">
        <v>9</v>
      </c>
      <c r="AI62" s="158">
        <v>6.7270501835985319E-2</v>
      </c>
    </row>
    <row r="63" spans="1:35" x14ac:dyDescent="0.2">
      <c r="A63" s="36" t="s">
        <v>224</v>
      </c>
      <c r="B63" s="139" t="s">
        <v>98</v>
      </c>
      <c r="C63" s="139" t="s">
        <v>103</v>
      </c>
      <c r="G63" s="139" t="s">
        <v>304</v>
      </c>
      <c r="H63" s="139" t="s">
        <v>103</v>
      </c>
      <c r="K63" s="139" t="s">
        <v>683</v>
      </c>
      <c r="L63" s="139" t="s">
        <v>103</v>
      </c>
      <c r="M63" s="142">
        <v>10</v>
      </c>
      <c r="AD63" s="139" t="s">
        <v>144</v>
      </c>
      <c r="AE63" s="139" t="s">
        <v>146</v>
      </c>
      <c r="AH63" s="156">
        <v>7</v>
      </c>
      <c r="AI63" s="158">
        <v>5.2190942472460221E-2</v>
      </c>
    </row>
    <row r="64" spans="1:35" x14ac:dyDescent="0.2">
      <c r="A64" s="36" t="s">
        <v>226</v>
      </c>
      <c r="B64" s="139" t="s">
        <v>98</v>
      </c>
      <c r="C64" s="139" t="s">
        <v>103</v>
      </c>
      <c r="G64" s="139" t="s">
        <v>306</v>
      </c>
      <c r="H64" s="139" t="s">
        <v>103</v>
      </c>
      <c r="L64" s="139" t="s">
        <v>519</v>
      </c>
      <c r="M64" s="142">
        <v>1</v>
      </c>
      <c r="AD64" s="139" t="s">
        <v>168</v>
      </c>
      <c r="AE64" s="139" t="s">
        <v>170</v>
      </c>
      <c r="AH64" s="156">
        <v>4</v>
      </c>
      <c r="AI64" s="158">
        <v>3.4565483476132197E-2</v>
      </c>
    </row>
    <row r="65" spans="1:43" x14ac:dyDescent="0.2">
      <c r="A65" s="36" t="s">
        <v>228</v>
      </c>
      <c r="B65" s="139" t="s">
        <v>98</v>
      </c>
      <c r="C65" s="139" t="s">
        <v>533</v>
      </c>
      <c r="F65" s="139" t="s">
        <v>354</v>
      </c>
      <c r="G65" s="139" t="s">
        <v>357</v>
      </c>
      <c r="H65" s="139" t="s">
        <v>533</v>
      </c>
      <c r="L65" s="139" t="s">
        <v>533</v>
      </c>
      <c r="M65" s="142">
        <v>30</v>
      </c>
      <c r="AD65" s="139" t="s">
        <v>176</v>
      </c>
      <c r="AE65" s="139" t="s">
        <v>178</v>
      </c>
      <c r="AH65" s="156">
        <v>7</v>
      </c>
      <c r="AI65" s="158">
        <v>5.5030599755201956E-2</v>
      </c>
    </row>
    <row r="66" spans="1:43" x14ac:dyDescent="0.2">
      <c r="A66" s="36" t="s">
        <v>230</v>
      </c>
      <c r="B66" s="139" t="s">
        <v>683</v>
      </c>
      <c r="C66" s="139" t="s">
        <v>533</v>
      </c>
      <c r="F66" s="139" t="s">
        <v>363</v>
      </c>
      <c r="G66" s="139" t="s">
        <v>366</v>
      </c>
      <c r="H66" s="139" t="s">
        <v>103</v>
      </c>
      <c r="K66" s="139" t="s">
        <v>1972</v>
      </c>
      <c r="M66" s="142">
        <v>41</v>
      </c>
      <c r="AD66" s="139" t="s">
        <v>202</v>
      </c>
      <c r="AE66" s="139" t="s">
        <v>238</v>
      </c>
      <c r="AH66" s="156">
        <v>2</v>
      </c>
      <c r="AI66" s="158">
        <v>1.4883720930232557E-2</v>
      </c>
    </row>
    <row r="67" spans="1:43" x14ac:dyDescent="0.2">
      <c r="A67" s="36" t="s">
        <v>232</v>
      </c>
      <c r="B67" s="139" t="s">
        <v>98</v>
      </c>
      <c r="C67" s="139" t="s">
        <v>103</v>
      </c>
      <c r="G67" s="139" t="s">
        <v>368</v>
      </c>
      <c r="H67" s="139" t="s">
        <v>103</v>
      </c>
      <c r="K67" s="147" t="s">
        <v>1949</v>
      </c>
      <c r="L67" s="147"/>
      <c r="M67" s="148">
        <v>195</v>
      </c>
      <c r="AE67" s="139" t="s">
        <v>247</v>
      </c>
      <c r="AH67" s="156">
        <v>4</v>
      </c>
      <c r="AI67" s="158">
        <v>2.6046511627906978E-2</v>
      </c>
    </row>
    <row r="68" spans="1:43" x14ac:dyDescent="0.2">
      <c r="A68" s="36" t="s">
        <v>234</v>
      </c>
      <c r="B68" s="139" t="s">
        <v>98</v>
      </c>
      <c r="C68" s="139" t="s">
        <v>103</v>
      </c>
      <c r="F68" s="139" t="s">
        <v>370</v>
      </c>
      <c r="G68" s="139" t="s">
        <v>373</v>
      </c>
      <c r="H68" s="139" t="s">
        <v>533</v>
      </c>
      <c r="AE68" s="139" t="s">
        <v>204</v>
      </c>
      <c r="AH68" s="156">
        <v>3</v>
      </c>
      <c r="AI68" s="158">
        <v>1.6744186046511629E-2</v>
      </c>
    </row>
    <row r="69" spans="1:43" x14ac:dyDescent="0.2">
      <c r="A69" s="36" t="s">
        <v>236</v>
      </c>
      <c r="B69" s="139" t="s">
        <v>98</v>
      </c>
      <c r="C69" s="139" t="s">
        <v>103</v>
      </c>
      <c r="G69" s="139" t="s">
        <v>374</v>
      </c>
      <c r="H69" s="139" t="s">
        <v>533</v>
      </c>
      <c r="AD69" s="139" t="s">
        <v>257</v>
      </c>
      <c r="AE69" s="139" t="s">
        <v>259</v>
      </c>
      <c r="AH69" s="156">
        <v>2</v>
      </c>
      <c r="AI69" s="158">
        <v>1.1162790697674419E-2</v>
      </c>
    </row>
    <row r="70" spans="1:43" x14ac:dyDescent="0.2">
      <c r="A70" s="36" t="s">
        <v>239</v>
      </c>
      <c r="B70" s="139" t="s">
        <v>98</v>
      </c>
      <c r="C70" s="139" t="s">
        <v>103</v>
      </c>
      <c r="G70" s="139" t="s">
        <v>375</v>
      </c>
      <c r="H70" s="139" t="s">
        <v>519</v>
      </c>
      <c r="AE70" s="139" t="s">
        <v>291</v>
      </c>
      <c r="AH70" s="156">
        <v>2</v>
      </c>
      <c r="AI70" s="158">
        <v>1.6842105263157898E-2</v>
      </c>
    </row>
    <row r="71" spans="1:43" x14ac:dyDescent="0.2">
      <c r="A71" s="36" t="s">
        <v>241</v>
      </c>
      <c r="B71" s="139" t="s">
        <v>98</v>
      </c>
      <c r="C71" s="139" t="s">
        <v>103</v>
      </c>
      <c r="G71" s="139" t="s">
        <v>377</v>
      </c>
      <c r="H71" s="139" t="s">
        <v>533</v>
      </c>
      <c r="AE71" s="139" t="s">
        <v>303</v>
      </c>
      <c r="AH71" s="156">
        <v>1</v>
      </c>
      <c r="AI71" s="158">
        <v>9.3023255813953487E-3</v>
      </c>
    </row>
    <row r="72" spans="1:43" x14ac:dyDescent="0.2">
      <c r="A72" s="36" t="s">
        <v>243</v>
      </c>
      <c r="B72" s="139" t="s">
        <v>98</v>
      </c>
      <c r="C72" s="139" t="s">
        <v>533</v>
      </c>
      <c r="F72" s="139" t="s">
        <v>379</v>
      </c>
      <c r="G72" s="139" t="s">
        <v>382</v>
      </c>
      <c r="H72" s="139" t="s">
        <v>103</v>
      </c>
      <c r="AE72" s="139" t="s">
        <v>308</v>
      </c>
      <c r="AH72" s="156">
        <v>1</v>
      </c>
      <c r="AI72" s="158">
        <v>5.5813953488372094E-3</v>
      </c>
    </row>
    <row r="73" spans="1:43" x14ac:dyDescent="0.2">
      <c r="A73" s="36" t="s">
        <v>245</v>
      </c>
      <c r="B73" s="139" t="s">
        <v>98</v>
      </c>
      <c r="C73" s="139" t="s">
        <v>103</v>
      </c>
      <c r="G73" s="139" t="s">
        <v>383</v>
      </c>
      <c r="H73" s="139" t="s">
        <v>533</v>
      </c>
      <c r="AE73" s="139" t="s">
        <v>334</v>
      </c>
      <c r="AH73" s="156">
        <v>2</v>
      </c>
      <c r="AI73" s="158">
        <v>1.1162790697674419E-2</v>
      </c>
      <c r="AN73" s="164" t="s">
        <v>1950</v>
      </c>
      <c r="AO73" s="166" t="s">
        <v>2023</v>
      </c>
      <c r="AP73" s="166" t="s">
        <v>2024</v>
      </c>
      <c r="AQ73" s="166" t="s">
        <v>2025</v>
      </c>
    </row>
    <row r="74" spans="1:43" x14ac:dyDescent="0.2">
      <c r="A74" s="36" t="s">
        <v>248</v>
      </c>
      <c r="B74" s="139" t="s">
        <v>98</v>
      </c>
      <c r="C74" s="139" t="s">
        <v>103</v>
      </c>
      <c r="G74" s="139" t="s">
        <v>385</v>
      </c>
      <c r="H74" s="139" t="s">
        <v>103</v>
      </c>
      <c r="AE74" s="139" t="s">
        <v>343</v>
      </c>
      <c r="AH74" s="156">
        <v>1</v>
      </c>
      <c r="AI74" s="158">
        <v>5.5813953488372094E-3</v>
      </c>
      <c r="AN74" s="139" t="s">
        <v>2026</v>
      </c>
      <c r="AO74" s="146">
        <v>9.1750805585392045E-2</v>
      </c>
      <c r="AP74" s="146">
        <v>7.2344497607655517E-2</v>
      </c>
      <c r="AQ74" s="146">
        <v>7.2344497607655517E-2</v>
      </c>
    </row>
    <row r="75" spans="1:43" x14ac:dyDescent="0.2">
      <c r="A75" s="36" t="s">
        <v>250</v>
      </c>
      <c r="B75" s="139" t="s">
        <v>98</v>
      </c>
      <c r="C75" s="139" t="s">
        <v>533</v>
      </c>
      <c r="F75" s="139" t="s">
        <v>391</v>
      </c>
      <c r="G75" s="139" t="s">
        <v>394</v>
      </c>
      <c r="H75" s="139" t="s">
        <v>103</v>
      </c>
      <c r="AD75" s="139" t="s">
        <v>354</v>
      </c>
      <c r="AE75" s="139" t="s">
        <v>356</v>
      </c>
      <c r="AH75" s="156">
        <v>1</v>
      </c>
      <c r="AI75" s="158">
        <v>5.5813953488372094E-3</v>
      </c>
      <c r="AN75" s="139" t="s">
        <v>2027</v>
      </c>
      <c r="AO75" s="146">
        <v>5.9120225813703693E-2</v>
      </c>
      <c r="AP75" s="146">
        <v>5.1810392789584957E-2</v>
      </c>
      <c r="AQ75" s="146">
        <v>5.1810392789584957E-2</v>
      </c>
    </row>
    <row r="76" spans="1:43" x14ac:dyDescent="0.2">
      <c r="A76" s="36" t="s">
        <v>252</v>
      </c>
      <c r="B76" s="139" t="s">
        <v>98</v>
      </c>
      <c r="C76" s="139" t="s">
        <v>533</v>
      </c>
      <c r="G76" s="139" t="s">
        <v>395</v>
      </c>
      <c r="H76" s="139" t="s">
        <v>103</v>
      </c>
      <c r="AD76" s="139" t="s">
        <v>363</v>
      </c>
      <c r="AE76" s="139" t="s">
        <v>365</v>
      </c>
      <c r="AH76" s="156">
        <v>1</v>
      </c>
      <c r="AI76" s="158">
        <v>9.3023255813953487E-3</v>
      </c>
      <c r="AN76" s="139" t="s">
        <v>1996</v>
      </c>
      <c r="AO76" s="146">
        <v>3.5789973272050565E-2</v>
      </c>
      <c r="AP76" s="146">
        <v>3.4565483476132197E-2</v>
      </c>
      <c r="AQ76" s="146">
        <v>3.4565483476132197E-2</v>
      </c>
    </row>
    <row r="77" spans="1:43" x14ac:dyDescent="0.2">
      <c r="A77" s="36" t="s">
        <v>254</v>
      </c>
      <c r="B77" s="139" t="s">
        <v>98</v>
      </c>
      <c r="C77" s="139" t="s">
        <v>533</v>
      </c>
      <c r="F77" s="139" t="s">
        <v>405</v>
      </c>
      <c r="G77" s="139" t="s">
        <v>408</v>
      </c>
      <c r="H77" s="139" t="s">
        <v>103</v>
      </c>
      <c r="AD77" s="139" t="s">
        <v>370</v>
      </c>
      <c r="AE77" s="139" t="s">
        <v>372</v>
      </c>
      <c r="AH77" s="156">
        <v>4</v>
      </c>
      <c r="AI77" s="158">
        <v>2.5165238678090576E-2</v>
      </c>
      <c r="AN77" s="139" t="s">
        <v>2028</v>
      </c>
      <c r="AO77" s="146">
        <v>9.6424222743509314E-2</v>
      </c>
      <c r="AP77" s="146">
        <v>7.3381551129409153E-2</v>
      </c>
      <c r="AQ77" s="146">
        <v>5.4776899966618449E-2</v>
      </c>
    </row>
    <row r="78" spans="1:43" x14ac:dyDescent="0.2">
      <c r="A78" s="36" t="s">
        <v>255</v>
      </c>
      <c r="B78" s="139" t="s">
        <v>98</v>
      </c>
      <c r="C78" s="139" t="s">
        <v>103</v>
      </c>
      <c r="G78" s="139" t="s">
        <v>409</v>
      </c>
      <c r="H78" s="139" t="s">
        <v>103</v>
      </c>
      <c r="AD78" s="139" t="s">
        <v>379</v>
      </c>
      <c r="AE78" s="139" t="s">
        <v>381</v>
      </c>
      <c r="AH78" s="156">
        <v>1</v>
      </c>
      <c r="AI78" s="158">
        <v>5.5813953488372094E-3</v>
      </c>
      <c r="AN78" s="139" t="s">
        <v>2029</v>
      </c>
      <c r="AO78" s="146">
        <v>0.141305604694309</v>
      </c>
      <c r="AP78" s="146">
        <v>0.10490486257928119</v>
      </c>
      <c r="AQ78" s="146">
        <v>5.6786469344608875E-2</v>
      </c>
    </row>
    <row r="79" spans="1:43" x14ac:dyDescent="0.2">
      <c r="A79" s="36" t="s">
        <v>309</v>
      </c>
      <c r="B79" s="139" t="s">
        <v>98</v>
      </c>
      <c r="C79" s="139" t="s">
        <v>917</v>
      </c>
      <c r="G79" s="139" t="s">
        <v>410</v>
      </c>
      <c r="H79" s="139" t="s">
        <v>519</v>
      </c>
      <c r="AD79" s="139" t="s">
        <v>391</v>
      </c>
      <c r="AE79" s="139" t="s">
        <v>393</v>
      </c>
      <c r="AH79" s="156">
        <v>1</v>
      </c>
      <c r="AI79" s="158">
        <v>9.3023255813953487E-3</v>
      </c>
      <c r="AN79" s="139" t="s">
        <v>259</v>
      </c>
      <c r="AO79" s="146">
        <v>7.6478405315614603E-2</v>
      </c>
      <c r="AP79" s="146">
        <v>4.9725158562367866E-2</v>
      </c>
      <c r="AQ79" s="146">
        <v>1.0909090909090908E-2</v>
      </c>
    </row>
    <row r="80" spans="1:43" x14ac:dyDescent="0.2">
      <c r="A80" s="36" t="s">
        <v>311</v>
      </c>
      <c r="B80" s="139" t="s">
        <v>98</v>
      </c>
      <c r="C80" s="139" t="s">
        <v>917</v>
      </c>
      <c r="F80" s="139" t="s">
        <v>411</v>
      </c>
      <c r="G80" s="139" t="s">
        <v>414</v>
      </c>
      <c r="H80" s="139" t="s">
        <v>533</v>
      </c>
      <c r="AD80" s="139" t="s">
        <v>405</v>
      </c>
      <c r="AE80" s="139" t="s">
        <v>407</v>
      </c>
      <c r="AH80" s="156">
        <v>2</v>
      </c>
      <c r="AI80" s="158">
        <v>1.8604651162790697E-2</v>
      </c>
      <c r="AN80" s="139" t="s">
        <v>1991</v>
      </c>
      <c r="AO80" s="146">
        <v>2.7194609901376825E-2</v>
      </c>
      <c r="AP80" s="146">
        <v>2.2296650717703353E-2</v>
      </c>
      <c r="AQ80" s="146">
        <v>1.6842105263157898E-2</v>
      </c>
    </row>
    <row r="81" spans="1:43" x14ac:dyDescent="0.2">
      <c r="A81" s="36" t="s">
        <v>313</v>
      </c>
      <c r="B81" s="139" t="s">
        <v>98</v>
      </c>
      <c r="C81" s="139" t="s">
        <v>917</v>
      </c>
      <c r="G81" s="139" t="s">
        <v>416</v>
      </c>
      <c r="H81" s="139" t="s">
        <v>533</v>
      </c>
      <c r="AD81" s="139" t="s">
        <v>411</v>
      </c>
      <c r="AE81" s="139" t="s">
        <v>413</v>
      </c>
      <c r="AH81" s="156">
        <v>2</v>
      </c>
      <c r="AI81" s="158">
        <v>1.1162790697674419E-2</v>
      </c>
      <c r="AN81" s="139" t="s">
        <v>2030</v>
      </c>
      <c r="AO81" s="146">
        <v>1.8604651162790697E-2</v>
      </c>
      <c r="AP81" s="146">
        <v>1.8604651162790697E-2</v>
      </c>
      <c r="AQ81" s="146">
        <v>9.3023255813953487E-3</v>
      </c>
    </row>
    <row r="82" spans="1:43" x14ac:dyDescent="0.2">
      <c r="A82" s="36" t="s">
        <v>315</v>
      </c>
      <c r="B82" s="139" t="s">
        <v>98</v>
      </c>
      <c r="C82" s="139" t="s">
        <v>917</v>
      </c>
      <c r="G82" s="139" t="s">
        <v>418</v>
      </c>
      <c r="H82" s="139" t="s">
        <v>533</v>
      </c>
      <c r="AD82" s="139" t="s">
        <v>425</v>
      </c>
      <c r="AE82" s="139" t="s">
        <v>427</v>
      </c>
      <c r="AH82" s="156">
        <v>3</v>
      </c>
      <c r="AI82" s="158">
        <v>2.0465116279069766E-2</v>
      </c>
      <c r="AN82" s="139" t="s">
        <v>892</v>
      </c>
      <c r="AO82" s="146">
        <v>3.2838589981447126E-2</v>
      </c>
      <c r="AP82" s="146">
        <v>2.1818181818181816E-2</v>
      </c>
      <c r="AQ82" s="146">
        <v>5.4545454545454541E-3</v>
      </c>
    </row>
    <row r="83" spans="1:43" x14ac:dyDescent="0.2">
      <c r="A83" s="36" t="s">
        <v>317</v>
      </c>
      <c r="B83" s="139" t="s">
        <v>98</v>
      </c>
      <c r="C83" s="139" t="s">
        <v>917</v>
      </c>
      <c r="G83" s="139" t="s">
        <v>420</v>
      </c>
      <c r="H83" s="139" t="s">
        <v>533</v>
      </c>
      <c r="AD83" s="139" t="s">
        <v>441</v>
      </c>
      <c r="AE83" s="139" t="s">
        <v>443</v>
      </c>
      <c r="AH83" s="156">
        <v>6</v>
      </c>
      <c r="AI83" s="158">
        <v>5.5813953488372092E-2</v>
      </c>
      <c r="AN83" s="139" t="s">
        <v>334</v>
      </c>
      <c r="AO83" s="146">
        <v>1.4582560296846011E-2</v>
      </c>
      <c r="AP83" s="146">
        <v>1.0909090909090908E-2</v>
      </c>
      <c r="AQ83" s="146">
        <v>1.0909090909090908E-2</v>
      </c>
    </row>
    <row r="84" spans="1:43" x14ac:dyDescent="0.2">
      <c r="A84" s="36" t="s">
        <v>318</v>
      </c>
      <c r="B84" s="139" t="s">
        <v>98</v>
      </c>
      <c r="C84" s="139" t="s">
        <v>917</v>
      </c>
      <c r="G84" s="139" t="s">
        <v>421</v>
      </c>
      <c r="H84" s="139" t="s">
        <v>103</v>
      </c>
      <c r="AD84" s="139" t="s">
        <v>454</v>
      </c>
      <c r="AE84" s="139" t="s">
        <v>467</v>
      </c>
      <c r="AH84" s="156">
        <v>3</v>
      </c>
      <c r="AI84" s="158">
        <v>2.7906976744186046E-2</v>
      </c>
      <c r="AN84" s="139" t="s">
        <v>2033</v>
      </c>
      <c r="AO84" s="146">
        <v>1.0352504638218924E-2</v>
      </c>
      <c r="AP84" s="146">
        <v>5.4545454545454541E-3</v>
      </c>
      <c r="AQ84" s="146">
        <v>5.4545454545454541E-3</v>
      </c>
    </row>
    <row r="85" spans="1:43" x14ac:dyDescent="0.2">
      <c r="A85" s="36" t="s">
        <v>320</v>
      </c>
      <c r="B85" s="139" t="s">
        <v>98</v>
      </c>
      <c r="C85" s="139" t="s">
        <v>917</v>
      </c>
      <c r="G85" s="139" t="s">
        <v>423</v>
      </c>
      <c r="H85" s="139" t="s">
        <v>533</v>
      </c>
      <c r="AE85" s="139" t="s">
        <v>456</v>
      </c>
      <c r="AH85" s="156">
        <v>2</v>
      </c>
      <c r="AI85" s="158">
        <v>1.8604651162790697E-2</v>
      </c>
      <c r="AN85" s="139" t="s">
        <v>2034</v>
      </c>
      <c r="AO85" s="146">
        <v>1.0352504638218924E-2</v>
      </c>
      <c r="AP85" s="146">
        <v>5.4545454545454541E-3</v>
      </c>
      <c r="AQ85" s="146">
        <v>5.4545454545454541E-3</v>
      </c>
    </row>
    <row r="86" spans="1:43" x14ac:dyDescent="0.2">
      <c r="A86" s="36" t="s">
        <v>322</v>
      </c>
      <c r="B86" s="139" t="s">
        <v>98</v>
      </c>
      <c r="C86" s="139" t="s">
        <v>917</v>
      </c>
      <c r="F86" s="139" t="s">
        <v>425</v>
      </c>
      <c r="G86" s="139" t="s">
        <v>428</v>
      </c>
      <c r="H86" s="139" t="s">
        <v>103</v>
      </c>
      <c r="AD86" s="139" t="s">
        <v>474</v>
      </c>
      <c r="AE86" s="139" t="s">
        <v>476</v>
      </c>
      <c r="AH86" s="156">
        <v>3</v>
      </c>
      <c r="AI86" s="158">
        <v>1.9583843329253368E-2</v>
      </c>
      <c r="AN86" s="139" t="s">
        <v>364</v>
      </c>
      <c r="AO86" s="146">
        <v>1.8604651162790697E-2</v>
      </c>
      <c r="AP86" s="146">
        <v>1.8604651162790697E-2</v>
      </c>
      <c r="AQ86" s="146">
        <v>9.3023255813953487E-3</v>
      </c>
    </row>
    <row r="87" spans="1:43" x14ac:dyDescent="0.2">
      <c r="A87" s="36" t="s">
        <v>324</v>
      </c>
      <c r="B87" s="139" t="s">
        <v>98</v>
      </c>
      <c r="C87" s="139" t="s">
        <v>917</v>
      </c>
      <c r="G87" s="139" t="s">
        <v>429</v>
      </c>
      <c r="H87" s="139" t="s">
        <v>103</v>
      </c>
      <c r="AD87" s="147" t="s">
        <v>1949</v>
      </c>
      <c r="AE87" s="147"/>
      <c r="AF87" s="147"/>
      <c r="AG87" s="147"/>
      <c r="AH87" s="157">
        <v>74</v>
      </c>
      <c r="AI87" s="159">
        <v>0.55343941248469997</v>
      </c>
      <c r="AN87" s="139" t="s">
        <v>2035</v>
      </c>
      <c r="AO87" s="146">
        <v>2.600917879113368E-2</v>
      </c>
      <c r="AP87" s="146">
        <v>2.4784688995215312E-2</v>
      </c>
      <c r="AQ87" s="146">
        <v>2.4784688995215312E-2</v>
      </c>
    </row>
    <row r="88" spans="1:43" ht="15" x14ac:dyDescent="0.25">
      <c r="A88" s="36" t="s">
        <v>326</v>
      </c>
      <c r="B88" s="139" t="s">
        <v>98</v>
      </c>
      <c r="C88" s="139" t="s">
        <v>917</v>
      </c>
      <c r="G88" s="139" t="s">
        <v>430</v>
      </c>
      <c r="H88" s="139" t="s">
        <v>533</v>
      </c>
      <c r="AD88"/>
      <c r="AE88"/>
      <c r="AF88"/>
      <c r="AG88"/>
      <c r="AH88"/>
      <c r="AI88"/>
      <c r="AN88" s="139" t="s">
        <v>2031</v>
      </c>
      <c r="AO88" s="146">
        <v>3.2556413685981792E-2</v>
      </c>
      <c r="AP88" s="146">
        <v>2.4059196617336152E-2</v>
      </c>
      <c r="AQ88" s="146">
        <v>5.4545454545454541E-3</v>
      </c>
    </row>
    <row r="89" spans="1:43" ht="15" x14ac:dyDescent="0.25">
      <c r="A89" s="36" t="s">
        <v>328</v>
      </c>
      <c r="B89" s="139" t="s">
        <v>98</v>
      </c>
      <c r="C89" s="139" t="s">
        <v>917</v>
      </c>
      <c r="G89" s="139" t="s">
        <v>432</v>
      </c>
      <c r="H89" s="139" t="s">
        <v>533</v>
      </c>
      <c r="AD89"/>
      <c r="AE89"/>
      <c r="AF89"/>
      <c r="AG89"/>
      <c r="AH89" s="97"/>
      <c r="AN89" s="139" t="s">
        <v>2032</v>
      </c>
      <c r="AO89" s="146">
        <v>3.4374595504163608E-2</v>
      </c>
      <c r="AP89" s="146">
        <v>1.8604651162790697E-2</v>
      </c>
      <c r="AQ89" s="146">
        <v>9.3023255813953487E-3</v>
      </c>
    </row>
    <row r="90" spans="1:43" ht="15" x14ac:dyDescent="0.25">
      <c r="A90" s="36" t="s">
        <v>330</v>
      </c>
      <c r="B90" s="139" t="s">
        <v>98</v>
      </c>
      <c r="C90" s="139" t="s">
        <v>917</v>
      </c>
      <c r="F90" s="139" t="s">
        <v>441</v>
      </c>
      <c r="G90" s="139" t="s">
        <v>444</v>
      </c>
      <c r="H90" s="139" t="s">
        <v>103</v>
      </c>
      <c r="AD90"/>
      <c r="AE90"/>
      <c r="AF90"/>
      <c r="AG90"/>
      <c r="AH90" s="97"/>
      <c r="AN90" s="139" t="s">
        <v>1987</v>
      </c>
      <c r="AO90" s="146">
        <v>2.8250193590288013E-2</v>
      </c>
      <c r="AP90" s="146">
        <v>2.7025703794369645E-2</v>
      </c>
      <c r="AQ90" s="146">
        <v>1.8604651162790697E-2</v>
      </c>
    </row>
    <row r="91" spans="1:43" ht="15" x14ac:dyDescent="0.25">
      <c r="A91" s="36" t="s">
        <v>332</v>
      </c>
      <c r="B91" s="139" t="s">
        <v>98</v>
      </c>
      <c r="C91" s="139" t="s">
        <v>917</v>
      </c>
      <c r="G91" s="139" t="s">
        <v>446</v>
      </c>
      <c r="H91" s="139" t="s">
        <v>103</v>
      </c>
      <c r="AD91"/>
      <c r="AE91"/>
      <c r="AF91"/>
      <c r="AG91"/>
      <c r="AH91" s="97"/>
      <c r="AN91" s="139" t="s">
        <v>2036</v>
      </c>
      <c r="AO91" s="146">
        <v>3.7799542650040985E-2</v>
      </c>
      <c r="AP91" s="146">
        <v>3.6575052854122624E-2</v>
      </c>
      <c r="AQ91" s="146">
        <v>1.0909090909090908E-2</v>
      </c>
    </row>
    <row r="92" spans="1:43" ht="15" x14ac:dyDescent="0.25">
      <c r="A92" s="36" t="s">
        <v>335</v>
      </c>
      <c r="B92" s="139" t="s">
        <v>683</v>
      </c>
      <c r="C92" s="139" t="s">
        <v>533</v>
      </c>
      <c r="G92" s="139" t="s">
        <v>447</v>
      </c>
      <c r="H92" s="139" t="s">
        <v>103</v>
      </c>
      <c r="AD92"/>
      <c r="AE92"/>
      <c r="AF92"/>
      <c r="AG92"/>
      <c r="AH92" s="97"/>
      <c r="AN92" s="139" t="s">
        <v>1551</v>
      </c>
      <c r="AO92" s="146">
        <v>1.8181818181818186E-3</v>
      </c>
      <c r="AP92" s="158">
        <v>0</v>
      </c>
      <c r="AQ92" s="158">
        <v>0</v>
      </c>
    </row>
    <row r="93" spans="1:43" ht="15" x14ac:dyDescent="0.25">
      <c r="A93" s="36" t="s">
        <v>337</v>
      </c>
      <c r="B93" s="139" t="s">
        <v>683</v>
      </c>
      <c r="C93" s="139" t="s">
        <v>533</v>
      </c>
      <c r="G93" s="139" t="s">
        <v>449</v>
      </c>
      <c r="H93" s="139" t="s">
        <v>103</v>
      </c>
      <c r="AD93"/>
      <c r="AE93"/>
      <c r="AF93"/>
      <c r="AG93"/>
      <c r="AH93" s="97"/>
      <c r="AN93" s="139" t="s">
        <v>2037</v>
      </c>
      <c r="AO93" s="146">
        <v>4.892005004961817E-2</v>
      </c>
      <c r="AP93" s="146">
        <v>2.9513742071881607E-2</v>
      </c>
      <c r="AQ93" s="146">
        <v>2.0211416490486259E-2</v>
      </c>
    </row>
    <row r="94" spans="1:43" ht="15" x14ac:dyDescent="0.25">
      <c r="A94" s="36" t="s">
        <v>339</v>
      </c>
      <c r="B94" s="139" t="s">
        <v>683</v>
      </c>
      <c r="C94" s="139" t="s">
        <v>533</v>
      </c>
      <c r="G94" s="139" t="s">
        <v>451</v>
      </c>
      <c r="H94" s="139" t="s">
        <v>103</v>
      </c>
      <c r="AD94"/>
      <c r="AE94"/>
      <c r="AF94"/>
      <c r="AG94"/>
      <c r="AH94" s="97"/>
      <c r="AN94" s="139" t="s">
        <v>1988</v>
      </c>
      <c r="AO94" s="146">
        <v>5.703844328429046E-2</v>
      </c>
      <c r="AP94" s="146">
        <v>5.5813953488372092E-2</v>
      </c>
      <c r="AQ94" s="146">
        <v>5.5813953488372092E-2</v>
      </c>
    </row>
    <row r="95" spans="1:43" ht="15" x14ac:dyDescent="0.25">
      <c r="A95" s="36" t="s">
        <v>340</v>
      </c>
      <c r="B95" s="139" t="s">
        <v>683</v>
      </c>
      <c r="C95" s="139" t="s">
        <v>533</v>
      </c>
      <c r="G95" s="139" t="s">
        <v>452</v>
      </c>
      <c r="H95" s="139" t="s">
        <v>103</v>
      </c>
      <c r="AD95"/>
      <c r="AE95"/>
      <c r="AF95"/>
      <c r="AG95"/>
      <c r="AH95" s="97"/>
      <c r="AN95" s="139" t="s">
        <v>2038</v>
      </c>
      <c r="AO95" s="146">
        <v>3.7209302325581395E-2</v>
      </c>
      <c r="AP95" s="146">
        <v>3.7209302325581395E-2</v>
      </c>
      <c r="AQ95" s="146">
        <v>2.7906976744186046E-2</v>
      </c>
    </row>
    <row r="96" spans="1:43" ht="15" x14ac:dyDescent="0.25">
      <c r="A96" s="36" t="s">
        <v>344</v>
      </c>
      <c r="B96" s="139" t="s">
        <v>98</v>
      </c>
      <c r="C96" s="139" t="s">
        <v>533</v>
      </c>
      <c r="F96" s="139" t="s">
        <v>454</v>
      </c>
      <c r="G96" s="139" t="s">
        <v>470</v>
      </c>
      <c r="H96" s="139" t="s">
        <v>103</v>
      </c>
      <c r="AD96"/>
      <c r="AE96"/>
      <c r="AF96"/>
      <c r="AG96"/>
      <c r="AH96" s="97"/>
      <c r="AN96" s="139" t="s">
        <v>2039</v>
      </c>
      <c r="AO96" s="146">
        <v>3.2767830176468053E-2</v>
      </c>
      <c r="AP96" s="146">
        <v>2.7906976744186046E-2</v>
      </c>
      <c r="AQ96" s="146">
        <v>1.8604651162790697E-2</v>
      </c>
    </row>
    <row r="97" spans="1:43" ht="15" x14ac:dyDescent="0.25">
      <c r="A97" s="36" t="s">
        <v>346</v>
      </c>
      <c r="B97" s="139" t="s">
        <v>98</v>
      </c>
      <c r="C97" s="139" t="s">
        <v>533</v>
      </c>
      <c r="G97" s="139" t="s">
        <v>472</v>
      </c>
      <c r="H97" s="139" t="s">
        <v>103</v>
      </c>
      <c r="AD97"/>
      <c r="AE97"/>
      <c r="AF97"/>
      <c r="AG97"/>
      <c r="AH97" s="97"/>
      <c r="AN97" s="139" t="s">
        <v>1990</v>
      </c>
      <c r="AO97" s="146">
        <v>2.9856958917983574E-2</v>
      </c>
      <c r="AP97" s="146">
        <v>2.8632469122065206E-2</v>
      </c>
      <c r="AQ97" s="146">
        <v>1.9330143540669857E-2</v>
      </c>
    </row>
    <row r="98" spans="1:43" ht="15" x14ac:dyDescent="0.25">
      <c r="A98" s="36" t="s">
        <v>348</v>
      </c>
      <c r="B98" s="139" t="s">
        <v>98</v>
      </c>
      <c r="C98" s="139" t="s">
        <v>533</v>
      </c>
      <c r="G98" s="139" t="s">
        <v>473</v>
      </c>
      <c r="H98" s="139" t="s">
        <v>103</v>
      </c>
      <c r="AD98"/>
      <c r="AE98"/>
      <c r="AF98"/>
      <c r="AG98"/>
      <c r="AH98" s="97"/>
    </row>
    <row r="99" spans="1:43" ht="15" x14ac:dyDescent="0.25">
      <c r="A99" s="36" t="s">
        <v>350</v>
      </c>
      <c r="B99" s="139" t="s">
        <v>98</v>
      </c>
      <c r="C99" s="139" t="s">
        <v>533</v>
      </c>
      <c r="G99" s="139" t="s">
        <v>457</v>
      </c>
      <c r="H99" s="139" t="s">
        <v>103</v>
      </c>
      <c r="AD99"/>
      <c r="AE99"/>
      <c r="AF99"/>
      <c r="AG99"/>
      <c r="AH99" s="97"/>
    </row>
    <row r="100" spans="1:43" ht="15" x14ac:dyDescent="0.25">
      <c r="A100" s="36" t="s">
        <v>352</v>
      </c>
      <c r="B100" s="139" t="s">
        <v>98</v>
      </c>
      <c r="C100" s="139" t="s">
        <v>533</v>
      </c>
      <c r="G100" s="139" t="s">
        <v>459</v>
      </c>
      <c r="H100" s="139" t="s">
        <v>103</v>
      </c>
      <c r="AD100"/>
      <c r="AE100"/>
      <c r="AF100"/>
      <c r="AG100"/>
      <c r="AH100" s="97"/>
    </row>
    <row r="101" spans="1:43" ht="15" x14ac:dyDescent="0.25">
      <c r="A101" s="36" t="s">
        <v>292</v>
      </c>
      <c r="B101" s="139" t="s">
        <v>98</v>
      </c>
      <c r="C101" s="139" t="s">
        <v>519</v>
      </c>
      <c r="G101" s="139" t="s">
        <v>461</v>
      </c>
      <c r="H101" s="139" t="s">
        <v>103</v>
      </c>
      <c r="AD101"/>
      <c r="AE101"/>
      <c r="AF101"/>
      <c r="AG101"/>
      <c r="AH101" s="97"/>
    </row>
    <row r="102" spans="1:43" ht="15" x14ac:dyDescent="0.25">
      <c r="A102" s="36" t="s">
        <v>294</v>
      </c>
      <c r="B102" s="139" t="s">
        <v>98</v>
      </c>
      <c r="C102" s="139" t="s">
        <v>519</v>
      </c>
      <c r="G102" s="139" t="s">
        <v>468</v>
      </c>
      <c r="H102" s="139" t="s">
        <v>103</v>
      </c>
      <c r="AD102"/>
      <c r="AE102"/>
      <c r="AF102"/>
      <c r="AG102"/>
      <c r="AH102" s="97"/>
    </row>
    <row r="103" spans="1:43" ht="15" x14ac:dyDescent="0.25">
      <c r="A103" s="36" t="s">
        <v>296</v>
      </c>
      <c r="B103" s="139" t="s">
        <v>98</v>
      </c>
      <c r="C103" s="139" t="s">
        <v>533</v>
      </c>
      <c r="F103" s="139" t="s">
        <v>474</v>
      </c>
      <c r="G103" s="139" t="s">
        <v>477</v>
      </c>
      <c r="H103" s="139" t="s">
        <v>533</v>
      </c>
      <c r="AD103"/>
      <c r="AE103"/>
      <c r="AF103"/>
      <c r="AG103"/>
      <c r="AH103" s="97"/>
    </row>
    <row r="104" spans="1:43" ht="15" x14ac:dyDescent="0.25">
      <c r="A104" s="36" t="s">
        <v>298</v>
      </c>
      <c r="B104" s="139" t="s">
        <v>98</v>
      </c>
      <c r="C104" s="139" t="s">
        <v>533</v>
      </c>
      <c r="G104" s="139" t="s">
        <v>479</v>
      </c>
      <c r="H104" s="139" t="s">
        <v>533</v>
      </c>
      <c r="AD104"/>
      <c r="AE104"/>
      <c r="AF104"/>
      <c r="AG104"/>
      <c r="AH104" s="97"/>
    </row>
    <row r="105" spans="1:43" ht="15" x14ac:dyDescent="0.25">
      <c r="A105" s="36" t="s">
        <v>299</v>
      </c>
      <c r="B105" s="139" t="s">
        <v>98</v>
      </c>
      <c r="C105" s="139" t="s">
        <v>533</v>
      </c>
      <c r="G105" s="139" t="s">
        <v>480</v>
      </c>
      <c r="H105" s="139" t="s">
        <v>103</v>
      </c>
      <c r="AD105"/>
      <c r="AE105"/>
      <c r="AF105"/>
      <c r="AG105"/>
      <c r="AH105" s="97"/>
    </row>
    <row r="106" spans="1:43" ht="15" x14ac:dyDescent="0.25">
      <c r="A106" s="36" t="s">
        <v>301</v>
      </c>
      <c r="B106" s="139" t="s">
        <v>98</v>
      </c>
      <c r="C106" s="139" t="s">
        <v>533</v>
      </c>
      <c r="G106" s="139" t="s">
        <v>481</v>
      </c>
      <c r="H106" s="139" t="s">
        <v>519</v>
      </c>
      <c r="AD106"/>
      <c r="AE106"/>
      <c r="AF106"/>
      <c r="AG106"/>
      <c r="AH106" s="97"/>
    </row>
    <row r="107" spans="1:43" ht="15" x14ac:dyDescent="0.25">
      <c r="A107" s="36" t="s">
        <v>260</v>
      </c>
      <c r="B107" s="139" t="s">
        <v>98</v>
      </c>
      <c r="C107" s="139" t="s">
        <v>533</v>
      </c>
      <c r="F107" s="139" t="s">
        <v>1949</v>
      </c>
      <c r="AD107"/>
      <c r="AE107"/>
      <c r="AF107"/>
      <c r="AG107"/>
      <c r="AH107" s="97"/>
    </row>
    <row r="108" spans="1:43" ht="15" x14ac:dyDescent="0.25">
      <c r="A108" s="36" t="s">
        <v>262</v>
      </c>
      <c r="B108" s="139" t="s">
        <v>98</v>
      </c>
      <c r="C108" s="139" t="s">
        <v>533</v>
      </c>
      <c r="F108"/>
      <c r="G108"/>
      <c r="H108"/>
      <c r="AD108"/>
      <c r="AE108"/>
      <c r="AF108"/>
      <c r="AG108"/>
      <c r="AH108" s="97"/>
    </row>
    <row r="109" spans="1:43" ht="15" x14ac:dyDescent="0.25">
      <c r="A109" s="36" t="s">
        <v>264</v>
      </c>
      <c r="B109" s="139" t="s">
        <v>98</v>
      </c>
      <c r="C109" s="139" t="s">
        <v>533</v>
      </c>
      <c r="AD109"/>
      <c r="AE109"/>
      <c r="AF109"/>
      <c r="AG109"/>
      <c r="AH109" s="97"/>
    </row>
    <row r="110" spans="1:43" ht="15" x14ac:dyDescent="0.25">
      <c r="A110" s="36" t="s">
        <v>265</v>
      </c>
      <c r="B110" s="139" t="s">
        <v>1060</v>
      </c>
      <c r="C110" s="139" t="s">
        <v>103</v>
      </c>
      <c r="AD110"/>
      <c r="AE110"/>
      <c r="AF110"/>
      <c r="AG110"/>
      <c r="AH110" s="97"/>
    </row>
    <row r="111" spans="1:43" ht="15" x14ac:dyDescent="0.25">
      <c r="A111" s="36" t="s">
        <v>267</v>
      </c>
      <c r="B111" s="139" t="s">
        <v>98</v>
      </c>
      <c r="C111" s="139" t="s">
        <v>103</v>
      </c>
      <c r="AD111"/>
      <c r="AE111"/>
      <c r="AF111"/>
      <c r="AG111"/>
      <c r="AH111" s="97"/>
    </row>
    <row r="112" spans="1:43" ht="15" x14ac:dyDescent="0.25">
      <c r="A112" s="36" t="s">
        <v>269</v>
      </c>
      <c r="B112" s="139" t="s">
        <v>1131</v>
      </c>
      <c r="C112" s="139" t="s">
        <v>103</v>
      </c>
      <c r="AD112"/>
      <c r="AE112"/>
      <c r="AF112"/>
      <c r="AG112"/>
      <c r="AH112" s="97"/>
    </row>
    <row r="113" spans="1:34" ht="15" x14ac:dyDescent="0.25">
      <c r="A113" s="36" t="s">
        <v>271</v>
      </c>
      <c r="B113" s="139" t="s">
        <v>98</v>
      </c>
      <c r="C113" s="139" t="s">
        <v>533</v>
      </c>
      <c r="AD113"/>
      <c r="AE113"/>
      <c r="AF113"/>
      <c r="AG113"/>
      <c r="AH113" s="97"/>
    </row>
    <row r="114" spans="1:34" ht="15" x14ac:dyDescent="0.25">
      <c r="A114" s="36" t="s">
        <v>273</v>
      </c>
      <c r="B114" s="139" t="s">
        <v>1060</v>
      </c>
      <c r="C114" s="139" t="s">
        <v>103</v>
      </c>
      <c r="AD114"/>
      <c r="AE114"/>
      <c r="AF114"/>
      <c r="AG114"/>
      <c r="AH114" s="97"/>
    </row>
    <row r="115" spans="1:34" ht="15" x14ac:dyDescent="0.25">
      <c r="A115" s="36" t="s">
        <v>275</v>
      </c>
      <c r="B115" s="139" t="s">
        <v>98</v>
      </c>
      <c r="C115" s="139" t="s">
        <v>533</v>
      </c>
      <c r="AD115"/>
      <c r="AE115"/>
      <c r="AF115"/>
      <c r="AG115"/>
      <c r="AH115" s="97"/>
    </row>
    <row r="116" spans="1:34" ht="15" x14ac:dyDescent="0.25">
      <c r="A116" s="36" t="s">
        <v>277</v>
      </c>
      <c r="B116" s="139" t="s">
        <v>98</v>
      </c>
      <c r="C116" s="139" t="s">
        <v>533</v>
      </c>
      <c r="AD116"/>
      <c r="AE116"/>
      <c r="AF116"/>
      <c r="AG116"/>
      <c r="AH116" s="97"/>
    </row>
    <row r="117" spans="1:34" x14ac:dyDescent="0.2">
      <c r="A117" s="36" t="s">
        <v>278</v>
      </c>
      <c r="B117" s="139" t="s">
        <v>98</v>
      </c>
      <c r="C117" s="139" t="s">
        <v>533</v>
      </c>
    </row>
    <row r="118" spans="1:34" x14ac:dyDescent="0.2">
      <c r="A118" s="36" t="s">
        <v>280</v>
      </c>
      <c r="B118" s="139" t="s">
        <v>98</v>
      </c>
      <c r="C118" s="139" t="s">
        <v>533</v>
      </c>
    </row>
    <row r="119" spans="1:34" x14ac:dyDescent="0.2">
      <c r="A119" s="36" t="s">
        <v>281</v>
      </c>
      <c r="B119" s="139" t="s">
        <v>98</v>
      </c>
      <c r="C119" s="139" t="s">
        <v>533</v>
      </c>
    </row>
    <row r="120" spans="1:34" x14ac:dyDescent="0.2">
      <c r="A120" s="36" t="s">
        <v>283</v>
      </c>
      <c r="B120" s="139" t="s">
        <v>683</v>
      </c>
      <c r="C120" s="139" t="s">
        <v>103</v>
      </c>
    </row>
    <row r="121" spans="1:34" x14ac:dyDescent="0.2">
      <c r="A121" s="36" t="s">
        <v>284</v>
      </c>
      <c r="B121" s="139" t="s">
        <v>98</v>
      </c>
      <c r="C121" s="139" t="s">
        <v>103</v>
      </c>
    </row>
    <row r="122" spans="1:34" x14ac:dyDescent="0.2">
      <c r="A122" s="36" t="s">
        <v>285</v>
      </c>
      <c r="B122" s="139" t="s">
        <v>98</v>
      </c>
      <c r="C122" s="139" t="s">
        <v>533</v>
      </c>
    </row>
    <row r="123" spans="1:34" x14ac:dyDescent="0.2">
      <c r="A123" s="36" t="s">
        <v>287</v>
      </c>
      <c r="B123" s="139" t="s">
        <v>98</v>
      </c>
      <c r="C123" s="139" t="s">
        <v>103</v>
      </c>
    </row>
    <row r="124" spans="1:34" x14ac:dyDescent="0.2">
      <c r="A124" s="36" t="s">
        <v>289</v>
      </c>
      <c r="B124" s="139" t="s">
        <v>98</v>
      </c>
      <c r="C124" s="139" t="s">
        <v>103</v>
      </c>
    </row>
    <row r="125" spans="1:34" x14ac:dyDescent="0.2">
      <c r="A125" s="36" t="s">
        <v>304</v>
      </c>
      <c r="B125" s="139" t="s">
        <v>520</v>
      </c>
      <c r="C125" s="139" t="s">
        <v>103</v>
      </c>
    </row>
    <row r="126" spans="1:34" x14ac:dyDescent="0.2">
      <c r="A126" s="36" t="s">
        <v>306</v>
      </c>
      <c r="B126" s="139" t="s">
        <v>520</v>
      </c>
      <c r="C126" s="139" t="s">
        <v>103</v>
      </c>
    </row>
    <row r="127" spans="1:34" x14ac:dyDescent="0.2">
      <c r="A127" s="36" t="s">
        <v>357</v>
      </c>
      <c r="B127" s="139" t="s">
        <v>98</v>
      </c>
      <c r="C127" s="139" t="s">
        <v>533</v>
      </c>
    </row>
    <row r="128" spans="1:34" x14ac:dyDescent="0.2">
      <c r="A128" s="36" t="s">
        <v>358</v>
      </c>
      <c r="B128" s="139" t="s">
        <v>98</v>
      </c>
      <c r="C128" s="139" t="s">
        <v>533</v>
      </c>
    </row>
    <row r="129" spans="1:3" x14ac:dyDescent="0.2">
      <c r="A129" s="36" t="s">
        <v>360</v>
      </c>
      <c r="B129" s="139" t="s">
        <v>98</v>
      </c>
      <c r="C129" s="139" t="s">
        <v>533</v>
      </c>
    </row>
    <row r="130" spans="1:3" x14ac:dyDescent="0.2">
      <c r="A130" s="36" t="s">
        <v>361</v>
      </c>
      <c r="B130" s="139" t="s">
        <v>98</v>
      </c>
      <c r="C130" s="139" t="s">
        <v>533</v>
      </c>
    </row>
    <row r="131" spans="1:3" x14ac:dyDescent="0.2">
      <c r="A131" s="36" t="s">
        <v>366</v>
      </c>
      <c r="B131" s="139" t="s">
        <v>98</v>
      </c>
      <c r="C131" s="139" t="s">
        <v>103</v>
      </c>
    </row>
    <row r="132" spans="1:3" x14ac:dyDescent="0.2">
      <c r="A132" s="36" t="s">
        <v>368</v>
      </c>
      <c r="B132" s="139" t="s">
        <v>98</v>
      </c>
      <c r="C132" s="139" t="s">
        <v>103</v>
      </c>
    </row>
    <row r="133" spans="1:3" x14ac:dyDescent="0.2">
      <c r="A133" s="36" t="s">
        <v>373</v>
      </c>
      <c r="B133" s="139" t="s">
        <v>98</v>
      </c>
      <c r="C133" s="139" t="s">
        <v>533</v>
      </c>
    </row>
    <row r="134" spans="1:3" x14ac:dyDescent="0.2">
      <c r="A134" s="36" t="s">
        <v>374</v>
      </c>
      <c r="B134" s="139" t="s">
        <v>98</v>
      </c>
      <c r="C134" s="139" t="s">
        <v>533</v>
      </c>
    </row>
    <row r="135" spans="1:3" x14ac:dyDescent="0.2">
      <c r="A135" s="36" t="s">
        <v>375</v>
      </c>
      <c r="B135" s="139" t="s">
        <v>98</v>
      </c>
      <c r="C135" s="139" t="s">
        <v>519</v>
      </c>
    </row>
    <row r="136" spans="1:3" x14ac:dyDescent="0.2">
      <c r="A136" s="36" t="s">
        <v>377</v>
      </c>
      <c r="B136" s="139" t="s">
        <v>683</v>
      </c>
      <c r="C136" s="139" t="s">
        <v>533</v>
      </c>
    </row>
    <row r="137" spans="1:3" x14ac:dyDescent="0.2">
      <c r="A137" s="36" t="s">
        <v>382</v>
      </c>
      <c r="B137" s="139" t="s">
        <v>98</v>
      </c>
      <c r="C137" s="139" t="s">
        <v>103</v>
      </c>
    </row>
    <row r="138" spans="1:3" x14ac:dyDescent="0.2">
      <c r="A138" s="36" t="s">
        <v>383</v>
      </c>
      <c r="B138" s="139" t="s">
        <v>98</v>
      </c>
      <c r="C138" s="139" t="s">
        <v>533</v>
      </c>
    </row>
    <row r="139" spans="1:3" x14ac:dyDescent="0.2">
      <c r="A139" s="36" t="s">
        <v>385</v>
      </c>
      <c r="B139" s="139" t="s">
        <v>98</v>
      </c>
      <c r="C139" s="139" t="s">
        <v>103</v>
      </c>
    </row>
    <row r="140" spans="1:3" x14ac:dyDescent="0.2">
      <c r="A140" s="36" t="s">
        <v>387</v>
      </c>
      <c r="B140" s="139" t="s">
        <v>98</v>
      </c>
      <c r="C140" s="139" t="s">
        <v>103</v>
      </c>
    </row>
    <row r="141" spans="1:3" x14ac:dyDescent="0.2">
      <c r="A141" s="36" t="s">
        <v>389</v>
      </c>
      <c r="B141" s="139" t="s">
        <v>683</v>
      </c>
      <c r="C141" s="139" t="s">
        <v>103</v>
      </c>
    </row>
    <row r="142" spans="1:3" x14ac:dyDescent="0.2">
      <c r="A142" s="36" t="s">
        <v>394</v>
      </c>
      <c r="B142" s="139" t="s">
        <v>98</v>
      </c>
      <c r="C142" s="139" t="s">
        <v>103</v>
      </c>
    </row>
    <row r="143" spans="1:3" x14ac:dyDescent="0.2">
      <c r="A143" s="36" t="s">
        <v>395</v>
      </c>
      <c r="B143" s="139" t="s">
        <v>98</v>
      </c>
      <c r="C143" s="139" t="s">
        <v>103</v>
      </c>
    </row>
    <row r="144" spans="1:3" x14ac:dyDescent="0.2">
      <c r="A144" s="36" t="s">
        <v>397</v>
      </c>
      <c r="B144" s="139" t="s">
        <v>98</v>
      </c>
      <c r="C144" s="139" t="s">
        <v>103</v>
      </c>
    </row>
    <row r="145" spans="1:3" x14ac:dyDescent="0.2">
      <c r="A145" s="36" t="s">
        <v>399</v>
      </c>
      <c r="B145" s="139" t="s">
        <v>98</v>
      </c>
      <c r="C145" s="139" t="s">
        <v>103</v>
      </c>
    </row>
    <row r="146" spans="1:3" x14ac:dyDescent="0.2">
      <c r="A146" s="36" t="s">
        <v>401</v>
      </c>
      <c r="B146" s="139" t="s">
        <v>98</v>
      </c>
      <c r="C146" s="139" t="s">
        <v>103</v>
      </c>
    </row>
    <row r="147" spans="1:3" x14ac:dyDescent="0.2">
      <c r="A147" s="36" t="s">
        <v>403</v>
      </c>
      <c r="B147" s="139" t="s">
        <v>98</v>
      </c>
      <c r="C147" s="139" t="s">
        <v>103</v>
      </c>
    </row>
    <row r="148" spans="1:3" x14ac:dyDescent="0.2">
      <c r="A148" s="36" t="s">
        <v>408</v>
      </c>
      <c r="B148" s="139" t="s">
        <v>98</v>
      </c>
      <c r="C148" s="139" t="s">
        <v>103</v>
      </c>
    </row>
    <row r="149" spans="1:3" x14ac:dyDescent="0.2">
      <c r="A149" s="36" t="s">
        <v>409</v>
      </c>
      <c r="B149" s="139" t="s">
        <v>98</v>
      </c>
      <c r="C149" s="139" t="s">
        <v>103</v>
      </c>
    </row>
    <row r="150" spans="1:3" x14ac:dyDescent="0.2">
      <c r="A150" s="36" t="s">
        <v>410</v>
      </c>
      <c r="B150" s="139" t="s">
        <v>98</v>
      </c>
      <c r="C150" s="139" t="s">
        <v>519</v>
      </c>
    </row>
    <row r="151" spans="1:3" x14ac:dyDescent="0.2">
      <c r="A151" s="36" t="s">
        <v>414</v>
      </c>
      <c r="B151" s="139" t="s">
        <v>683</v>
      </c>
      <c r="C151" s="139" t="s">
        <v>533</v>
      </c>
    </row>
    <row r="152" spans="1:3" x14ac:dyDescent="0.2">
      <c r="A152" s="36" t="s">
        <v>416</v>
      </c>
      <c r="B152" s="139" t="s">
        <v>683</v>
      </c>
      <c r="C152" s="139" t="s">
        <v>533</v>
      </c>
    </row>
    <row r="153" spans="1:3" x14ac:dyDescent="0.2">
      <c r="A153" s="36" t="s">
        <v>418</v>
      </c>
      <c r="B153" s="139" t="s">
        <v>1335</v>
      </c>
      <c r="C153" s="139" t="s">
        <v>533</v>
      </c>
    </row>
    <row r="154" spans="1:3" x14ac:dyDescent="0.2">
      <c r="A154" s="36" t="s">
        <v>420</v>
      </c>
      <c r="B154" s="139" t="s">
        <v>98</v>
      </c>
      <c r="C154" s="139" t="s">
        <v>533</v>
      </c>
    </row>
    <row r="155" spans="1:3" x14ac:dyDescent="0.2">
      <c r="A155" s="36" t="s">
        <v>421</v>
      </c>
      <c r="B155" s="139" t="s">
        <v>98</v>
      </c>
      <c r="C155" s="139" t="s">
        <v>103</v>
      </c>
    </row>
    <row r="156" spans="1:3" x14ac:dyDescent="0.2">
      <c r="A156" s="36" t="s">
        <v>423</v>
      </c>
      <c r="B156" s="139" t="s">
        <v>1335</v>
      </c>
      <c r="C156" s="139" t="s">
        <v>533</v>
      </c>
    </row>
    <row r="157" spans="1:3" x14ac:dyDescent="0.2">
      <c r="A157" s="36" t="s">
        <v>1552</v>
      </c>
      <c r="B157" s="139" t="s">
        <v>98</v>
      </c>
      <c r="C157" s="139" t="s">
        <v>519</v>
      </c>
    </row>
    <row r="158" spans="1:3" x14ac:dyDescent="0.2">
      <c r="A158" s="36" t="s">
        <v>428</v>
      </c>
      <c r="B158" s="139" t="s">
        <v>98</v>
      </c>
      <c r="C158" s="139" t="s">
        <v>103</v>
      </c>
    </row>
    <row r="159" spans="1:3" x14ac:dyDescent="0.2">
      <c r="A159" s="36" t="s">
        <v>429</v>
      </c>
      <c r="B159" s="139" t="s">
        <v>98</v>
      </c>
      <c r="C159" s="139" t="s">
        <v>103</v>
      </c>
    </row>
    <row r="160" spans="1:3" x14ac:dyDescent="0.2">
      <c r="A160" s="36" t="s">
        <v>430</v>
      </c>
      <c r="B160" s="139" t="s">
        <v>98</v>
      </c>
      <c r="C160" s="139" t="s">
        <v>533</v>
      </c>
    </row>
    <row r="161" spans="1:3" x14ac:dyDescent="0.2">
      <c r="A161" s="36" t="s">
        <v>432</v>
      </c>
      <c r="B161" s="139" t="s">
        <v>98</v>
      </c>
      <c r="C161" s="139" t="s">
        <v>533</v>
      </c>
    </row>
    <row r="162" spans="1:3" x14ac:dyDescent="0.2">
      <c r="A162" s="36" t="s">
        <v>434</v>
      </c>
      <c r="B162" s="139" t="s">
        <v>98</v>
      </c>
      <c r="C162" s="139" t="s">
        <v>103</v>
      </c>
    </row>
    <row r="163" spans="1:3" x14ac:dyDescent="0.2">
      <c r="A163" s="36" t="s">
        <v>435</v>
      </c>
      <c r="B163" s="139" t="s">
        <v>98</v>
      </c>
      <c r="C163" s="139" t="s">
        <v>533</v>
      </c>
    </row>
    <row r="164" spans="1:3" x14ac:dyDescent="0.2">
      <c r="A164" s="36" t="s">
        <v>436</v>
      </c>
      <c r="B164" s="139" t="s">
        <v>1060</v>
      </c>
      <c r="C164" s="139" t="s">
        <v>103</v>
      </c>
    </row>
    <row r="165" spans="1:3" x14ac:dyDescent="0.2">
      <c r="A165" s="36" t="s">
        <v>438</v>
      </c>
      <c r="B165" s="139" t="s">
        <v>98</v>
      </c>
      <c r="C165" s="139" t="s">
        <v>103</v>
      </c>
    </row>
    <row r="166" spans="1:3" x14ac:dyDescent="0.2">
      <c r="A166" s="36" t="s">
        <v>439</v>
      </c>
      <c r="B166" s="139" t="s">
        <v>98</v>
      </c>
      <c r="C166" s="139" t="s">
        <v>103</v>
      </c>
    </row>
    <row r="167" spans="1:3" x14ac:dyDescent="0.2">
      <c r="A167" s="36" t="s">
        <v>444</v>
      </c>
      <c r="B167" s="139" t="s">
        <v>98</v>
      </c>
      <c r="C167" s="139" t="s">
        <v>103</v>
      </c>
    </row>
    <row r="168" spans="1:3" x14ac:dyDescent="0.2">
      <c r="A168" s="36" t="s">
        <v>446</v>
      </c>
      <c r="B168" s="139" t="s">
        <v>98</v>
      </c>
      <c r="C168" s="139" t="s">
        <v>103</v>
      </c>
    </row>
    <row r="169" spans="1:3" x14ac:dyDescent="0.2">
      <c r="A169" s="36" t="s">
        <v>447</v>
      </c>
      <c r="B169" s="139" t="s">
        <v>98</v>
      </c>
      <c r="C169" s="139" t="s">
        <v>103</v>
      </c>
    </row>
    <row r="170" spans="1:3" x14ac:dyDescent="0.2">
      <c r="A170" s="36" t="s">
        <v>449</v>
      </c>
      <c r="B170" s="139" t="s">
        <v>98</v>
      </c>
      <c r="C170" s="139" t="s">
        <v>103</v>
      </c>
    </row>
    <row r="171" spans="1:3" x14ac:dyDescent="0.2">
      <c r="A171" s="36" t="s">
        <v>451</v>
      </c>
      <c r="B171" s="139" t="s">
        <v>98</v>
      </c>
      <c r="C171" s="139" t="s">
        <v>103</v>
      </c>
    </row>
    <row r="172" spans="1:3" x14ac:dyDescent="0.2">
      <c r="A172" s="36" t="s">
        <v>452</v>
      </c>
      <c r="B172" s="139" t="s">
        <v>98</v>
      </c>
      <c r="C172" s="139" t="s">
        <v>103</v>
      </c>
    </row>
    <row r="173" spans="1:3" x14ac:dyDescent="0.2">
      <c r="A173" s="36" t="s">
        <v>457</v>
      </c>
      <c r="B173" s="139" t="s">
        <v>98</v>
      </c>
      <c r="C173" s="139" t="s">
        <v>103</v>
      </c>
    </row>
    <row r="174" spans="1:3" x14ac:dyDescent="0.2">
      <c r="A174" s="36" t="s">
        <v>459</v>
      </c>
      <c r="B174" s="139" t="s">
        <v>683</v>
      </c>
      <c r="C174" s="139" t="s">
        <v>103</v>
      </c>
    </row>
    <row r="175" spans="1:3" x14ac:dyDescent="0.2">
      <c r="A175" s="36" t="s">
        <v>461</v>
      </c>
      <c r="B175" s="139" t="s">
        <v>683</v>
      </c>
      <c r="C175" s="139" t="s">
        <v>103</v>
      </c>
    </row>
    <row r="176" spans="1:3" x14ac:dyDescent="0.2">
      <c r="A176" s="36" t="s">
        <v>463</v>
      </c>
      <c r="B176" s="139" t="s">
        <v>683</v>
      </c>
      <c r="C176" s="139" t="s">
        <v>103</v>
      </c>
    </row>
    <row r="177" spans="1:3" x14ac:dyDescent="0.2">
      <c r="A177" s="36" t="s">
        <v>465</v>
      </c>
      <c r="B177" s="139" t="s">
        <v>98</v>
      </c>
      <c r="C177" s="139" t="s">
        <v>533</v>
      </c>
    </row>
    <row r="178" spans="1:3" x14ac:dyDescent="0.2">
      <c r="A178" s="36" t="s">
        <v>468</v>
      </c>
      <c r="B178" s="139" t="s">
        <v>98</v>
      </c>
      <c r="C178" s="139" t="s">
        <v>103</v>
      </c>
    </row>
    <row r="179" spans="1:3" x14ac:dyDescent="0.2">
      <c r="A179" s="36" t="s">
        <v>470</v>
      </c>
      <c r="B179" s="139" t="s">
        <v>98</v>
      </c>
      <c r="C179" s="139" t="s">
        <v>103</v>
      </c>
    </row>
    <row r="180" spans="1:3" x14ac:dyDescent="0.2">
      <c r="A180" s="36" t="s">
        <v>472</v>
      </c>
      <c r="B180" s="139" t="s">
        <v>98</v>
      </c>
      <c r="C180" s="139" t="s">
        <v>103</v>
      </c>
    </row>
    <row r="181" spans="1:3" x14ac:dyDescent="0.2">
      <c r="A181" s="36" t="s">
        <v>473</v>
      </c>
      <c r="B181" s="139" t="s">
        <v>98</v>
      </c>
      <c r="C181" s="139" t="s">
        <v>103</v>
      </c>
    </row>
    <row r="182" spans="1:3" x14ac:dyDescent="0.2">
      <c r="A182" s="36" t="s">
        <v>477</v>
      </c>
      <c r="B182" s="139" t="s">
        <v>98</v>
      </c>
      <c r="C182" s="139" t="s">
        <v>533</v>
      </c>
    </row>
    <row r="183" spans="1:3" x14ac:dyDescent="0.2">
      <c r="A183" s="36" t="s">
        <v>479</v>
      </c>
      <c r="B183" s="139" t="s">
        <v>98</v>
      </c>
      <c r="C183" s="139" t="s">
        <v>533</v>
      </c>
    </row>
    <row r="184" spans="1:3" x14ac:dyDescent="0.2">
      <c r="A184" s="36" t="s">
        <v>480</v>
      </c>
      <c r="B184" s="139" t="s">
        <v>98</v>
      </c>
      <c r="C184" s="139" t="s">
        <v>103</v>
      </c>
    </row>
    <row r="185" spans="1:3" x14ac:dyDescent="0.2">
      <c r="A185" s="36" t="s">
        <v>481</v>
      </c>
      <c r="B185" s="139" t="s">
        <v>520</v>
      </c>
      <c r="C185" s="139" t="s">
        <v>519</v>
      </c>
    </row>
  </sheetData>
  <dataConsolidate/>
  <mergeCells count="14">
    <mergeCell ref="AS33:AT33"/>
    <mergeCell ref="AO2:AP2"/>
    <mergeCell ref="AQ2:AR2"/>
    <mergeCell ref="AS2:AT2"/>
    <mergeCell ref="V27:V29"/>
    <mergeCell ref="V30:V32"/>
    <mergeCell ref="W27:W29"/>
    <mergeCell ref="W30:W32"/>
    <mergeCell ref="AM28:AM30"/>
    <mergeCell ref="AM4:AM8"/>
    <mergeCell ref="AM12:AM23"/>
    <mergeCell ref="AM24:AM27"/>
    <mergeCell ref="AO33:AP33"/>
    <mergeCell ref="AQ33:AR33"/>
  </mergeCells>
  <pageMargins left="0.7" right="0.7" top="0.75" bottom="0.75" header="0.3" footer="0.3"/>
  <pageSetup orientation="portrait" horizontalDpi="4294967295" verticalDpi="4294967295" r:id="rId12"/>
  <drawing r:id="rId1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tabColor rgb="FF0070C0"/>
  </sheetPr>
  <dimension ref="B1:AV113"/>
  <sheetViews>
    <sheetView topLeftCell="A58" zoomScaleNormal="100" workbookViewId="0">
      <selection activeCell="J86" sqref="J86:K86"/>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134</v>
      </c>
      <c r="O10" s="2"/>
    </row>
    <row r="11" spans="2:24" ht="3.95" customHeight="1" x14ac:dyDescent="0.25">
      <c r="B11" s="2"/>
      <c r="D11" s="6"/>
      <c r="O11" s="2"/>
    </row>
    <row r="12" spans="2:24" ht="36" customHeight="1" x14ac:dyDescent="0.25">
      <c r="B12" s="2"/>
      <c r="D12" s="338" t="s">
        <v>5</v>
      </c>
      <c r="E12" s="339"/>
      <c r="F12" s="340" t="s">
        <v>135</v>
      </c>
      <c r="G12" s="341"/>
      <c r="H12" s="341"/>
      <c r="I12" s="341"/>
      <c r="J12" s="341"/>
      <c r="K12" s="341"/>
      <c r="L12" s="341"/>
      <c r="M12" s="342"/>
      <c r="O12" s="2"/>
      <c r="W12" s="3" t="str">
        <f>+F23</f>
        <v>Semestral</v>
      </c>
      <c r="X12" s="3" t="str">
        <f>+F71</f>
        <v>Junio</v>
      </c>
    </row>
    <row r="13" spans="2:24" ht="3.95" customHeight="1" x14ac:dyDescent="0.25">
      <c r="B13" s="2"/>
      <c r="O13" s="2"/>
    </row>
    <row r="14" spans="2:24" ht="36" customHeight="1" x14ac:dyDescent="0.25">
      <c r="B14" s="2"/>
      <c r="D14" s="338" t="s">
        <v>6</v>
      </c>
      <c r="E14" s="339"/>
      <c r="F14" s="340" t="s">
        <v>597</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17">
        <v>0.22</v>
      </c>
      <c r="G22" s="337" t="s">
        <v>9</v>
      </c>
      <c r="H22" s="337"/>
      <c r="I22" s="17">
        <v>1</v>
      </c>
      <c r="K22" s="337" t="s">
        <v>10</v>
      </c>
      <c r="L22" s="337"/>
      <c r="M22" s="9" t="s">
        <v>496</v>
      </c>
      <c r="O22" s="2"/>
    </row>
    <row r="23" spans="2:17" ht="19.5" customHeight="1" x14ac:dyDescent="0.25">
      <c r="B23" s="2"/>
      <c r="D23" s="337" t="s">
        <v>11</v>
      </c>
      <c r="E23" s="337"/>
      <c r="F23" s="4" t="s">
        <v>104</v>
      </c>
      <c r="G23" s="337" t="s">
        <v>12</v>
      </c>
      <c r="H23" s="337"/>
      <c r="I23" s="4" t="s">
        <v>497</v>
      </c>
      <c r="K23" s="337" t="s">
        <v>13</v>
      </c>
      <c r="L23" s="337"/>
      <c r="M23" s="9" t="s">
        <v>496</v>
      </c>
      <c r="O23" s="2"/>
    </row>
    <row r="24" spans="2:17" ht="20.100000000000001" customHeight="1" x14ac:dyDescent="0.25">
      <c r="B24" s="2"/>
      <c r="D24" s="337" t="s">
        <v>14</v>
      </c>
      <c r="E24" s="337"/>
      <c r="F24" s="4" t="s">
        <v>498</v>
      </c>
      <c r="G24" s="337" t="s">
        <v>15</v>
      </c>
      <c r="H24" s="337"/>
      <c r="I24" s="4" t="s">
        <v>103</v>
      </c>
      <c r="K24" s="337" t="s">
        <v>16</v>
      </c>
      <c r="L24" s="337"/>
      <c r="M24" s="9" t="s">
        <v>2</v>
      </c>
      <c r="O24" s="2"/>
    </row>
    <row r="25" spans="2:17" ht="20.100000000000001" customHeight="1" x14ac:dyDescent="0.25">
      <c r="B25" s="2"/>
      <c r="D25" s="337" t="s">
        <v>17</v>
      </c>
      <c r="E25" s="337"/>
      <c r="F25" s="4" t="s">
        <v>683</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20</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NA</v>
      </c>
    </row>
    <row r="31" spans="2:17" ht="24" customHeight="1" x14ac:dyDescent="0.25">
      <c r="B31" s="2"/>
      <c r="D31" s="347"/>
      <c r="E31" s="348"/>
      <c r="F31" s="4" t="s">
        <v>109</v>
      </c>
      <c r="G31" s="340" t="s">
        <v>110</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500</v>
      </c>
      <c r="G33" s="340"/>
      <c r="H33" s="341"/>
      <c r="I33" s="341"/>
      <c r="J33" s="341"/>
      <c r="K33" s="341"/>
      <c r="L33" s="341"/>
      <c r="M33" s="342"/>
      <c r="O33" s="2"/>
      <c r="Q33" s="3" t="str">
        <f>+IFERROR(IF(VLOOKUP(G33,base!$A$26:$C$40,3,FALSE)=F31,1,0),"")</f>
        <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1711</v>
      </c>
      <c r="G35" s="340" t="s">
        <v>1587</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2</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500</v>
      </c>
      <c r="G45" s="340" t="s">
        <v>512</v>
      </c>
      <c r="H45" s="341"/>
      <c r="I45" s="341"/>
      <c r="J45" s="341"/>
      <c r="K45" s="341"/>
      <c r="L45" s="341"/>
      <c r="M45" s="342"/>
      <c r="O45" s="2"/>
      <c r="Q45" s="3" t="str">
        <f>+IFERROR(VLOOKUP(G45,base!$A$41:$C$45,3,FALSE),"")</f>
        <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500</v>
      </c>
      <c r="G47" s="340" t="s">
        <v>512</v>
      </c>
      <c r="H47" s="341"/>
      <c r="I47" s="341"/>
      <c r="J47" s="341"/>
      <c r="K47" s="341"/>
      <c r="L47" s="341"/>
      <c r="M47" s="342"/>
      <c r="O47" s="2"/>
      <c r="Q47" s="3" t="e">
        <f>+IF(VLOOKUP(G47,base!$A$46:$C$66,3,FALSE)=F45,1,0)</f>
        <v>#N/A</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535</v>
      </c>
      <c r="G49" s="340" t="s">
        <v>30</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8"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75" customHeight="1" x14ac:dyDescent="0.25">
      <c r="B59" s="2"/>
      <c r="D59" s="337" t="s">
        <v>34</v>
      </c>
      <c r="E59" s="337"/>
      <c r="F59" s="344" t="s">
        <v>598</v>
      </c>
      <c r="G59" s="344"/>
      <c r="H59" s="344"/>
      <c r="I59" s="344"/>
      <c r="J59" s="344"/>
      <c r="K59" s="344"/>
      <c r="L59" s="344"/>
      <c r="M59" s="344"/>
      <c r="O59" s="2"/>
    </row>
    <row r="60" spans="2:15" ht="27" customHeight="1" x14ac:dyDescent="0.25">
      <c r="B60" s="2"/>
      <c r="D60" s="359" t="s">
        <v>35</v>
      </c>
      <c r="E60" s="359"/>
      <c r="F60" s="344" t="s">
        <v>599</v>
      </c>
      <c r="G60" s="344"/>
      <c r="H60" s="344"/>
      <c r="I60" s="344"/>
      <c r="J60" s="344"/>
      <c r="K60" s="344"/>
      <c r="L60" s="344"/>
      <c r="M60" s="344"/>
      <c r="O60" s="2"/>
    </row>
    <row r="61" spans="2:15" ht="27" customHeight="1" x14ac:dyDescent="0.25">
      <c r="B61" s="2"/>
      <c r="D61" s="359" t="s">
        <v>36</v>
      </c>
      <c r="E61" s="359"/>
      <c r="F61" s="344" t="s">
        <v>600</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6</v>
      </c>
    </row>
    <row r="70" spans="2:37" ht="3.95" customHeight="1" x14ac:dyDescent="0.25">
      <c r="B70" s="2"/>
      <c r="D70" s="7"/>
      <c r="E70" s="7"/>
      <c r="O70" s="2"/>
    </row>
    <row r="71" spans="2:37" ht="18.75" customHeight="1" x14ac:dyDescent="0.25">
      <c r="B71" s="2"/>
      <c r="D71" s="343" t="s">
        <v>39</v>
      </c>
      <c r="E71" s="343"/>
      <c r="F71" s="4" t="s">
        <v>50</v>
      </c>
      <c r="G71" s="3">
        <v>6</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60" t="s">
        <v>50</v>
      </c>
      <c r="E80" s="360"/>
      <c r="F80" s="16" t="s">
        <v>500</v>
      </c>
      <c r="G80" s="16">
        <v>0.29899999999999999</v>
      </c>
      <c r="H80" s="16">
        <v>0.3</v>
      </c>
      <c r="I80" s="16">
        <v>0.59899999999999998</v>
      </c>
      <c r="J80" s="16">
        <v>0.6</v>
      </c>
      <c r="K80" s="16">
        <v>0.89900000000000002</v>
      </c>
      <c r="L80" s="16">
        <v>0.9</v>
      </c>
      <c r="M80" s="16" t="s">
        <v>500</v>
      </c>
      <c r="O80" s="2"/>
      <c r="AE80" s="3" t="s">
        <v>50</v>
      </c>
      <c r="AF80" s="3">
        <v>6</v>
      </c>
      <c r="AG80" s="3">
        <f t="shared" si="0"/>
        <v>1</v>
      </c>
      <c r="AH80" s="3">
        <f>+IF(AG80=0,0,IF(AG80=1,(SUM($AG$75:AG80)-1),1))</f>
        <v>0</v>
      </c>
      <c r="AI80" s="3">
        <f t="shared" si="1"/>
        <v>0</v>
      </c>
      <c r="AJ80" s="3">
        <f t="shared" si="2"/>
        <v>1</v>
      </c>
      <c r="AK80" s="3">
        <f t="shared" si="3"/>
        <v>1</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1</v>
      </c>
      <c r="AI81" s="3">
        <f t="shared" si="1"/>
        <v>0</v>
      </c>
      <c r="AJ81" s="3">
        <f t="shared" si="2"/>
        <v>0</v>
      </c>
      <c r="AK81" s="3">
        <f t="shared" si="3"/>
        <v>0</v>
      </c>
    </row>
    <row r="82" spans="2:37" x14ac:dyDescent="0.25">
      <c r="B82" s="2"/>
      <c r="D82" s="360" t="s">
        <v>54</v>
      </c>
      <c r="E82" s="360"/>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2</v>
      </c>
      <c r="AI82" s="3">
        <f t="shared" si="1"/>
        <v>0</v>
      </c>
      <c r="AJ82" s="3">
        <f t="shared" si="2"/>
        <v>0</v>
      </c>
      <c r="AK82" s="3">
        <f t="shared" si="3"/>
        <v>0</v>
      </c>
    </row>
    <row r="83" spans="2:37" x14ac:dyDescent="0.25">
      <c r="B83" s="2"/>
      <c r="D83" s="360" t="s">
        <v>55</v>
      </c>
      <c r="E83" s="360"/>
      <c r="F83" s="16" t="s">
        <v>500</v>
      </c>
      <c r="G83" s="16" t="s">
        <v>500</v>
      </c>
      <c r="H83" s="16" t="s">
        <v>500</v>
      </c>
      <c r="I83" s="16" t="s">
        <v>500</v>
      </c>
      <c r="J83" s="16" t="s">
        <v>500</v>
      </c>
      <c r="K83" s="16" t="s">
        <v>500</v>
      </c>
      <c r="L83" s="16" t="s">
        <v>500</v>
      </c>
      <c r="M83" s="16" t="s">
        <v>500</v>
      </c>
      <c r="O83" s="2"/>
      <c r="AE83" s="3" t="s">
        <v>55</v>
      </c>
      <c r="AF83" s="3">
        <v>9</v>
      </c>
      <c r="AG83" s="3">
        <f t="shared" si="0"/>
        <v>1</v>
      </c>
      <c r="AH83" s="3">
        <f>+IF(AG83=0,0,IF(AG83=1,(SUM($AG$75:AG83)-1),1))</f>
        <v>3</v>
      </c>
      <c r="AI83" s="3">
        <f t="shared" si="1"/>
        <v>0</v>
      </c>
      <c r="AJ83" s="3">
        <f t="shared" si="2"/>
        <v>0</v>
      </c>
      <c r="AK83" s="3">
        <f t="shared" si="3"/>
        <v>0</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4</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5</v>
      </c>
      <c r="AI85" s="3">
        <f t="shared" si="1"/>
        <v>0</v>
      </c>
      <c r="AJ85" s="3">
        <f t="shared" si="2"/>
        <v>0</v>
      </c>
      <c r="AK85" s="3">
        <f t="shared" si="3"/>
        <v>0</v>
      </c>
    </row>
    <row r="86" spans="2:37" x14ac:dyDescent="0.25">
      <c r="B86" s="2"/>
      <c r="D86" s="360" t="s">
        <v>58</v>
      </c>
      <c r="E86" s="360"/>
      <c r="F86" s="16" t="s">
        <v>500</v>
      </c>
      <c r="G86" s="16">
        <v>0.499</v>
      </c>
      <c r="H86" s="16">
        <v>0.5</v>
      </c>
      <c r="I86" s="16">
        <v>0.749</v>
      </c>
      <c r="J86" s="16">
        <v>0.75</v>
      </c>
      <c r="K86" s="16">
        <v>0.999</v>
      </c>
      <c r="L86" s="16" t="s">
        <v>500</v>
      </c>
      <c r="M86" s="16">
        <v>1</v>
      </c>
      <c r="O86" s="2"/>
      <c r="AE86" s="3" t="s">
        <v>58</v>
      </c>
      <c r="AF86" s="65">
        <v>12</v>
      </c>
      <c r="AG86" s="3">
        <f t="shared" si="0"/>
        <v>1</v>
      </c>
      <c r="AH86" s="3">
        <f>+IF(AG86=0,0,IF(AG86=1,(SUM($AG$75:AG86)-1),1))</f>
        <v>6</v>
      </c>
      <c r="AI86" s="3">
        <f t="shared" si="1"/>
        <v>1</v>
      </c>
      <c r="AJ86" s="3">
        <f t="shared" si="2"/>
        <v>0</v>
      </c>
      <c r="AK86" s="3">
        <f t="shared" si="3"/>
        <v>1</v>
      </c>
    </row>
    <row r="87" spans="2:37" ht="3.75" customHeight="1" x14ac:dyDescent="0.25">
      <c r="B87" s="2"/>
      <c r="O87" s="2"/>
    </row>
    <row r="88" spans="2:37" ht="66" customHeight="1" x14ac:dyDescent="0.25">
      <c r="B88" s="2"/>
      <c r="D88" s="338" t="s">
        <v>59</v>
      </c>
      <c r="E88" s="339"/>
      <c r="F88" s="368" t="s">
        <v>90</v>
      </c>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28.5" customHeight="1" x14ac:dyDescent="0.25">
      <c r="B97" s="2"/>
      <c r="D97" s="359" t="s">
        <v>35</v>
      </c>
      <c r="E97" s="359"/>
      <c r="F97" s="344" t="s">
        <v>601</v>
      </c>
      <c r="G97" s="344"/>
      <c r="H97" s="344"/>
      <c r="I97" s="344"/>
      <c r="J97" s="344"/>
      <c r="K97" s="344"/>
      <c r="L97" s="344"/>
      <c r="M97" s="344"/>
      <c r="O97" s="2"/>
    </row>
    <row r="98" spans="2:15" ht="28.5" customHeight="1" x14ac:dyDescent="0.25">
      <c r="B98" s="2"/>
      <c r="D98" s="359" t="s">
        <v>36</v>
      </c>
      <c r="E98" s="359"/>
      <c r="F98" s="344" t="s">
        <v>601</v>
      </c>
      <c r="G98" s="344"/>
      <c r="H98" s="344"/>
      <c r="I98" s="344"/>
      <c r="J98" s="344"/>
      <c r="K98" s="344"/>
      <c r="L98" s="344"/>
      <c r="M98" s="344"/>
      <c r="O98" s="2"/>
    </row>
    <row r="99" spans="2:15" ht="3.95" customHeight="1" x14ac:dyDescent="0.25">
      <c r="B99" s="2"/>
      <c r="O99" s="2"/>
    </row>
    <row r="100" spans="2:15" ht="240" customHeight="1" x14ac:dyDescent="0.25">
      <c r="B100" s="2"/>
      <c r="D100" s="338" t="s">
        <v>62</v>
      </c>
      <c r="E100" s="339"/>
      <c r="F100" s="340" t="s">
        <v>91</v>
      </c>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496</v>
      </c>
      <c r="K102" s="20"/>
      <c r="O102" s="2"/>
    </row>
    <row r="103" spans="2:15" ht="19.5" customHeight="1" x14ac:dyDescent="0.25">
      <c r="B103" s="2"/>
      <c r="D103" s="331"/>
      <c r="E103" s="332"/>
      <c r="F103" s="19" t="s">
        <v>66</v>
      </c>
      <c r="G103" s="4" t="s">
        <v>140</v>
      </c>
      <c r="K103" s="21"/>
      <c r="O103" s="2"/>
    </row>
    <row r="104" spans="2:15" ht="27.75" customHeight="1" x14ac:dyDescent="0.25">
      <c r="B104" s="2"/>
      <c r="D104" s="331"/>
      <c r="E104" s="332"/>
      <c r="F104" s="19" t="s">
        <v>67</v>
      </c>
      <c r="G104" s="365" t="s">
        <v>135</v>
      </c>
      <c r="H104" s="366"/>
      <c r="I104" s="366"/>
      <c r="J104" s="366"/>
      <c r="K104" s="366"/>
      <c r="L104" s="366"/>
      <c r="M104" s="367"/>
      <c r="O104" s="2"/>
    </row>
    <row r="105" spans="2:15" ht="3.95" customHeight="1" x14ac:dyDescent="0.25">
      <c r="B105" s="2"/>
      <c r="O105" s="2"/>
    </row>
    <row r="106" spans="2:15" ht="197.25" customHeight="1" x14ac:dyDescent="0.25">
      <c r="B106" s="2"/>
      <c r="D106" s="338" t="s">
        <v>68</v>
      </c>
      <c r="E106" s="339"/>
      <c r="F106" s="340" t="s">
        <v>69</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65" t="str">
        <f>+VLOOKUP(H10,tablero!$P$5:$R$201,3,FALSE)</f>
        <v xml:space="preserve">Director(a) Primera Infancia </v>
      </c>
      <c r="H108" s="366"/>
      <c r="I108" s="366"/>
      <c r="J108" s="366"/>
      <c r="K108" s="366"/>
      <c r="L108" s="366"/>
      <c r="M108" s="367"/>
      <c r="O108" s="2"/>
    </row>
    <row r="109" spans="2:15" ht="17.25" customHeight="1" x14ac:dyDescent="0.25">
      <c r="B109" s="2"/>
      <c r="D109" s="331"/>
      <c r="E109" s="332"/>
      <c r="F109" s="19" t="s">
        <v>2042</v>
      </c>
      <c r="G109" s="365" t="str">
        <f>+IF(M23="Si","Coordinador(a) Planeación y Sistemas","")</f>
        <v>Coordinador(a) Planeación y Sistemas</v>
      </c>
      <c r="H109" s="366"/>
      <c r="I109" s="366"/>
      <c r="J109" s="366"/>
      <c r="K109" s="366"/>
      <c r="L109" s="366"/>
      <c r="M109" s="367"/>
      <c r="O109" s="2"/>
    </row>
    <row r="110" spans="2:15" ht="17.25" customHeight="1" x14ac:dyDescent="0.25">
      <c r="B110" s="2"/>
      <c r="D110" s="331"/>
      <c r="E110" s="332"/>
      <c r="F110" s="19" t="s">
        <v>2043</v>
      </c>
      <c r="G110" s="365" t="str">
        <f>+IF(M24="Si","Coordinador(a) Centro Zonal","")</f>
        <v/>
      </c>
      <c r="H110" s="366"/>
      <c r="I110" s="366"/>
      <c r="J110" s="366"/>
      <c r="K110" s="366"/>
      <c r="L110" s="366"/>
      <c r="M110" s="367"/>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3248" priority="31">
      <formula>+IF($F$43="no",1,0)</formula>
    </cfRule>
  </conditionalFormatting>
  <conditionalFormatting sqref="F32:M33">
    <cfRule type="expression" dxfId="3247" priority="30">
      <formula>+IF($Q$30="NA",1,0)</formula>
    </cfRule>
  </conditionalFormatting>
  <conditionalFormatting sqref="F33:M33">
    <cfRule type="expression" dxfId="3246" priority="29">
      <formula>+IF($Q$33=0,1,0)</formula>
    </cfRule>
  </conditionalFormatting>
  <conditionalFormatting sqref="F47:M47">
    <cfRule type="expression" dxfId="3245" priority="28">
      <formula>+IF($Q$47=0,1,0)</formula>
    </cfRule>
  </conditionalFormatting>
  <conditionalFormatting sqref="F73:G73">
    <cfRule type="cellIs" dxfId="3244" priority="14" operator="equal">
      <formula>"optimo"</formula>
    </cfRule>
    <cfRule type="cellIs" dxfId="3243" priority="15" operator="equal">
      <formula>"critico"</formula>
    </cfRule>
  </conditionalFormatting>
  <conditionalFormatting sqref="H73:I73">
    <cfRule type="cellIs" dxfId="3242" priority="12" operator="equal">
      <formula>"Adecuado"</formula>
    </cfRule>
    <cfRule type="cellIs" dxfId="3241" priority="13" operator="equal">
      <formula>"en riesgo"</formula>
    </cfRule>
  </conditionalFormatting>
  <conditionalFormatting sqref="J73:K73">
    <cfRule type="cellIs" dxfId="3240" priority="10" operator="equal">
      <formula>"Adecuado"</formula>
    </cfRule>
    <cfRule type="cellIs" dxfId="3239" priority="11" operator="equal">
      <formula>"en riesgo"</formula>
    </cfRule>
  </conditionalFormatting>
  <conditionalFormatting sqref="L73:M73">
    <cfRule type="cellIs" dxfId="3238" priority="8" operator="equal">
      <formula>"optimo"</formula>
    </cfRule>
    <cfRule type="cellIs" dxfId="3237" priority="9" operator="equal">
      <formula>"critico"</formula>
    </cfRule>
  </conditionalFormatting>
  <conditionalFormatting sqref="F75:M86">
    <cfRule type="expression" dxfId="3236" priority="7">
      <formula>+IF($AK75=0,1)</formula>
    </cfRule>
  </conditionalFormatting>
  <conditionalFormatting sqref="F103:G104">
    <cfRule type="expression" dxfId="3235" priority="6">
      <formula>+IF($G$102="No",1,0)</formula>
    </cfRule>
  </conditionalFormatting>
  <conditionalFormatting sqref="F51">
    <cfRule type="expression" dxfId="3234" priority="5">
      <formula>+IF($F$43="no",1,0)</formula>
    </cfRule>
  </conditionalFormatting>
  <conditionalFormatting sqref="I51">
    <cfRule type="expression" dxfId="3233"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1">
    <tabColor rgb="FF0070C0"/>
  </sheetPr>
  <dimension ref="B1:BA113"/>
  <sheetViews>
    <sheetView topLeftCell="A46" zoomScale="90" zoomScaleNormal="90" workbookViewId="0">
      <selection activeCell="F108" sqref="F108:M11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468</v>
      </c>
      <c r="O10" s="2"/>
    </row>
    <row r="11" spans="2:24" ht="3.95" customHeight="1" x14ac:dyDescent="0.25">
      <c r="B11" s="2"/>
      <c r="D11" s="6"/>
      <c r="O11" s="2"/>
    </row>
    <row r="12" spans="2:24" ht="36" customHeight="1" x14ac:dyDescent="0.25">
      <c r="B12" s="2"/>
      <c r="D12" s="338" t="s">
        <v>5</v>
      </c>
      <c r="E12" s="339"/>
      <c r="F12" s="340" t="s">
        <v>1489</v>
      </c>
      <c r="G12" s="341"/>
      <c r="H12" s="341"/>
      <c r="I12" s="341"/>
      <c r="J12" s="341"/>
      <c r="K12" s="341"/>
      <c r="L12" s="341"/>
      <c r="M12" s="342"/>
      <c r="O12" s="2"/>
      <c r="W12" s="3" t="str">
        <f>+F23</f>
        <v>Trimestral</v>
      </c>
      <c r="X12" s="3" t="str">
        <f>+F71</f>
        <v>Marzo</v>
      </c>
    </row>
    <row r="13" spans="2:24" ht="3.95" customHeight="1" x14ac:dyDescent="0.25">
      <c r="B13" s="2"/>
      <c r="O13" s="2"/>
    </row>
    <row r="14" spans="2:24" ht="38.25" customHeight="1" x14ac:dyDescent="0.25">
      <c r="B14" s="2"/>
      <c r="D14" s="338" t="s">
        <v>6</v>
      </c>
      <c r="E14" s="339"/>
      <c r="F14" s="340" t="s">
        <v>1490</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8.75" customHeight="1" x14ac:dyDescent="0.25">
      <c r="B22" s="2"/>
      <c r="D22" s="337" t="s">
        <v>8</v>
      </c>
      <c r="E22" s="337"/>
      <c r="F22" s="17">
        <v>0.47</v>
      </c>
      <c r="G22" s="337" t="s">
        <v>9</v>
      </c>
      <c r="H22" s="337"/>
      <c r="I22" s="17">
        <v>1</v>
      </c>
      <c r="K22" s="337" t="s">
        <v>10</v>
      </c>
      <c r="L22" s="337"/>
      <c r="M22" s="9" t="s">
        <v>496</v>
      </c>
      <c r="O22" s="2"/>
    </row>
    <row r="23" spans="2:17" ht="19.5" customHeight="1" x14ac:dyDescent="0.25">
      <c r="B23" s="2"/>
      <c r="D23" s="337" t="s">
        <v>11</v>
      </c>
      <c r="E23" s="337"/>
      <c r="F23" s="4" t="s">
        <v>71</v>
      </c>
      <c r="G23" s="337" t="s">
        <v>12</v>
      </c>
      <c r="H23" s="337"/>
      <c r="I23" s="4" t="s">
        <v>497</v>
      </c>
      <c r="K23" s="337" t="s">
        <v>13</v>
      </c>
      <c r="L23" s="337"/>
      <c r="M23" s="9" t="s">
        <v>2</v>
      </c>
      <c r="O23" s="2"/>
    </row>
    <row r="24" spans="2:17" ht="20.100000000000001" customHeight="1" x14ac:dyDescent="0.25">
      <c r="B24" s="2"/>
      <c r="D24" s="337" t="s">
        <v>14</v>
      </c>
      <c r="E24" s="337"/>
      <c r="F24" s="4" t="s">
        <v>498</v>
      </c>
      <c r="G24" s="337" t="s">
        <v>15</v>
      </c>
      <c r="H24" s="337"/>
      <c r="I24" s="4" t="s">
        <v>103</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evaluacion</v>
      </c>
    </row>
    <row r="31" spans="2:17" ht="24" customHeight="1" x14ac:dyDescent="0.25">
      <c r="B31" s="2"/>
      <c r="D31" s="347"/>
      <c r="E31" s="348"/>
      <c r="F31" s="4" t="s">
        <v>454</v>
      </c>
      <c r="G31" s="340" t="s">
        <v>455</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1617</v>
      </c>
      <c r="G33" s="340" t="s">
        <v>1618</v>
      </c>
      <c r="H33" s="341"/>
      <c r="I33" s="341"/>
      <c r="J33" s="341"/>
      <c r="K33" s="341"/>
      <c r="L33" s="341"/>
      <c r="M33" s="342"/>
      <c r="O33" s="2"/>
      <c r="Q33" s="3">
        <f>+IFERROR(IF(VLOOKUP(G33,base!$A$26:$C$40,3,FALSE)=F31,1,0),"")</f>
        <v>1</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1716</v>
      </c>
      <c r="G35" s="340" t="s">
        <v>1592</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501</v>
      </c>
      <c r="G45" s="340" t="s">
        <v>515</v>
      </c>
      <c r="H45" s="341"/>
      <c r="I45" s="341"/>
      <c r="J45" s="341"/>
      <c r="K45" s="341"/>
      <c r="L45" s="341"/>
      <c r="M45" s="342"/>
      <c r="O45" s="2"/>
      <c r="Q45" s="3" t="str">
        <f>+IFERROR(VLOOKUP(G45,base!$A$41:$C$45,3,FALSE),"")</f>
        <v>misional</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503</v>
      </c>
      <c r="G47" s="340" t="s">
        <v>995</v>
      </c>
      <c r="H47" s="341"/>
      <c r="I47" s="341"/>
      <c r="J47" s="341"/>
      <c r="K47" s="341"/>
      <c r="L47" s="341"/>
      <c r="M47" s="342"/>
      <c r="O47" s="2"/>
      <c r="Q47" s="3">
        <f>+IF(VLOOKUP(G47,base!$A$46:$C$66,3,FALSE)=F45,1,0)</f>
        <v>1</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920</v>
      </c>
      <c r="G49" s="340" t="s">
        <v>899</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496</v>
      </c>
      <c r="G51" s="337" t="s">
        <v>32</v>
      </c>
      <c r="H51" s="337"/>
      <c r="I51" s="17">
        <v>1</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37" t="s">
        <v>34</v>
      </c>
      <c r="E59" s="337"/>
      <c r="F59" s="473" t="s">
        <v>1491</v>
      </c>
      <c r="G59" s="473"/>
      <c r="H59" s="473"/>
      <c r="I59" s="473"/>
      <c r="J59" s="473"/>
      <c r="K59" s="473"/>
      <c r="L59" s="473"/>
      <c r="M59" s="473"/>
      <c r="O59" s="2"/>
    </row>
    <row r="60" spans="2:15" ht="38.25" customHeight="1" x14ac:dyDescent="0.25">
      <c r="B60" s="2"/>
      <c r="D60" s="359" t="s">
        <v>35</v>
      </c>
      <c r="E60" s="359"/>
      <c r="F60" s="344" t="s">
        <v>1492</v>
      </c>
      <c r="G60" s="344"/>
      <c r="H60" s="344"/>
      <c r="I60" s="344"/>
      <c r="J60" s="344"/>
      <c r="K60" s="344"/>
      <c r="L60" s="344"/>
      <c r="M60" s="344"/>
      <c r="O60" s="2"/>
    </row>
    <row r="61" spans="2:15" ht="38.25" customHeight="1" x14ac:dyDescent="0.25">
      <c r="B61" s="2"/>
      <c r="D61" s="359" t="s">
        <v>36</v>
      </c>
      <c r="E61" s="359"/>
      <c r="F61" s="474" t="s">
        <v>1493</v>
      </c>
      <c r="G61" s="475"/>
      <c r="H61" s="475"/>
      <c r="I61" s="475"/>
      <c r="J61" s="475"/>
      <c r="K61" s="475"/>
      <c r="L61" s="475"/>
      <c r="M61" s="476"/>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53" ht="3" customHeight="1" x14ac:dyDescent="0.25">
      <c r="B65" s="2"/>
      <c r="C65" s="2"/>
      <c r="D65" s="2"/>
      <c r="E65" s="2"/>
      <c r="F65" s="2"/>
      <c r="G65" s="2"/>
      <c r="H65" s="2"/>
      <c r="I65" s="2"/>
      <c r="J65" s="2"/>
      <c r="K65" s="2"/>
      <c r="L65" s="2"/>
      <c r="M65" s="2"/>
      <c r="N65" s="2"/>
      <c r="O65" s="2"/>
    </row>
    <row r="66" spans="2:53" ht="3.95" customHeight="1" x14ac:dyDescent="0.25">
      <c r="B66" s="2"/>
      <c r="O66" s="2"/>
    </row>
    <row r="67" spans="2:53" x14ac:dyDescent="0.25">
      <c r="B67" s="2"/>
      <c r="D67" s="361" t="s">
        <v>38</v>
      </c>
      <c r="E67" s="361"/>
      <c r="O67" s="2"/>
    </row>
    <row r="68" spans="2:53" ht="3.95" customHeight="1" x14ac:dyDescent="0.25">
      <c r="B68" s="2"/>
      <c r="D68" s="7"/>
      <c r="E68" s="7"/>
      <c r="O68" s="2"/>
    </row>
    <row r="69" spans="2:53" ht="18.75" customHeight="1" x14ac:dyDescent="0.25">
      <c r="B69" s="2"/>
      <c r="O69" s="2"/>
      <c r="U69" s="3">
        <f>+IFERROR(VLOOKUP(F23,base!$A$1:$B$8,2,FALSE),"")</f>
        <v>3</v>
      </c>
    </row>
    <row r="70" spans="2:53" ht="3.95" customHeight="1" x14ac:dyDescent="0.25">
      <c r="B70" s="2"/>
      <c r="D70" s="7"/>
      <c r="E70" s="7"/>
      <c r="O70" s="2"/>
    </row>
    <row r="71" spans="2:53" ht="18.75" customHeight="1" x14ac:dyDescent="0.25">
      <c r="B71" s="2"/>
      <c r="D71" s="343" t="s">
        <v>39</v>
      </c>
      <c r="E71" s="343"/>
      <c r="F71" s="4" t="s">
        <v>47</v>
      </c>
      <c r="G71" s="3">
        <v>3</v>
      </c>
      <c r="O71" s="2"/>
    </row>
    <row r="72" spans="2:53" ht="3.95" customHeight="1" x14ac:dyDescent="0.25">
      <c r="B72" s="2"/>
      <c r="D72" s="7"/>
      <c r="E72" s="7"/>
      <c r="O72" s="2"/>
    </row>
    <row r="73" spans="2:53" x14ac:dyDescent="0.25">
      <c r="B73" s="2"/>
      <c r="D73" s="362" t="s">
        <v>41</v>
      </c>
      <c r="E73" s="362"/>
      <c r="F73" s="363" t="s">
        <v>42</v>
      </c>
      <c r="G73" s="364"/>
      <c r="H73" s="363" t="s">
        <v>43</v>
      </c>
      <c r="I73" s="364"/>
      <c r="J73" s="363" t="s">
        <v>44</v>
      </c>
      <c r="K73" s="364"/>
      <c r="L73" s="363" t="s">
        <v>45</v>
      </c>
      <c r="M73" s="364"/>
      <c r="O73" s="2"/>
    </row>
    <row r="74" spans="2:53" x14ac:dyDescent="0.25">
      <c r="B74" s="2"/>
      <c r="D74" s="362"/>
      <c r="E74" s="362"/>
      <c r="F74" s="15" t="s">
        <v>51</v>
      </c>
      <c r="G74" s="15" t="s">
        <v>52</v>
      </c>
      <c r="H74" s="15" t="s">
        <v>51</v>
      </c>
      <c r="I74" s="15" t="s">
        <v>52</v>
      </c>
      <c r="J74" s="15" t="s">
        <v>51</v>
      </c>
      <c r="K74" s="15" t="s">
        <v>52</v>
      </c>
      <c r="L74" s="15" t="s">
        <v>51</v>
      </c>
      <c r="M74" s="15" t="s">
        <v>52</v>
      </c>
      <c r="O74" s="2"/>
    </row>
    <row r="75" spans="2:53"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53"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53" x14ac:dyDescent="0.25">
      <c r="B77" s="2"/>
      <c r="D77" s="360" t="s">
        <v>47</v>
      </c>
      <c r="E77" s="360"/>
      <c r="F77" s="16" t="s">
        <v>500</v>
      </c>
      <c r="G77" s="16">
        <v>9.9000000000000005E-2</v>
      </c>
      <c r="H77" s="16">
        <v>0.1</v>
      </c>
      <c r="I77" s="16">
        <v>0.15</v>
      </c>
      <c r="J77" s="16">
        <v>0.151</v>
      </c>
      <c r="K77" s="16">
        <v>0.249</v>
      </c>
      <c r="L77" s="16">
        <v>0.25</v>
      </c>
      <c r="M77" s="16" t="s">
        <v>500</v>
      </c>
      <c r="O77" s="2"/>
      <c r="P77" s="100"/>
      <c r="Q77" s="100"/>
      <c r="R77" s="100"/>
      <c r="S77" s="100"/>
      <c r="T77" s="100"/>
      <c r="U77" s="100"/>
      <c r="V77" s="100"/>
      <c r="W77" s="100"/>
      <c r="X77" s="100"/>
      <c r="Y77" s="100"/>
      <c r="Z77" s="100"/>
      <c r="AA77" s="100"/>
      <c r="AB77" s="100"/>
      <c r="AC77" s="100"/>
      <c r="AD77" s="100"/>
      <c r="AE77" s="3" t="s">
        <v>47</v>
      </c>
      <c r="AF77" s="3">
        <v>3</v>
      </c>
      <c r="AG77" s="3">
        <f t="shared" si="0"/>
        <v>1</v>
      </c>
      <c r="AH77" s="3">
        <f>+IF(AG77=0,0,IF(AG77=1,(SUM($AG$75:AG77)-1),1))</f>
        <v>0</v>
      </c>
      <c r="AI77" s="3">
        <f t="shared" si="1"/>
        <v>0</v>
      </c>
      <c r="AJ77" s="3">
        <f t="shared" si="2"/>
        <v>1</v>
      </c>
      <c r="AK77" s="3">
        <f t="shared" si="3"/>
        <v>1</v>
      </c>
      <c r="AL77" s="100"/>
      <c r="AM77" s="100"/>
      <c r="AN77" s="100"/>
      <c r="AO77" s="100"/>
      <c r="AP77" s="100"/>
      <c r="AQ77" s="100"/>
      <c r="AR77" s="100"/>
      <c r="AS77" s="100"/>
      <c r="AT77" s="100"/>
      <c r="AU77" s="100"/>
      <c r="AV77" s="100"/>
      <c r="AW77" s="30"/>
      <c r="AX77" s="30"/>
      <c r="AY77" s="30"/>
      <c r="AZ77" s="30"/>
      <c r="BA77" s="30"/>
    </row>
    <row r="78" spans="2:53" x14ac:dyDescent="0.25">
      <c r="B78" s="2"/>
      <c r="D78" s="360" t="s">
        <v>48</v>
      </c>
      <c r="E78" s="360"/>
      <c r="F78" s="16" t="s">
        <v>500</v>
      </c>
      <c r="G78" s="16"/>
      <c r="H78" s="16"/>
      <c r="I78" s="16"/>
      <c r="J78" s="16"/>
      <c r="K78" s="16"/>
      <c r="L78" s="16"/>
      <c r="M78" s="16" t="s">
        <v>500</v>
      </c>
      <c r="O78" s="2"/>
      <c r="AE78" s="3" t="s">
        <v>48</v>
      </c>
      <c r="AF78" s="3">
        <v>4</v>
      </c>
      <c r="AG78" s="3">
        <f t="shared" si="0"/>
        <v>1</v>
      </c>
      <c r="AH78" s="3">
        <f>+IF(AG78=0,0,IF(AG78=1,(SUM($AG$75:AG78)-1),1))</f>
        <v>1</v>
      </c>
      <c r="AI78" s="3">
        <f t="shared" si="1"/>
        <v>0</v>
      </c>
      <c r="AJ78" s="3">
        <f t="shared" si="2"/>
        <v>0</v>
      </c>
      <c r="AK78" s="3">
        <f t="shared" si="3"/>
        <v>0</v>
      </c>
    </row>
    <row r="79" spans="2:53" x14ac:dyDescent="0.25">
      <c r="B79" s="2"/>
      <c r="D79" s="360" t="s">
        <v>49</v>
      </c>
      <c r="E79" s="360"/>
      <c r="F79" s="16" t="s">
        <v>500</v>
      </c>
      <c r="G79" s="16"/>
      <c r="H79" s="16"/>
      <c r="I79" s="16"/>
      <c r="J79" s="16"/>
      <c r="K79" s="16"/>
      <c r="L79" s="16"/>
      <c r="M79" s="16" t="s">
        <v>500</v>
      </c>
      <c r="O79" s="2"/>
      <c r="AE79" s="3" t="s">
        <v>49</v>
      </c>
      <c r="AF79" s="3">
        <v>5</v>
      </c>
      <c r="AG79" s="3">
        <f t="shared" si="0"/>
        <v>1</v>
      </c>
      <c r="AH79" s="3">
        <f>+IF(AG79=0,0,IF(AG79=1,(SUM($AG$75:AG79)-1),1))</f>
        <v>2</v>
      </c>
      <c r="AI79" s="3">
        <f t="shared" si="1"/>
        <v>0</v>
      </c>
      <c r="AJ79" s="3">
        <f t="shared" si="2"/>
        <v>0</v>
      </c>
      <c r="AK79" s="3">
        <f t="shared" si="3"/>
        <v>0</v>
      </c>
    </row>
    <row r="80" spans="2:53" x14ac:dyDescent="0.25">
      <c r="B80" s="2"/>
      <c r="D80" s="360" t="s">
        <v>50</v>
      </c>
      <c r="E80" s="360"/>
      <c r="F80" s="16" t="s">
        <v>500</v>
      </c>
      <c r="G80" s="16">
        <v>0.34899999999999998</v>
      </c>
      <c r="H80" s="16">
        <v>0.35</v>
      </c>
      <c r="I80" s="16">
        <v>0.4</v>
      </c>
      <c r="J80" s="16">
        <v>0.40100000000000002</v>
      </c>
      <c r="K80" s="16">
        <v>0.499</v>
      </c>
      <c r="L80" s="16">
        <v>0.5</v>
      </c>
      <c r="M80" s="16" t="s">
        <v>500</v>
      </c>
      <c r="O80" s="2"/>
      <c r="P80" s="100"/>
      <c r="Q80" s="100"/>
      <c r="R80" s="100"/>
      <c r="S80" s="100"/>
      <c r="T80" s="100"/>
      <c r="U80" s="100"/>
      <c r="V80" s="100"/>
      <c r="W80" s="100"/>
      <c r="X80" s="100"/>
      <c r="Y80" s="100"/>
      <c r="Z80" s="100"/>
      <c r="AA80" s="100"/>
      <c r="AB80" s="100"/>
      <c r="AC80" s="100"/>
      <c r="AD80" s="100"/>
      <c r="AE80" s="3" t="s">
        <v>50</v>
      </c>
      <c r="AF80" s="3">
        <v>6</v>
      </c>
      <c r="AG80" s="3">
        <f t="shared" si="0"/>
        <v>1</v>
      </c>
      <c r="AH80" s="3">
        <f>+IF(AG80=0,0,IF(AG80=1,(SUM($AG$75:AG80)-1),1))</f>
        <v>3</v>
      </c>
      <c r="AI80" s="3">
        <f t="shared" si="1"/>
        <v>1</v>
      </c>
      <c r="AJ80" s="3">
        <f t="shared" si="2"/>
        <v>0</v>
      </c>
      <c r="AK80" s="3">
        <f t="shared" si="3"/>
        <v>1</v>
      </c>
      <c r="AL80" s="100"/>
      <c r="AM80" s="100"/>
      <c r="AN80" s="100"/>
      <c r="AO80" s="100"/>
      <c r="AP80" s="100"/>
      <c r="AQ80" s="100"/>
      <c r="AR80" s="100"/>
      <c r="AS80" s="100"/>
      <c r="AT80" s="100"/>
      <c r="AU80" s="100"/>
      <c r="AV80" s="100"/>
      <c r="AW80" s="30"/>
      <c r="AX80" s="30"/>
      <c r="AY80" s="30"/>
      <c r="AZ80" s="30"/>
    </row>
    <row r="81" spans="2:52" x14ac:dyDescent="0.25">
      <c r="B81" s="2"/>
      <c r="D81" s="360" t="s">
        <v>53</v>
      </c>
      <c r="E81" s="360"/>
      <c r="F81" s="16" t="s">
        <v>500</v>
      </c>
      <c r="G81" s="16"/>
      <c r="H81" s="16"/>
      <c r="I81" s="16"/>
      <c r="J81" s="16"/>
      <c r="K81" s="16"/>
      <c r="L81" s="16"/>
      <c r="M81" s="16" t="s">
        <v>500</v>
      </c>
      <c r="O81" s="2"/>
      <c r="AE81" s="3" t="s">
        <v>53</v>
      </c>
      <c r="AF81" s="3">
        <v>7</v>
      </c>
      <c r="AG81" s="3">
        <f t="shared" si="0"/>
        <v>1</v>
      </c>
      <c r="AH81" s="3">
        <f>+IF(AG81=0,0,IF(AG81=1,(SUM($AG$75:AG81)-1),1))</f>
        <v>4</v>
      </c>
      <c r="AI81" s="3">
        <f t="shared" si="1"/>
        <v>0</v>
      </c>
      <c r="AJ81" s="3">
        <f t="shared" si="2"/>
        <v>0</v>
      </c>
      <c r="AK81" s="3">
        <f t="shared" si="3"/>
        <v>0</v>
      </c>
    </row>
    <row r="82" spans="2:52" x14ac:dyDescent="0.25">
      <c r="B82" s="2"/>
      <c r="D82" s="360" t="s">
        <v>54</v>
      </c>
      <c r="E82" s="360"/>
      <c r="F82" s="16" t="s">
        <v>500</v>
      </c>
      <c r="G82" s="16"/>
      <c r="H82" s="16"/>
      <c r="I82" s="16"/>
      <c r="J82" s="16"/>
      <c r="K82" s="16"/>
      <c r="L82" s="16"/>
      <c r="M82" s="16" t="s">
        <v>500</v>
      </c>
      <c r="O82" s="2"/>
      <c r="AE82" s="3" t="s">
        <v>54</v>
      </c>
      <c r="AF82" s="3">
        <v>8</v>
      </c>
      <c r="AG82" s="3">
        <f t="shared" si="0"/>
        <v>1</v>
      </c>
      <c r="AH82" s="3">
        <f>+IF(AG82=0,0,IF(AG82=1,(SUM($AG$75:AG82)-1),1))</f>
        <v>5</v>
      </c>
      <c r="AI82" s="3">
        <f t="shared" si="1"/>
        <v>0</v>
      </c>
      <c r="AJ82" s="3">
        <f t="shared" si="2"/>
        <v>0</v>
      </c>
      <c r="AK82" s="3">
        <f t="shared" si="3"/>
        <v>0</v>
      </c>
    </row>
    <row r="83" spans="2:52" x14ac:dyDescent="0.25">
      <c r="B83" s="2"/>
      <c r="D83" s="360" t="s">
        <v>55</v>
      </c>
      <c r="E83" s="360"/>
      <c r="F83" s="16" t="s">
        <v>500</v>
      </c>
      <c r="G83" s="16">
        <v>0.59899999999999998</v>
      </c>
      <c r="H83" s="16">
        <v>0.6</v>
      </c>
      <c r="I83" s="16">
        <v>0.65</v>
      </c>
      <c r="J83" s="16">
        <v>0.65100000000000002</v>
      </c>
      <c r="K83" s="16">
        <v>0.749</v>
      </c>
      <c r="L83" s="16">
        <v>0.75</v>
      </c>
      <c r="M83" s="16" t="s">
        <v>500</v>
      </c>
      <c r="O83" s="2"/>
      <c r="P83" s="100"/>
      <c r="Q83" s="100"/>
      <c r="R83" s="100"/>
      <c r="S83" s="100"/>
      <c r="T83" s="100"/>
      <c r="U83" s="100"/>
      <c r="V83" s="100"/>
      <c r="W83" s="100"/>
      <c r="X83" s="100"/>
      <c r="Y83" s="100"/>
      <c r="Z83" s="100"/>
      <c r="AA83" s="100"/>
      <c r="AB83" s="100"/>
      <c r="AC83" s="100"/>
      <c r="AD83" s="100"/>
      <c r="AE83" s="3" t="s">
        <v>55</v>
      </c>
      <c r="AF83" s="3">
        <v>9</v>
      </c>
      <c r="AG83" s="3">
        <f t="shared" si="0"/>
        <v>1</v>
      </c>
      <c r="AH83" s="3">
        <f>+IF(AG83=0,0,IF(AG83=1,(SUM($AG$75:AG83)-1),1))</f>
        <v>6</v>
      </c>
      <c r="AI83" s="3">
        <f t="shared" si="1"/>
        <v>1</v>
      </c>
      <c r="AJ83" s="3">
        <f t="shared" si="2"/>
        <v>0</v>
      </c>
      <c r="AK83" s="3">
        <f t="shared" si="3"/>
        <v>1</v>
      </c>
      <c r="AL83" s="100"/>
      <c r="AM83" s="100"/>
      <c r="AN83" s="100"/>
      <c r="AO83" s="100"/>
      <c r="AP83" s="100"/>
      <c r="AQ83" s="100"/>
      <c r="AR83" s="100"/>
      <c r="AS83" s="100"/>
      <c r="AT83" s="100"/>
      <c r="AU83" s="100"/>
      <c r="AV83" s="100"/>
      <c r="AW83" s="30"/>
      <c r="AX83" s="30"/>
      <c r="AY83" s="30"/>
      <c r="AZ83" s="30"/>
    </row>
    <row r="84" spans="2:52" x14ac:dyDescent="0.25">
      <c r="B84" s="2"/>
      <c r="D84" s="360" t="s">
        <v>56</v>
      </c>
      <c r="E84" s="360"/>
      <c r="F84" s="16" t="s">
        <v>500</v>
      </c>
      <c r="G84" s="16"/>
      <c r="H84" s="16"/>
      <c r="I84" s="16"/>
      <c r="J84" s="16"/>
      <c r="K84" s="16"/>
      <c r="L84" s="16"/>
      <c r="M84" s="16" t="s">
        <v>500</v>
      </c>
      <c r="O84" s="2"/>
      <c r="AE84" s="3" t="s">
        <v>56</v>
      </c>
      <c r="AF84" s="3">
        <v>10</v>
      </c>
      <c r="AG84" s="3">
        <f t="shared" si="0"/>
        <v>1</v>
      </c>
      <c r="AH84" s="3">
        <f>+IF(AG84=0,0,IF(AG84=1,(SUM($AG$75:AG84)-1),1))</f>
        <v>7</v>
      </c>
      <c r="AI84" s="3">
        <f t="shared" si="1"/>
        <v>0</v>
      </c>
      <c r="AJ84" s="3">
        <f t="shared" si="2"/>
        <v>0</v>
      </c>
      <c r="AK84" s="3">
        <f t="shared" si="3"/>
        <v>0</v>
      </c>
    </row>
    <row r="85" spans="2:52" x14ac:dyDescent="0.25">
      <c r="B85" s="2"/>
      <c r="D85" s="360" t="s">
        <v>57</v>
      </c>
      <c r="E85" s="360"/>
      <c r="F85" s="16" t="s">
        <v>500</v>
      </c>
      <c r="G85" s="16"/>
      <c r="H85" s="16"/>
      <c r="I85" s="16"/>
      <c r="J85" s="16"/>
      <c r="K85" s="16"/>
      <c r="L85" s="16"/>
      <c r="M85" s="16" t="s">
        <v>500</v>
      </c>
      <c r="O85" s="2"/>
      <c r="AE85" s="3" t="s">
        <v>57</v>
      </c>
      <c r="AF85" s="3">
        <v>11</v>
      </c>
      <c r="AG85" s="3">
        <f t="shared" si="0"/>
        <v>1</v>
      </c>
      <c r="AH85" s="3">
        <f>+IF(AG85=0,0,IF(AG85=1,(SUM($AG$75:AG85)-1),1))</f>
        <v>8</v>
      </c>
      <c r="AI85" s="3">
        <f t="shared" si="1"/>
        <v>0</v>
      </c>
      <c r="AJ85" s="3">
        <f t="shared" si="2"/>
        <v>0</v>
      </c>
      <c r="AK85" s="3">
        <f t="shared" si="3"/>
        <v>0</v>
      </c>
    </row>
    <row r="86" spans="2:52" x14ac:dyDescent="0.25">
      <c r="B86" s="2"/>
      <c r="D86" s="360" t="s">
        <v>58</v>
      </c>
      <c r="E86" s="360"/>
      <c r="F86" s="16" t="s">
        <v>500</v>
      </c>
      <c r="G86" s="16">
        <v>0.84899999999999998</v>
      </c>
      <c r="H86" s="16">
        <v>0.85000000000000009</v>
      </c>
      <c r="I86" s="16">
        <v>0.90000000000000013</v>
      </c>
      <c r="J86" s="16">
        <v>0.90100000000000002</v>
      </c>
      <c r="K86" s="16">
        <v>0.999</v>
      </c>
      <c r="L86" s="16"/>
      <c r="M86" s="16">
        <v>1</v>
      </c>
      <c r="O86" s="2"/>
      <c r="P86" s="100"/>
      <c r="Q86" s="100"/>
      <c r="R86" s="100"/>
      <c r="S86" s="100"/>
      <c r="T86" s="100"/>
      <c r="U86" s="100"/>
      <c r="V86" s="100"/>
      <c r="W86" s="100"/>
      <c r="X86" s="100"/>
      <c r="Y86" s="100"/>
      <c r="Z86" s="100"/>
      <c r="AA86" s="100"/>
      <c r="AB86" s="100"/>
      <c r="AC86" s="100"/>
      <c r="AD86" s="100"/>
      <c r="AE86" s="3" t="s">
        <v>58</v>
      </c>
      <c r="AF86" s="65">
        <v>12</v>
      </c>
      <c r="AG86" s="3">
        <f t="shared" si="0"/>
        <v>1</v>
      </c>
      <c r="AH86" s="3">
        <f>+IF(AG86=0,0,IF(AG86=1,(SUM($AG$75:AG86)-1),1))</f>
        <v>9</v>
      </c>
      <c r="AI86" s="3">
        <f t="shared" si="1"/>
        <v>1</v>
      </c>
      <c r="AJ86" s="3">
        <f t="shared" si="2"/>
        <v>0</v>
      </c>
      <c r="AK86" s="3">
        <f t="shared" si="3"/>
        <v>1</v>
      </c>
      <c r="AL86" s="100"/>
      <c r="AM86" s="100"/>
      <c r="AN86" s="100"/>
      <c r="AO86" s="100"/>
      <c r="AP86" s="100"/>
      <c r="AQ86" s="100"/>
      <c r="AR86" s="100"/>
      <c r="AS86" s="100"/>
      <c r="AT86" s="100"/>
      <c r="AU86" s="100"/>
      <c r="AV86" s="100"/>
      <c r="AW86" s="30"/>
      <c r="AX86" s="30"/>
      <c r="AY86" s="30"/>
      <c r="AZ86" s="30"/>
    </row>
    <row r="87" spans="2:52" ht="3.75" customHeight="1" x14ac:dyDescent="0.25">
      <c r="B87" s="2"/>
      <c r="O87" s="2"/>
    </row>
    <row r="88" spans="2:52" ht="66" customHeight="1" x14ac:dyDescent="0.25">
      <c r="B88" s="2"/>
      <c r="D88" s="338" t="s">
        <v>59</v>
      </c>
      <c r="E88" s="339"/>
      <c r="F88" s="340"/>
      <c r="G88" s="341"/>
      <c r="H88" s="341"/>
      <c r="I88" s="341"/>
      <c r="J88" s="341"/>
      <c r="K88" s="341"/>
      <c r="L88" s="341"/>
      <c r="M88" s="342"/>
      <c r="O88" s="2"/>
    </row>
    <row r="89" spans="2:52" ht="3.95" customHeight="1" x14ac:dyDescent="0.25">
      <c r="B89" s="2"/>
      <c r="O89" s="2"/>
    </row>
    <row r="90" spans="2:52" ht="3" customHeight="1" x14ac:dyDescent="0.25">
      <c r="B90" s="2"/>
      <c r="C90" s="2"/>
      <c r="D90" s="2"/>
      <c r="E90" s="2"/>
      <c r="F90" s="2"/>
      <c r="G90" s="2"/>
      <c r="H90" s="2"/>
      <c r="I90" s="2"/>
      <c r="J90" s="2"/>
      <c r="K90" s="2"/>
      <c r="L90" s="2"/>
      <c r="M90" s="2"/>
      <c r="N90" s="2"/>
      <c r="O90" s="2"/>
    </row>
    <row r="91" spans="2:52" ht="3" customHeight="1" x14ac:dyDescent="0.25"/>
    <row r="92" spans="2:52" ht="3" customHeight="1" x14ac:dyDescent="0.25">
      <c r="B92" s="2"/>
      <c r="C92" s="2"/>
      <c r="D92" s="2"/>
      <c r="E92" s="2"/>
      <c r="F92" s="2"/>
      <c r="G92" s="2"/>
      <c r="H92" s="2"/>
      <c r="I92" s="2"/>
      <c r="J92" s="2"/>
      <c r="K92" s="2"/>
      <c r="L92" s="2"/>
      <c r="M92" s="2"/>
      <c r="N92" s="2"/>
      <c r="O92" s="2"/>
    </row>
    <row r="93" spans="2:52" ht="3.95" customHeight="1" x14ac:dyDescent="0.25">
      <c r="B93" s="2"/>
      <c r="O93" s="2"/>
    </row>
    <row r="94" spans="2:52" x14ac:dyDescent="0.25">
      <c r="B94" s="2"/>
      <c r="D94" s="7" t="s">
        <v>60</v>
      </c>
      <c r="O94" s="2"/>
    </row>
    <row r="95" spans="2:52" ht="3.95" customHeight="1" x14ac:dyDescent="0.25">
      <c r="B95" s="2"/>
      <c r="O95" s="2"/>
    </row>
    <row r="96" spans="2:52" ht="20.100000000000001" customHeight="1" x14ac:dyDescent="0.25">
      <c r="B96" s="2"/>
      <c r="D96" s="337" t="s">
        <v>61</v>
      </c>
      <c r="E96" s="337"/>
      <c r="O96" s="2"/>
    </row>
    <row r="97" spans="2:15" ht="43.5" customHeight="1" x14ac:dyDescent="0.25">
      <c r="B97" s="2"/>
      <c r="D97" s="359" t="s">
        <v>35</v>
      </c>
      <c r="E97" s="359"/>
      <c r="F97" s="344" t="s">
        <v>1494</v>
      </c>
      <c r="G97" s="344"/>
      <c r="H97" s="344"/>
      <c r="I97" s="344"/>
      <c r="J97" s="344"/>
      <c r="K97" s="344"/>
      <c r="L97" s="344"/>
      <c r="M97" s="344"/>
      <c r="O97" s="2"/>
    </row>
    <row r="98" spans="2:15" ht="43.5" customHeight="1" x14ac:dyDescent="0.25">
      <c r="B98" s="2"/>
      <c r="D98" s="359" t="s">
        <v>36</v>
      </c>
      <c r="E98" s="359"/>
      <c r="F98" s="344" t="s">
        <v>1488</v>
      </c>
      <c r="G98" s="344"/>
      <c r="H98" s="344"/>
      <c r="I98" s="344"/>
      <c r="J98" s="344"/>
      <c r="K98" s="344"/>
      <c r="L98" s="344"/>
      <c r="M98" s="344"/>
      <c r="O98" s="2"/>
    </row>
    <row r="99" spans="2:15" ht="3.95" customHeight="1" x14ac:dyDescent="0.25">
      <c r="B99" s="2"/>
      <c r="O99" s="2"/>
    </row>
    <row r="100" spans="2:15" ht="58.5" customHeight="1" x14ac:dyDescent="0.25">
      <c r="B100" s="2"/>
      <c r="D100" s="338" t="s">
        <v>62</v>
      </c>
      <c r="E100" s="339"/>
      <c r="F100" s="333"/>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2</v>
      </c>
      <c r="K102" s="20"/>
      <c r="O102" s="2"/>
    </row>
    <row r="103" spans="2:15" ht="19.5" customHeight="1" x14ac:dyDescent="0.25">
      <c r="B103" s="2"/>
      <c r="D103" s="331"/>
      <c r="E103" s="332"/>
      <c r="F103" s="19" t="s">
        <v>66</v>
      </c>
      <c r="G103" s="4"/>
      <c r="K103" s="21"/>
      <c r="O103" s="2"/>
    </row>
    <row r="104" spans="2:15" ht="27.75" customHeight="1" x14ac:dyDescent="0.25">
      <c r="B104" s="2"/>
      <c r="D104" s="331"/>
      <c r="E104" s="332"/>
      <c r="F104" s="19" t="s">
        <v>67</v>
      </c>
      <c r="G104" s="333"/>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Jefe Oficina de Control Interno</v>
      </c>
      <c r="H108" s="334"/>
      <c r="I108" s="334"/>
      <c r="J108" s="334"/>
      <c r="K108" s="334"/>
      <c r="L108" s="334"/>
      <c r="M108" s="335"/>
      <c r="O108" s="2"/>
    </row>
    <row r="109" spans="2:15" ht="17.25" customHeight="1" x14ac:dyDescent="0.25">
      <c r="B109" s="2"/>
      <c r="D109" s="331"/>
      <c r="E109" s="332"/>
      <c r="F109" s="19" t="s">
        <v>2042</v>
      </c>
      <c r="G109" s="333" t="str">
        <f>+IF(M23="Si","Coordinador(a) Planeación y Sistemas","")</f>
        <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53" priority="33">
      <formula>+IF($F$43="no",1,0)</formula>
    </cfRule>
  </conditionalFormatting>
  <conditionalFormatting sqref="F32:M32">
    <cfRule type="expression" dxfId="152" priority="32">
      <formula>+IF($Q$30="NA",1,0)</formula>
    </cfRule>
  </conditionalFormatting>
  <conditionalFormatting sqref="F47:M47">
    <cfRule type="expression" dxfId="151" priority="30">
      <formula>+IF($Q$47=0,1,0)</formula>
    </cfRule>
  </conditionalFormatting>
  <conditionalFormatting sqref="F73:G73">
    <cfRule type="cellIs" dxfId="150" priority="16" operator="equal">
      <formula>"optimo"</formula>
    </cfRule>
    <cfRule type="cellIs" dxfId="149" priority="17" operator="equal">
      <formula>"critico"</formula>
    </cfRule>
  </conditionalFormatting>
  <conditionalFormatting sqref="H73:I73">
    <cfRule type="cellIs" dxfId="148" priority="14" operator="equal">
      <formula>"Adecuado"</formula>
    </cfRule>
    <cfRule type="cellIs" dxfId="147" priority="15" operator="equal">
      <formula>"en riesgo"</formula>
    </cfRule>
  </conditionalFormatting>
  <conditionalFormatting sqref="J73:K73">
    <cfRule type="cellIs" dxfId="146" priority="12" operator="equal">
      <formula>"Adecuado"</formula>
    </cfRule>
    <cfRule type="cellIs" dxfId="145" priority="13" operator="equal">
      <formula>"en riesgo"</formula>
    </cfRule>
  </conditionalFormatting>
  <conditionalFormatting sqref="L73:M73">
    <cfRule type="cellIs" dxfId="144" priority="10" operator="equal">
      <formula>"optimo"</formula>
    </cfRule>
    <cfRule type="cellIs" dxfId="143" priority="11" operator="equal">
      <formula>"critico"</formula>
    </cfRule>
  </conditionalFormatting>
  <conditionalFormatting sqref="F75:M86">
    <cfRule type="expression" dxfId="142" priority="9">
      <formula>+IF($AK75=0,1)</formula>
    </cfRule>
  </conditionalFormatting>
  <conditionalFormatting sqref="F103:G104">
    <cfRule type="expression" dxfId="141" priority="8">
      <formula>+IF($G$102="No",1,0)</formula>
    </cfRule>
  </conditionalFormatting>
  <conditionalFormatting sqref="F51">
    <cfRule type="expression" dxfId="140" priority="7">
      <formula>+IF($F$43="no",1,0)</formula>
    </cfRule>
  </conditionalFormatting>
  <conditionalFormatting sqref="I51">
    <cfRule type="expression" dxfId="139" priority="6">
      <formula>+IF($F$51="no",1,0)</formula>
    </cfRule>
  </conditionalFormatting>
  <conditionalFormatting sqref="F33:M33">
    <cfRule type="expression" dxfId="138" priority="5">
      <formula>+IF($Q$30="NA",1,0)</formula>
    </cfRule>
  </conditionalFormatting>
  <conditionalFormatting sqref="F33:M33">
    <cfRule type="expression" dxfId="137" priority="4">
      <formula>+IF($Q$33=0,1,0)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2">
    <tabColor rgb="FF0070C0"/>
  </sheetPr>
  <dimension ref="B1:AZ113"/>
  <sheetViews>
    <sheetView topLeftCell="A43" zoomScale="90" zoomScaleNormal="90" workbookViewId="0">
      <selection activeCell="F108" sqref="F108:M11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470</v>
      </c>
      <c r="O10" s="2"/>
    </row>
    <row r="11" spans="2:24" ht="3.95" customHeight="1" x14ac:dyDescent="0.25">
      <c r="B11" s="2"/>
      <c r="D11" s="6"/>
      <c r="O11" s="2"/>
    </row>
    <row r="12" spans="2:24" ht="36" customHeight="1" x14ac:dyDescent="0.25">
      <c r="B12" s="2"/>
      <c r="D12" s="338" t="s">
        <v>5</v>
      </c>
      <c r="E12" s="339"/>
      <c r="F12" s="340" t="s">
        <v>471</v>
      </c>
      <c r="G12" s="341"/>
      <c r="H12" s="341"/>
      <c r="I12" s="341"/>
      <c r="J12" s="341"/>
      <c r="K12" s="341"/>
      <c r="L12" s="341"/>
      <c r="M12" s="342"/>
      <c r="O12" s="2"/>
      <c r="W12" s="3" t="str">
        <f>+F23</f>
        <v>Trimestral</v>
      </c>
      <c r="X12" s="3" t="str">
        <f>+F71</f>
        <v>Septiembre</v>
      </c>
    </row>
    <row r="13" spans="2:24" ht="3.95" customHeight="1" x14ac:dyDescent="0.25">
      <c r="B13" s="2"/>
      <c r="O13" s="2"/>
    </row>
    <row r="14" spans="2:24" ht="38.25" customHeight="1" x14ac:dyDescent="0.25">
      <c r="B14" s="2"/>
      <c r="D14" s="338" t="s">
        <v>6</v>
      </c>
      <c r="E14" s="339"/>
      <c r="F14" s="340" t="s">
        <v>1483</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8.75" customHeight="1" x14ac:dyDescent="0.25">
      <c r="B22" s="2"/>
      <c r="D22" s="337" t="s">
        <v>8</v>
      </c>
      <c r="E22" s="337"/>
      <c r="F22" s="17">
        <v>0.37</v>
      </c>
      <c r="G22" s="337" t="s">
        <v>9</v>
      </c>
      <c r="H22" s="337"/>
      <c r="I22" s="17">
        <v>1</v>
      </c>
      <c r="K22" s="337" t="s">
        <v>10</v>
      </c>
      <c r="L22" s="337"/>
      <c r="M22" s="9" t="s">
        <v>496</v>
      </c>
      <c r="O22" s="2"/>
    </row>
    <row r="23" spans="2:17" ht="19.5" customHeight="1" x14ac:dyDescent="0.25">
      <c r="B23" s="2"/>
      <c r="D23" s="337" t="s">
        <v>11</v>
      </c>
      <c r="E23" s="337"/>
      <c r="F23" s="4" t="s">
        <v>71</v>
      </c>
      <c r="G23" s="337" t="s">
        <v>12</v>
      </c>
      <c r="H23" s="337"/>
      <c r="I23" s="4" t="s">
        <v>497</v>
      </c>
      <c r="K23" s="337" t="s">
        <v>13</v>
      </c>
      <c r="L23" s="337"/>
      <c r="M23" s="9" t="s">
        <v>2</v>
      </c>
      <c r="O23" s="2"/>
    </row>
    <row r="24" spans="2:17" ht="20.100000000000001" customHeight="1" x14ac:dyDescent="0.25">
      <c r="B24" s="2"/>
      <c r="D24" s="337" t="s">
        <v>14</v>
      </c>
      <c r="E24" s="337"/>
      <c r="F24" s="4" t="s">
        <v>498</v>
      </c>
      <c r="G24" s="337" t="s">
        <v>15</v>
      </c>
      <c r="H24" s="337"/>
      <c r="I24" s="4" t="s">
        <v>103</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evaluacion</v>
      </c>
    </row>
    <row r="31" spans="2:17" ht="24" customHeight="1" x14ac:dyDescent="0.25">
      <c r="B31" s="2"/>
      <c r="D31" s="347"/>
      <c r="E31" s="348"/>
      <c r="F31" s="4" t="s">
        <v>454</v>
      </c>
      <c r="G31" s="340" t="s">
        <v>455</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1617</v>
      </c>
      <c r="G33" s="340" t="s">
        <v>1618</v>
      </c>
      <c r="H33" s="341"/>
      <c r="I33" s="341"/>
      <c r="J33" s="341"/>
      <c r="K33" s="341"/>
      <c r="L33" s="341"/>
      <c r="M33" s="342"/>
      <c r="O33" s="2"/>
      <c r="Q33" s="3">
        <f>+IFERROR(IF(VLOOKUP(G33,base!$A$26:$C$40,3,FALSE)=F31,1,0),"")</f>
        <v>1</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1716</v>
      </c>
      <c r="G35" s="340" t="s">
        <v>1592</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501</v>
      </c>
      <c r="G45" s="340" t="s">
        <v>515</v>
      </c>
      <c r="H45" s="341"/>
      <c r="I45" s="341"/>
      <c r="J45" s="341"/>
      <c r="K45" s="341"/>
      <c r="L45" s="341"/>
      <c r="M45" s="342"/>
      <c r="O45" s="2"/>
      <c r="Q45" s="3" t="str">
        <f>+IFERROR(VLOOKUP(G45,base!$A$41:$C$45,3,FALSE),"")</f>
        <v>misional</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503</v>
      </c>
      <c r="G47" s="340" t="s">
        <v>995</v>
      </c>
      <c r="H47" s="341"/>
      <c r="I47" s="341"/>
      <c r="J47" s="341"/>
      <c r="K47" s="341"/>
      <c r="L47" s="341"/>
      <c r="M47" s="342"/>
      <c r="O47" s="2"/>
      <c r="Q47" s="3">
        <f>+IF(VLOOKUP(G47,base!$A$46:$C$66,3,FALSE)=F45,1,0)</f>
        <v>1</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920</v>
      </c>
      <c r="G49" s="340" t="s">
        <v>899</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496</v>
      </c>
      <c r="G51" s="337" t="s">
        <v>32</v>
      </c>
      <c r="H51" s="337"/>
      <c r="I51" s="17">
        <v>1</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37" t="s">
        <v>34</v>
      </c>
      <c r="E59" s="337"/>
      <c r="F59" s="473" t="s">
        <v>1484</v>
      </c>
      <c r="G59" s="473"/>
      <c r="H59" s="473"/>
      <c r="I59" s="473"/>
      <c r="J59" s="473"/>
      <c r="K59" s="473"/>
      <c r="L59" s="473"/>
      <c r="M59" s="473"/>
      <c r="O59" s="2"/>
    </row>
    <row r="60" spans="2:15" ht="66" customHeight="1" x14ac:dyDescent="0.25">
      <c r="B60" s="2"/>
      <c r="D60" s="359" t="s">
        <v>35</v>
      </c>
      <c r="E60" s="359"/>
      <c r="F60" s="344" t="s">
        <v>1485</v>
      </c>
      <c r="G60" s="344"/>
      <c r="H60" s="344"/>
      <c r="I60" s="344"/>
      <c r="J60" s="344"/>
      <c r="K60" s="344"/>
      <c r="L60" s="344"/>
      <c r="M60" s="344"/>
      <c r="O60" s="2"/>
    </row>
    <row r="61" spans="2:15" ht="41.25" customHeight="1" x14ac:dyDescent="0.25">
      <c r="B61" s="2"/>
      <c r="D61" s="359" t="s">
        <v>36</v>
      </c>
      <c r="E61" s="359"/>
      <c r="F61" s="474" t="s">
        <v>1486</v>
      </c>
      <c r="G61" s="475"/>
      <c r="H61" s="475"/>
      <c r="I61" s="475"/>
      <c r="J61" s="475"/>
      <c r="K61" s="475"/>
      <c r="L61" s="475"/>
      <c r="M61" s="476"/>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43" t="s">
        <v>39</v>
      </c>
      <c r="E71" s="343"/>
      <c r="F71" s="4" t="s">
        <v>55</v>
      </c>
      <c r="G71" s="3">
        <v>9</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60" t="s">
        <v>50</v>
      </c>
      <c r="E80" s="360"/>
      <c r="F80" s="16" t="s">
        <v>500</v>
      </c>
      <c r="G80" s="16" t="s">
        <v>500</v>
      </c>
      <c r="H80" s="16" t="s">
        <v>500</v>
      </c>
      <c r="I80" s="16" t="s">
        <v>500</v>
      </c>
      <c r="J80" s="16" t="s">
        <v>500</v>
      </c>
      <c r="K80" s="16" t="s">
        <v>500</v>
      </c>
      <c r="L80" s="16" t="s">
        <v>500</v>
      </c>
      <c r="M80" s="16" t="s">
        <v>500</v>
      </c>
      <c r="O80" s="2"/>
      <c r="AE80" s="3" t="s">
        <v>50</v>
      </c>
      <c r="AF80" s="3">
        <v>6</v>
      </c>
      <c r="AG80" s="3">
        <f t="shared" si="0"/>
        <v>0</v>
      </c>
      <c r="AH80" s="3">
        <f>+IF(AG80=0,0,IF(AG80=1,(SUM($AG$75:AG80)-1),1))</f>
        <v>0</v>
      </c>
      <c r="AI80" s="3">
        <f t="shared" si="1"/>
        <v>0</v>
      </c>
      <c r="AJ80" s="3">
        <f t="shared" si="2"/>
        <v>0</v>
      </c>
      <c r="AK80" s="3">
        <f t="shared" si="3"/>
        <v>0</v>
      </c>
    </row>
    <row r="81" spans="2:52"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0</v>
      </c>
      <c r="AH81" s="3">
        <f>+IF(AG81=0,0,IF(AG81=1,(SUM($AG$75:AG81)-1),1))</f>
        <v>0</v>
      </c>
      <c r="AI81" s="3">
        <f t="shared" si="1"/>
        <v>0</v>
      </c>
      <c r="AJ81" s="3">
        <f t="shared" si="2"/>
        <v>0</v>
      </c>
      <c r="AK81" s="3">
        <f t="shared" si="3"/>
        <v>0</v>
      </c>
    </row>
    <row r="82" spans="2:52" x14ac:dyDescent="0.25">
      <c r="B82" s="2"/>
      <c r="D82" s="360" t="s">
        <v>54</v>
      </c>
      <c r="E82" s="360"/>
      <c r="F82" s="16" t="s">
        <v>500</v>
      </c>
      <c r="G82" s="16" t="s">
        <v>500</v>
      </c>
      <c r="H82" s="16" t="s">
        <v>500</v>
      </c>
      <c r="I82" s="16" t="s">
        <v>500</v>
      </c>
      <c r="J82" s="16" t="s">
        <v>500</v>
      </c>
      <c r="K82" s="16" t="s">
        <v>500</v>
      </c>
      <c r="L82" s="16" t="s">
        <v>500</v>
      </c>
      <c r="M82" s="16" t="s">
        <v>500</v>
      </c>
      <c r="O82" s="2"/>
      <c r="AE82" s="3" t="s">
        <v>54</v>
      </c>
      <c r="AF82" s="3">
        <v>8</v>
      </c>
      <c r="AG82" s="3">
        <f t="shared" si="0"/>
        <v>0</v>
      </c>
      <c r="AH82" s="3">
        <f>+IF(AG82=0,0,IF(AG82=1,(SUM($AG$75:AG82)-1),1))</f>
        <v>0</v>
      </c>
      <c r="AI82" s="3">
        <f t="shared" si="1"/>
        <v>0</v>
      </c>
      <c r="AJ82" s="3">
        <f t="shared" si="2"/>
        <v>0</v>
      </c>
      <c r="AK82" s="3">
        <f t="shared" si="3"/>
        <v>0</v>
      </c>
    </row>
    <row r="83" spans="2:52" x14ac:dyDescent="0.25">
      <c r="B83" s="2"/>
      <c r="D83" s="360" t="s">
        <v>55</v>
      </c>
      <c r="E83" s="360"/>
      <c r="F83" s="16" t="s">
        <v>500</v>
      </c>
      <c r="G83" s="16">
        <v>0.19900000000000001</v>
      </c>
      <c r="H83" s="16">
        <v>0.2</v>
      </c>
      <c r="I83" s="16">
        <v>0.3</v>
      </c>
      <c r="J83" s="16">
        <v>0.30099999999999999</v>
      </c>
      <c r="K83" s="16">
        <v>0.499</v>
      </c>
      <c r="L83" s="16">
        <v>0.5</v>
      </c>
      <c r="M83" s="16" t="s">
        <v>500</v>
      </c>
      <c r="O83" s="2"/>
      <c r="P83" s="100"/>
      <c r="Q83" s="100"/>
      <c r="R83" s="100"/>
      <c r="S83" s="100"/>
      <c r="T83" s="100"/>
      <c r="U83" s="100"/>
      <c r="V83" s="100"/>
      <c r="W83" s="100"/>
      <c r="X83" s="100"/>
      <c r="Y83" s="100"/>
      <c r="Z83" s="100"/>
      <c r="AA83" s="100"/>
      <c r="AB83" s="100"/>
      <c r="AC83" s="100"/>
      <c r="AD83" s="100"/>
      <c r="AE83" s="3" t="s">
        <v>55</v>
      </c>
      <c r="AF83" s="3">
        <v>9</v>
      </c>
      <c r="AG83" s="3">
        <f t="shared" si="0"/>
        <v>1</v>
      </c>
      <c r="AH83" s="3">
        <f>+IF(AG83=0,0,IF(AG83=1,(SUM($AG$75:AG83)-1),1))</f>
        <v>0</v>
      </c>
      <c r="AI83" s="3">
        <f t="shared" si="1"/>
        <v>0</v>
      </c>
      <c r="AJ83" s="3">
        <f t="shared" si="2"/>
        <v>1</v>
      </c>
      <c r="AK83" s="3">
        <f t="shared" si="3"/>
        <v>1</v>
      </c>
      <c r="AL83" s="100"/>
      <c r="AM83" s="100"/>
      <c r="AN83" s="100"/>
      <c r="AO83" s="100"/>
      <c r="AP83" s="100"/>
      <c r="AQ83" s="100"/>
      <c r="AR83" s="100"/>
      <c r="AS83" s="100"/>
      <c r="AT83" s="100"/>
      <c r="AU83" s="100"/>
      <c r="AV83" s="100"/>
      <c r="AW83" s="30"/>
      <c r="AX83" s="30"/>
      <c r="AY83" s="30"/>
      <c r="AZ83" s="30"/>
    </row>
    <row r="84" spans="2:52" x14ac:dyDescent="0.25">
      <c r="B84" s="2"/>
      <c r="D84" s="360" t="s">
        <v>56</v>
      </c>
      <c r="E84" s="360"/>
      <c r="F84" s="16" t="s">
        <v>500</v>
      </c>
      <c r="G84" s="16"/>
      <c r="H84" s="16"/>
      <c r="I84" s="16"/>
      <c r="J84" s="16"/>
      <c r="K84" s="16"/>
      <c r="L84" s="16" t="s">
        <v>500</v>
      </c>
      <c r="M84" s="16" t="s">
        <v>500</v>
      </c>
      <c r="O84" s="2"/>
      <c r="AE84" s="3" t="s">
        <v>56</v>
      </c>
      <c r="AF84" s="3">
        <v>10</v>
      </c>
      <c r="AG84" s="3">
        <f t="shared" si="0"/>
        <v>1</v>
      </c>
      <c r="AH84" s="3">
        <f>+IF(AG84=0,0,IF(AG84=1,(SUM($AG$75:AG84)-1),1))</f>
        <v>1</v>
      </c>
      <c r="AI84" s="3">
        <f t="shared" si="1"/>
        <v>0</v>
      </c>
      <c r="AJ84" s="3">
        <f t="shared" si="2"/>
        <v>0</v>
      </c>
      <c r="AK84" s="3">
        <f t="shared" si="3"/>
        <v>0</v>
      </c>
    </row>
    <row r="85" spans="2:52" x14ac:dyDescent="0.25">
      <c r="B85" s="2"/>
      <c r="D85" s="360" t="s">
        <v>57</v>
      </c>
      <c r="E85" s="360"/>
      <c r="F85" s="16" t="s">
        <v>500</v>
      </c>
      <c r="G85" s="16"/>
      <c r="H85" s="16"/>
      <c r="I85" s="16"/>
      <c r="J85" s="16"/>
      <c r="K85" s="16"/>
      <c r="L85" s="16" t="s">
        <v>500</v>
      </c>
      <c r="M85" s="16" t="s">
        <v>500</v>
      </c>
      <c r="O85" s="2"/>
      <c r="AE85" s="3" t="s">
        <v>57</v>
      </c>
      <c r="AF85" s="3">
        <v>11</v>
      </c>
      <c r="AG85" s="3">
        <f t="shared" si="0"/>
        <v>1</v>
      </c>
      <c r="AH85" s="3">
        <f>+IF(AG85=0,0,IF(AG85=1,(SUM($AG$75:AG85)-1),1))</f>
        <v>2</v>
      </c>
      <c r="AI85" s="3">
        <f t="shared" si="1"/>
        <v>0</v>
      </c>
      <c r="AJ85" s="3">
        <f t="shared" si="2"/>
        <v>0</v>
      </c>
      <c r="AK85" s="3">
        <f t="shared" si="3"/>
        <v>0</v>
      </c>
    </row>
    <row r="86" spans="2:52" x14ac:dyDescent="0.25">
      <c r="B86" s="2"/>
      <c r="D86" s="360" t="s">
        <v>58</v>
      </c>
      <c r="E86" s="360"/>
      <c r="F86" s="16" t="s">
        <v>500</v>
      </c>
      <c r="G86" s="16">
        <v>0.69899999999999995</v>
      </c>
      <c r="H86" s="16">
        <v>0.7</v>
      </c>
      <c r="I86" s="16">
        <v>0.8</v>
      </c>
      <c r="J86" s="16">
        <v>0.80100000000000005</v>
      </c>
      <c r="K86" s="16">
        <v>0.999</v>
      </c>
      <c r="L86" s="16" t="s">
        <v>500</v>
      </c>
      <c r="M86" s="16">
        <v>1</v>
      </c>
      <c r="O86" s="2"/>
      <c r="P86" s="100"/>
      <c r="Q86" s="100"/>
      <c r="R86" s="100"/>
      <c r="S86" s="100"/>
      <c r="T86" s="100"/>
      <c r="U86" s="100"/>
      <c r="V86" s="100"/>
      <c r="W86" s="100"/>
      <c r="X86" s="100"/>
      <c r="Y86" s="100"/>
      <c r="Z86" s="100"/>
      <c r="AA86" s="100"/>
      <c r="AB86" s="100"/>
      <c r="AC86" s="100"/>
      <c r="AD86" s="100"/>
      <c r="AE86" s="3" t="s">
        <v>58</v>
      </c>
      <c r="AF86" s="65">
        <v>12</v>
      </c>
      <c r="AG86" s="3">
        <f t="shared" si="0"/>
        <v>1</v>
      </c>
      <c r="AH86" s="3">
        <f>+IF(AG86=0,0,IF(AG86=1,(SUM($AG$75:AG86)-1),1))</f>
        <v>3</v>
      </c>
      <c r="AI86" s="3">
        <f t="shared" si="1"/>
        <v>1</v>
      </c>
      <c r="AJ86" s="3">
        <f t="shared" si="2"/>
        <v>0</v>
      </c>
      <c r="AK86" s="3">
        <f t="shared" si="3"/>
        <v>1</v>
      </c>
      <c r="AL86" s="100"/>
      <c r="AM86" s="100"/>
      <c r="AN86" s="100"/>
      <c r="AO86" s="100"/>
      <c r="AP86" s="100"/>
      <c r="AQ86" s="100"/>
      <c r="AR86" s="100"/>
      <c r="AS86" s="100"/>
      <c r="AT86" s="100"/>
      <c r="AU86" s="100"/>
      <c r="AV86" s="100"/>
      <c r="AW86" s="30"/>
      <c r="AX86" s="30"/>
      <c r="AY86" s="30"/>
    </row>
    <row r="87" spans="2:52" ht="3.75" customHeight="1" x14ac:dyDescent="0.25">
      <c r="B87" s="2"/>
      <c r="O87" s="2"/>
    </row>
    <row r="88" spans="2:52" ht="66" customHeight="1" x14ac:dyDescent="0.25">
      <c r="B88" s="2"/>
      <c r="D88" s="338" t="s">
        <v>59</v>
      </c>
      <c r="E88" s="339"/>
      <c r="F88" s="340"/>
      <c r="G88" s="341"/>
      <c r="H88" s="341"/>
      <c r="I88" s="341"/>
      <c r="J88" s="341"/>
      <c r="K88" s="341"/>
      <c r="L88" s="341"/>
      <c r="M88" s="342"/>
      <c r="O88" s="2"/>
    </row>
    <row r="89" spans="2:52" ht="3.95" customHeight="1" x14ac:dyDescent="0.25">
      <c r="B89" s="2"/>
      <c r="O89" s="2"/>
    </row>
    <row r="90" spans="2:52" ht="3" customHeight="1" x14ac:dyDescent="0.25">
      <c r="B90" s="2"/>
      <c r="C90" s="2"/>
      <c r="D90" s="2"/>
      <c r="E90" s="2"/>
      <c r="F90" s="2"/>
      <c r="G90" s="2"/>
      <c r="H90" s="2"/>
      <c r="I90" s="2"/>
      <c r="J90" s="2"/>
      <c r="K90" s="2"/>
      <c r="L90" s="2"/>
      <c r="M90" s="2"/>
      <c r="N90" s="2"/>
      <c r="O90" s="2"/>
    </row>
    <row r="91" spans="2:52" ht="3" customHeight="1" x14ac:dyDescent="0.25"/>
    <row r="92" spans="2:52" ht="3" customHeight="1" x14ac:dyDescent="0.25">
      <c r="B92" s="2"/>
      <c r="C92" s="2"/>
      <c r="D92" s="2"/>
      <c r="E92" s="2"/>
      <c r="F92" s="2"/>
      <c r="G92" s="2"/>
      <c r="H92" s="2"/>
      <c r="I92" s="2"/>
      <c r="J92" s="2"/>
      <c r="K92" s="2"/>
      <c r="L92" s="2"/>
      <c r="M92" s="2"/>
      <c r="N92" s="2"/>
      <c r="O92" s="2"/>
    </row>
    <row r="93" spans="2:52" ht="3.95" customHeight="1" x14ac:dyDescent="0.25">
      <c r="B93" s="2"/>
      <c r="O93" s="2"/>
    </row>
    <row r="94" spans="2:52" x14ac:dyDescent="0.25">
      <c r="B94" s="2"/>
      <c r="D94" s="7" t="s">
        <v>60</v>
      </c>
      <c r="O94" s="2"/>
    </row>
    <row r="95" spans="2:52" ht="3.95" customHeight="1" x14ac:dyDescent="0.25">
      <c r="B95" s="2"/>
      <c r="O95" s="2"/>
    </row>
    <row r="96" spans="2:52" ht="20.100000000000001" customHeight="1" x14ac:dyDescent="0.25">
      <c r="B96" s="2"/>
      <c r="D96" s="337" t="s">
        <v>61</v>
      </c>
      <c r="E96" s="337"/>
      <c r="O96" s="2"/>
    </row>
    <row r="97" spans="2:15" ht="59.25" customHeight="1" x14ac:dyDescent="0.25">
      <c r="B97" s="2"/>
      <c r="D97" s="359" t="s">
        <v>35</v>
      </c>
      <c r="E97" s="359"/>
      <c r="F97" s="344" t="s">
        <v>1487</v>
      </c>
      <c r="G97" s="344"/>
      <c r="H97" s="344"/>
      <c r="I97" s="344"/>
      <c r="J97" s="344"/>
      <c r="K97" s="344"/>
      <c r="L97" s="344"/>
      <c r="M97" s="344"/>
      <c r="O97" s="2"/>
    </row>
    <row r="98" spans="2:15" ht="59.25" customHeight="1" x14ac:dyDescent="0.25">
      <c r="B98" s="2"/>
      <c r="D98" s="359" t="s">
        <v>36</v>
      </c>
      <c r="E98" s="359"/>
      <c r="F98" s="344" t="s">
        <v>1488</v>
      </c>
      <c r="G98" s="344"/>
      <c r="H98" s="344"/>
      <c r="I98" s="344"/>
      <c r="J98" s="344"/>
      <c r="K98" s="344"/>
      <c r="L98" s="344"/>
      <c r="M98" s="344"/>
      <c r="O98" s="2"/>
    </row>
    <row r="99" spans="2:15" ht="3.95" customHeight="1" x14ac:dyDescent="0.25">
      <c r="B99" s="2"/>
      <c r="O99" s="2"/>
    </row>
    <row r="100" spans="2:15" ht="58.5" customHeight="1" x14ac:dyDescent="0.25">
      <c r="B100" s="2"/>
      <c r="D100" s="338" t="s">
        <v>62</v>
      </c>
      <c r="E100" s="339"/>
      <c r="F100" s="333"/>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1</v>
      </c>
      <c r="K102" s="20"/>
      <c r="O102" s="2"/>
    </row>
    <row r="103" spans="2:15" ht="19.5" customHeight="1" x14ac:dyDescent="0.25">
      <c r="B103" s="2"/>
      <c r="D103" s="331"/>
      <c r="E103" s="332"/>
      <c r="F103" s="19" t="s">
        <v>66</v>
      </c>
      <c r="G103" s="4" t="s">
        <v>1457</v>
      </c>
      <c r="K103" s="21"/>
      <c r="O103" s="2"/>
    </row>
    <row r="104" spans="2:15" ht="27.75" customHeight="1" x14ac:dyDescent="0.25">
      <c r="B104" s="2"/>
      <c r="D104" s="331"/>
      <c r="E104" s="332"/>
      <c r="F104" s="19" t="s">
        <v>67</v>
      </c>
      <c r="G104" s="333" t="s">
        <v>1458</v>
      </c>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Jefe Oficina de Control Interno</v>
      </c>
      <c r="H108" s="334"/>
      <c r="I108" s="334"/>
      <c r="J108" s="334"/>
      <c r="K108" s="334"/>
      <c r="L108" s="334"/>
      <c r="M108" s="335"/>
      <c r="O108" s="2"/>
    </row>
    <row r="109" spans="2:15" ht="17.25" customHeight="1" x14ac:dyDescent="0.25">
      <c r="B109" s="2"/>
      <c r="D109" s="331"/>
      <c r="E109" s="332"/>
      <c r="F109" s="19" t="s">
        <v>2042</v>
      </c>
      <c r="G109" s="333" t="str">
        <f>+IF(M23="Si","Coordinador(a) Planeación y Sistemas","")</f>
        <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36" priority="31">
      <formula>+IF($F$43="no",1,0)</formula>
    </cfRule>
  </conditionalFormatting>
  <conditionalFormatting sqref="F32:M33">
    <cfRule type="expression" dxfId="135" priority="30">
      <formula>+IF($Q$30="NA",1,0)</formula>
    </cfRule>
  </conditionalFormatting>
  <conditionalFormatting sqref="F33:M33">
    <cfRule type="expression" dxfId="134" priority="29">
      <formula>+IF($Q$33=0,1,0)</formula>
    </cfRule>
  </conditionalFormatting>
  <conditionalFormatting sqref="F47:M47">
    <cfRule type="expression" dxfId="133" priority="28">
      <formula>+IF($Q$47=0,1,0)</formula>
    </cfRule>
  </conditionalFormatting>
  <conditionalFormatting sqref="F73:G73">
    <cfRule type="cellIs" dxfId="132" priority="14" operator="equal">
      <formula>"optimo"</formula>
    </cfRule>
    <cfRule type="cellIs" dxfId="131" priority="15" operator="equal">
      <formula>"critico"</formula>
    </cfRule>
  </conditionalFormatting>
  <conditionalFormatting sqref="H73:I73">
    <cfRule type="cellIs" dxfId="130" priority="12" operator="equal">
      <formula>"Adecuado"</formula>
    </cfRule>
    <cfRule type="cellIs" dxfId="129" priority="13" operator="equal">
      <formula>"en riesgo"</formula>
    </cfRule>
  </conditionalFormatting>
  <conditionalFormatting sqref="J73:K73">
    <cfRule type="cellIs" dxfId="128" priority="10" operator="equal">
      <formula>"Adecuado"</formula>
    </cfRule>
    <cfRule type="cellIs" dxfId="127" priority="11" operator="equal">
      <formula>"en riesgo"</formula>
    </cfRule>
  </conditionalFormatting>
  <conditionalFormatting sqref="L73:M73">
    <cfRule type="cellIs" dxfId="126" priority="8" operator="equal">
      <formula>"optimo"</formula>
    </cfRule>
    <cfRule type="cellIs" dxfId="125" priority="9" operator="equal">
      <formula>"critico"</formula>
    </cfRule>
  </conditionalFormatting>
  <conditionalFormatting sqref="F75:M86">
    <cfRule type="expression" dxfId="124" priority="7">
      <formula>+IF($AK75=0,1)</formula>
    </cfRule>
  </conditionalFormatting>
  <conditionalFormatting sqref="F103:G104">
    <cfRule type="expression" dxfId="123" priority="6">
      <formula>+IF($G$102="No",1,0)</formula>
    </cfRule>
  </conditionalFormatting>
  <conditionalFormatting sqref="F51">
    <cfRule type="expression" dxfId="122" priority="5">
      <formula>+IF($F$43="no",1,0)</formula>
    </cfRule>
  </conditionalFormatting>
  <conditionalFormatting sqref="I51">
    <cfRule type="expression" dxfId="121"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3">
    <tabColor rgb="FF0070C0"/>
  </sheetPr>
  <dimension ref="B1:AV113"/>
  <sheetViews>
    <sheetView topLeftCell="A46" zoomScale="90" zoomScaleNormal="90" workbookViewId="0">
      <selection activeCell="F108" sqref="F108:M11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472</v>
      </c>
      <c r="O10" s="2"/>
    </row>
    <row r="11" spans="2:24" ht="3.95" customHeight="1" x14ac:dyDescent="0.25">
      <c r="B11" s="2"/>
      <c r="D11" s="6"/>
      <c r="O11" s="2"/>
    </row>
    <row r="12" spans="2:24" ht="36" customHeight="1" x14ac:dyDescent="0.25">
      <c r="B12" s="2"/>
      <c r="D12" s="338" t="s">
        <v>5</v>
      </c>
      <c r="E12" s="339"/>
      <c r="F12" s="340" t="s">
        <v>1477</v>
      </c>
      <c r="G12" s="341"/>
      <c r="H12" s="341"/>
      <c r="I12" s="341"/>
      <c r="J12" s="341"/>
      <c r="K12" s="341"/>
      <c r="L12" s="341"/>
      <c r="M12" s="342"/>
      <c r="O12" s="2"/>
      <c r="W12" s="3" t="str">
        <f>+F23</f>
        <v>Trimestral</v>
      </c>
      <c r="X12" s="3" t="str">
        <f>+F71</f>
        <v>Marzo</v>
      </c>
    </row>
    <row r="13" spans="2:24" ht="3.95" customHeight="1" x14ac:dyDescent="0.25">
      <c r="B13" s="2"/>
      <c r="O13" s="2"/>
    </row>
    <row r="14" spans="2:24" ht="38.25" customHeight="1" x14ac:dyDescent="0.25">
      <c r="B14" s="2"/>
      <c r="D14" s="338" t="s">
        <v>6</v>
      </c>
      <c r="E14" s="339"/>
      <c r="F14" s="340" t="s">
        <v>1478</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8.75" customHeight="1" x14ac:dyDescent="0.25">
      <c r="B22" s="2"/>
      <c r="D22" s="337" t="s">
        <v>8</v>
      </c>
      <c r="E22" s="337"/>
      <c r="F22" s="17">
        <v>1</v>
      </c>
      <c r="G22" s="337" t="s">
        <v>9</v>
      </c>
      <c r="H22" s="337"/>
      <c r="I22" s="17">
        <v>1</v>
      </c>
      <c r="K22" s="337" t="s">
        <v>10</v>
      </c>
      <c r="L22" s="337"/>
      <c r="M22" s="9" t="s">
        <v>496</v>
      </c>
      <c r="O22" s="2"/>
    </row>
    <row r="23" spans="2:17" ht="19.5" customHeight="1" x14ac:dyDescent="0.25">
      <c r="B23" s="2"/>
      <c r="D23" s="337" t="s">
        <v>11</v>
      </c>
      <c r="E23" s="337"/>
      <c r="F23" s="4" t="s">
        <v>71</v>
      </c>
      <c r="G23" s="337" t="s">
        <v>12</v>
      </c>
      <c r="H23" s="337"/>
      <c r="I23" s="4" t="s">
        <v>497</v>
      </c>
      <c r="K23" s="337" t="s">
        <v>13</v>
      </c>
      <c r="L23" s="337"/>
      <c r="M23" s="9" t="s">
        <v>2</v>
      </c>
      <c r="O23" s="2"/>
    </row>
    <row r="24" spans="2:17" ht="20.100000000000001" customHeight="1" x14ac:dyDescent="0.25">
      <c r="B24" s="2"/>
      <c r="D24" s="337" t="s">
        <v>14</v>
      </c>
      <c r="E24" s="337"/>
      <c r="F24" s="4" t="s">
        <v>81</v>
      </c>
      <c r="G24" s="337" t="s">
        <v>15</v>
      </c>
      <c r="H24" s="337"/>
      <c r="I24" s="4" t="s">
        <v>103</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evaluacion</v>
      </c>
    </row>
    <row r="31" spans="2:17" ht="24" customHeight="1" x14ac:dyDescent="0.25">
      <c r="B31" s="2"/>
      <c r="D31" s="347"/>
      <c r="E31" s="348"/>
      <c r="F31" s="4" t="s">
        <v>454</v>
      </c>
      <c r="G31" s="340" t="s">
        <v>455</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1617</v>
      </c>
      <c r="G33" s="340" t="s">
        <v>1618</v>
      </c>
      <c r="H33" s="341"/>
      <c r="I33" s="341"/>
      <c r="J33" s="341"/>
      <c r="K33" s="341"/>
      <c r="L33" s="341"/>
      <c r="M33" s="342"/>
      <c r="O33" s="2"/>
      <c r="Q33" s="3">
        <f>+IFERROR(IF(VLOOKUP(G33,base!$A$26:$C$40,3,FALSE)=F31,1,0),"")</f>
        <v>1</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1716</v>
      </c>
      <c r="G35" s="340" t="s">
        <v>1592</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501</v>
      </c>
      <c r="G45" s="340" t="s">
        <v>515</v>
      </c>
      <c r="H45" s="341"/>
      <c r="I45" s="341"/>
      <c r="J45" s="341"/>
      <c r="K45" s="341"/>
      <c r="L45" s="341"/>
      <c r="M45" s="342"/>
      <c r="O45" s="2"/>
      <c r="Q45" s="3" t="str">
        <f>+IFERROR(VLOOKUP(G45,base!$A$41:$C$45,3,FALSE),"")</f>
        <v>misional</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503</v>
      </c>
      <c r="G47" s="340" t="s">
        <v>995</v>
      </c>
      <c r="H47" s="341"/>
      <c r="I47" s="341"/>
      <c r="J47" s="341"/>
      <c r="K47" s="341"/>
      <c r="L47" s="341"/>
      <c r="M47" s="342"/>
      <c r="O47" s="2"/>
      <c r="Q47" s="3">
        <f>+IF(VLOOKUP(G47,base!$A$46:$C$66,3,FALSE)=F45,1,0)</f>
        <v>1</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920</v>
      </c>
      <c r="G49" s="340" t="s">
        <v>899</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496</v>
      </c>
      <c r="G51" s="337" t="s">
        <v>32</v>
      </c>
      <c r="H51" s="337"/>
      <c r="I51" s="17">
        <v>1</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37" t="s">
        <v>34</v>
      </c>
      <c r="E59" s="337"/>
      <c r="F59" s="473" t="s">
        <v>1479</v>
      </c>
      <c r="G59" s="473"/>
      <c r="H59" s="473"/>
      <c r="I59" s="473"/>
      <c r="J59" s="473"/>
      <c r="K59" s="473"/>
      <c r="L59" s="473"/>
      <c r="M59" s="473"/>
      <c r="O59" s="2"/>
    </row>
    <row r="60" spans="2:15" ht="42.75" customHeight="1" x14ac:dyDescent="0.25">
      <c r="B60" s="2"/>
      <c r="D60" s="359" t="s">
        <v>35</v>
      </c>
      <c r="E60" s="359"/>
      <c r="F60" s="344" t="s">
        <v>1480</v>
      </c>
      <c r="G60" s="344"/>
      <c r="H60" s="344"/>
      <c r="I60" s="344"/>
      <c r="J60" s="344"/>
      <c r="K60" s="344"/>
      <c r="L60" s="344"/>
      <c r="M60" s="344"/>
      <c r="O60" s="2"/>
    </row>
    <row r="61" spans="2:15" ht="42.75" customHeight="1" x14ac:dyDescent="0.25">
      <c r="B61" s="2"/>
      <c r="D61" s="359" t="s">
        <v>36</v>
      </c>
      <c r="E61" s="359"/>
      <c r="F61" s="474" t="s">
        <v>1481</v>
      </c>
      <c r="G61" s="475"/>
      <c r="H61" s="475"/>
      <c r="I61" s="475"/>
      <c r="J61" s="475"/>
      <c r="K61" s="475"/>
      <c r="L61" s="475"/>
      <c r="M61" s="476"/>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43" t="s">
        <v>39</v>
      </c>
      <c r="E71" s="343"/>
      <c r="F71" s="4" t="s">
        <v>47</v>
      </c>
      <c r="G71" s="3">
        <v>3</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v>0.66900000000000004</v>
      </c>
      <c r="H77" s="16">
        <v>0.67</v>
      </c>
      <c r="I77" s="16">
        <v>0.88900000000000001</v>
      </c>
      <c r="J77" s="16">
        <v>0.89</v>
      </c>
      <c r="K77" s="16">
        <v>0.999</v>
      </c>
      <c r="L77" s="16" t="s">
        <v>500</v>
      </c>
      <c r="M77" s="16">
        <v>1</v>
      </c>
      <c r="O77" s="2"/>
      <c r="AE77" s="3" t="s">
        <v>47</v>
      </c>
      <c r="AF77" s="3">
        <v>3</v>
      </c>
      <c r="AG77" s="3">
        <f t="shared" si="0"/>
        <v>1</v>
      </c>
      <c r="AH77" s="3">
        <f>+IF(AG77=0,0,IF(AG77=1,(SUM($AG$75:AG77)-1),1))</f>
        <v>0</v>
      </c>
      <c r="AI77" s="3">
        <f t="shared" si="1"/>
        <v>0</v>
      </c>
      <c r="AJ77" s="3">
        <f t="shared" si="2"/>
        <v>1</v>
      </c>
      <c r="AK77" s="3">
        <f t="shared" si="3"/>
        <v>1</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2</v>
      </c>
      <c r="AI79" s="3">
        <f t="shared" si="1"/>
        <v>0</v>
      </c>
      <c r="AJ79" s="3">
        <f t="shared" si="2"/>
        <v>0</v>
      </c>
      <c r="AK79" s="3">
        <f t="shared" si="3"/>
        <v>0</v>
      </c>
    </row>
    <row r="80" spans="2:37" x14ac:dyDescent="0.25">
      <c r="B80" s="2"/>
      <c r="D80" s="360" t="s">
        <v>50</v>
      </c>
      <c r="E80" s="360"/>
      <c r="F80" s="16" t="s">
        <v>500</v>
      </c>
      <c r="G80" s="16">
        <v>0.59899999999999998</v>
      </c>
      <c r="H80" s="16">
        <v>0.6</v>
      </c>
      <c r="I80" s="16">
        <v>0.79900000000000004</v>
      </c>
      <c r="J80" s="16">
        <v>0.8</v>
      </c>
      <c r="K80" s="16">
        <v>0.999</v>
      </c>
      <c r="L80" s="16" t="s">
        <v>500</v>
      </c>
      <c r="M80" s="16">
        <v>1</v>
      </c>
      <c r="O80" s="2"/>
      <c r="AE80" s="3" t="s">
        <v>50</v>
      </c>
      <c r="AF80" s="3">
        <v>6</v>
      </c>
      <c r="AG80" s="3">
        <f t="shared" si="0"/>
        <v>1</v>
      </c>
      <c r="AH80" s="3">
        <f>+IF(AG80=0,0,IF(AG80=1,(SUM($AG$75:AG80)-1),1))</f>
        <v>3</v>
      </c>
      <c r="AI80" s="3">
        <f t="shared" si="1"/>
        <v>1</v>
      </c>
      <c r="AJ80" s="3">
        <f t="shared" si="2"/>
        <v>0</v>
      </c>
      <c r="AK80" s="3">
        <f t="shared" si="3"/>
        <v>1</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4</v>
      </c>
      <c r="AI81" s="3">
        <f t="shared" si="1"/>
        <v>0</v>
      </c>
      <c r="AJ81" s="3">
        <f t="shared" si="2"/>
        <v>0</v>
      </c>
      <c r="AK81" s="3">
        <f t="shared" si="3"/>
        <v>0</v>
      </c>
    </row>
    <row r="82" spans="2:37" x14ac:dyDescent="0.25">
      <c r="B82" s="2"/>
      <c r="D82" s="360" t="s">
        <v>54</v>
      </c>
      <c r="E82" s="360"/>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60" t="s">
        <v>55</v>
      </c>
      <c r="E83" s="360"/>
      <c r="F83" s="16" t="s">
        <v>500</v>
      </c>
      <c r="G83" s="16">
        <v>0.72899999999999998</v>
      </c>
      <c r="H83" s="16">
        <v>0.73</v>
      </c>
      <c r="I83" s="16">
        <v>0.90900000000000003</v>
      </c>
      <c r="J83" s="16">
        <v>0.91</v>
      </c>
      <c r="K83" s="16">
        <v>0.999</v>
      </c>
      <c r="L83" s="16" t="s">
        <v>500</v>
      </c>
      <c r="M83" s="16">
        <v>1</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60" t="s">
        <v>58</v>
      </c>
      <c r="E86" s="360"/>
      <c r="F86" s="16" t="s">
        <v>500</v>
      </c>
      <c r="G86" s="16">
        <v>0.629</v>
      </c>
      <c r="H86" s="16">
        <v>0.63</v>
      </c>
      <c r="I86" s="16">
        <v>0.749</v>
      </c>
      <c r="J86" s="16">
        <v>0.75</v>
      </c>
      <c r="K86" s="16">
        <v>0.999</v>
      </c>
      <c r="L86" s="16" t="s">
        <v>500</v>
      </c>
      <c r="M86" s="16">
        <v>1</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66" customHeight="1" x14ac:dyDescent="0.25">
      <c r="B88" s="2"/>
      <c r="D88" s="338" t="s">
        <v>59</v>
      </c>
      <c r="E88" s="339"/>
      <c r="F88" s="340" t="s">
        <v>1936</v>
      </c>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6.5" customHeight="1" x14ac:dyDescent="0.25">
      <c r="B97" s="2"/>
      <c r="D97" s="359" t="s">
        <v>35</v>
      </c>
      <c r="E97" s="359"/>
      <c r="F97" s="344" t="s">
        <v>1482</v>
      </c>
      <c r="G97" s="344"/>
      <c r="H97" s="344"/>
      <c r="I97" s="344"/>
      <c r="J97" s="344"/>
      <c r="K97" s="344"/>
      <c r="L97" s="344"/>
      <c r="M97" s="344"/>
      <c r="O97" s="2"/>
    </row>
    <row r="98" spans="2:15" ht="46.5" customHeight="1" x14ac:dyDescent="0.25">
      <c r="B98" s="2"/>
      <c r="D98" s="359" t="s">
        <v>36</v>
      </c>
      <c r="E98" s="359"/>
      <c r="F98" s="344" t="s">
        <v>1482</v>
      </c>
      <c r="G98" s="344"/>
      <c r="H98" s="344"/>
      <c r="I98" s="344"/>
      <c r="J98" s="344"/>
      <c r="K98" s="344"/>
      <c r="L98" s="344"/>
      <c r="M98" s="344"/>
      <c r="O98" s="2"/>
    </row>
    <row r="99" spans="2:15" ht="3.95" customHeight="1" x14ac:dyDescent="0.25">
      <c r="B99" s="2"/>
      <c r="O99" s="2"/>
    </row>
    <row r="100" spans="2:15" ht="58.5" customHeight="1" x14ac:dyDescent="0.25">
      <c r="B100" s="2"/>
      <c r="D100" s="338" t="s">
        <v>62</v>
      </c>
      <c r="E100" s="339"/>
      <c r="F100" s="340" t="s">
        <v>1937</v>
      </c>
      <c r="G100" s="341"/>
      <c r="H100" s="341"/>
      <c r="I100" s="341"/>
      <c r="J100" s="341"/>
      <c r="K100" s="341"/>
      <c r="L100" s="341"/>
      <c r="M100" s="342"/>
      <c r="O100" s="2"/>
    </row>
    <row r="101" spans="2:15" ht="3.95" customHeight="1" x14ac:dyDescent="0.25">
      <c r="B101" s="2"/>
      <c r="O101" s="2"/>
    </row>
    <row r="102" spans="2:15" ht="19.5" customHeight="1" x14ac:dyDescent="0.25">
      <c r="B102" s="2"/>
      <c r="D102" s="329" t="s">
        <v>64</v>
      </c>
      <c r="E102" s="330"/>
      <c r="F102" s="19" t="s">
        <v>65</v>
      </c>
      <c r="G102" s="4" t="s">
        <v>1</v>
      </c>
      <c r="K102" s="20"/>
      <c r="O102" s="2"/>
    </row>
    <row r="103" spans="2:15" ht="19.5" customHeight="1" x14ac:dyDescent="0.25">
      <c r="B103" s="2"/>
      <c r="D103" s="331"/>
      <c r="E103" s="332"/>
      <c r="F103" s="19" t="s">
        <v>66</v>
      </c>
      <c r="G103" s="4" t="s">
        <v>1459</v>
      </c>
      <c r="K103" s="21"/>
      <c r="O103" s="2"/>
    </row>
    <row r="104" spans="2:15" ht="27.75" customHeight="1" x14ac:dyDescent="0.25">
      <c r="B104" s="2"/>
      <c r="D104" s="331"/>
      <c r="E104" s="332"/>
      <c r="F104" s="19" t="s">
        <v>67</v>
      </c>
      <c r="G104" s="340" t="s">
        <v>1460</v>
      </c>
      <c r="H104" s="341"/>
      <c r="I104" s="341"/>
      <c r="J104" s="341"/>
      <c r="K104" s="341"/>
      <c r="L104" s="341"/>
      <c r="M104" s="342"/>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40" t="str">
        <f>+VLOOKUP(H10,tablero!$P$5:$R$201,3,FALSE)</f>
        <v>Jefe Oficina de Control Interno</v>
      </c>
      <c r="H108" s="341"/>
      <c r="I108" s="341"/>
      <c r="J108" s="341"/>
      <c r="K108" s="341"/>
      <c r="L108" s="341"/>
      <c r="M108" s="342"/>
      <c r="O108" s="2"/>
    </row>
    <row r="109" spans="2:15" ht="17.25" customHeight="1" x14ac:dyDescent="0.25">
      <c r="B109" s="2"/>
      <c r="D109" s="331"/>
      <c r="E109" s="332"/>
      <c r="F109" s="19" t="s">
        <v>2042</v>
      </c>
      <c r="G109" s="340" t="str">
        <f>+IF(M23="Si","Coordinador(a) Planeación y Sistemas","")</f>
        <v/>
      </c>
      <c r="H109" s="341"/>
      <c r="I109" s="341"/>
      <c r="J109" s="341"/>
      <c r="K109" s="341"/>
      <c r="L109" s="341"/>
      <c r="M109" s="342"/>
      <c r="O109" s="2"/>
    </row>
    <row r="110" spans="2:15" ht="17.25" customHeight="1" x14ac:dyDescent="0.25">
      <c r="B110" s="2"/>
      <c r="D110" s="331"/>
      <c r="E110" s="332"/>
      <c r="F110" s="19" t="s">
        <v>2043</v>
      </c>
      <c r="G110" s="340" t="str">
        <f>+IF(M24="Si","Coordinador(a) Centro Zonal","")</f>
        <v/>
      </c>
      <c r="H110" s="341"/>
      <c r="I110" s="341"/>
      <c r="J110" s="341"/>
      <c r="K110" s="341"/>
      <c r="L110" s="341"/>
      <c r="M110" s="342"/>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20" priority="33">
      <formula>+IF($F$43="no",1,0)</formula>
    </cfRule>
  </conditionalFormatting>
  <conditionalFormatting sqref="F32:M32">
    <cfRule type="expression" dxfId="119" priority="32">
      <formula>+IF($Q$30="NA",1,0)</formula>
    </cfRule>
  </conditionalFormatting>
  <conditionalFormatting sqref="F47:M47">
    <cfRule type="expression" dxfId="118" priority="30">
      <formula>+IF($Q$47=0,1,0)</formula>
    </cfRule>
  </conditionalFormatting>
  <conditionalFormatting sqref="F73:G73">
    <cfRule type="cellIs" dxfId="117" priority="16" operator="equal">
      <formula>"optimo"</formula>
    </cfRule>
    <cfRule type="cellIs" dxfId="116" priority="17" operator="equal">
      <formula>"critico"</formula>
    </cfRule>
  </conditionalFormatting>
  <conditionalFormatting sqref="H73:I73">
    <cfRule type="cellIs" dxfId="115" priority="14" operator="equal">
      <formula>"Adecuado"</formula>
    </cfRule>
    <cfRule type="cellIs" dxfId="114" priority="15" operator="equal">
      <formula>"en riesgo"</formula>
    </cfRule>
  </conditionalFormatting>
  <conditionalFormatting sqref="J73:K73">
    <cfRule type="cellIs" dxfId="113" priority="12" operator="equal">
      <formula>"Adecuado"</formula>
    </cfRule>
    <cfRule type="cellIs" dxfId="112" priority="13" operator="equal">
      <formula>"en riesgo"</formula>
    </cfRule>
  </conditionalFormatting>
  <conditionalFormatting sqref="L73:M73">
    <cfRule type="cellIs" dxfId="111" priority="10" operator="equal">
      <formula>"optimo"</formula>
    </cfRule>
    <cfRule type="cellIs" dxfId="110" priority="11" operator="equal">
      <formula>"critico"</formula>
    </cfRule>
  </conditionalFormatting>
  <conditionalFormatting sqref="F75:M86">
    <cfRule type="expression" dxfId="109" priority="9">
      <formula>+IF($AK75=0,1)</formula>
    </cfRule>
  </conditionalFormatting>
  <conditionalFormatting sqref="F103:G104">
    <cfRule type="expression" dxfId="108" priority="8">
      <formula>+IF($G$102="No",1,0)</formula>
    </cfRule>
  </conditionalFormatting>
  <conditionalFormatting sqref="F51">
    <cfRule type="expression" dxfId="107" priority="7">
      <formula>+IF($F$43="no",1,0)</formula>
    </cfRule>
  </conditionalFormatting>
  <conditionalFormatting sqref="I51">
    <cfRule type="expression" dxfId="106" priority="6">
      <formula>+IF($F$51="no",1,0)</formula>
    </cfRule>
  </conditionalFormatting>
  <conditionalFormatting sqref="F33:M33">
    <cfRule type="expression" dxfId="105" priority="5">
      <formula>+IF($Q$30="NA",1,0)</formula>
    </cfRule>
  </conditionalFormatting>
  <conditionalFormatting sqref="F33:M33">
    <cfRule type="expression" dxfId="104" priority="4">
      <formula>+IF($Q$33=0,1,0)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4">
    <tabColor rgb="FF0070C0"/>
  </sheetPr>
  <dimension ref="B1:AV113"/>
  <sheetViews>
    <sheetView topLeftCell="A67" zoomScale="90" zoomScaleNormal="90" workbookViewId="0">
      <selection activeCell="F108" sqref="F108:M11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473</v>
      </c>
      <c r="O10" s="2"/>
    </row>
    <row r="11" spans="2:24" ht="3.95" customHeight="1" x14ac:dyDescent="0.25">
      <c r="B11" s="2"/>
      <c r="D11" s="6"/>
      <c r="O11" s="2"/>
    </row>
    <row r="12" spans="2:24" ht="36" customHeight="1" x14ac:dyDescent="0.25">
      <c r="B12" s="2"/>
      <c r="D12" s="338" t="s">
        <v>5</v>
      </c>
      <c r="E12" s="339"/>
      <c r="F12" s="340" t="s">
        <v>1471</v>
      </c>
      <c r="G12" s="341"/>
      <c r="H12" s="341"/>
      <c r="I12" s="341"/>
      <c r="J12" s="341"/>
      <c r="K12" s="341"/>
      <c r="L12" s="341"/>
      <c r="M12" s="342"/>
      <c r="O12" s="2"/>
      <c r="W12" s="3" t="str">
        <f>+F23</f>
        <v>Trimestral</v>
      </c>
      <c r="X12" s="3" t="str">
        <f>+F71</f>
        <v>Marzo</v>
      </c>
    </row>
    <row r="13" spans="2:24" ht="3.95" customHeight="1" x14ac:dyDescent="0.25">
      <c r="B13" s="2"/>
      <c r="O13" s="2"/>
    </row>
    <row r="14" spans="2:24" ht="38.25" customHeight="1" x14ac:dyDescent="0.25">
      <c r="B14" s="2"/>
      <c r="D14" s="338" t="s">
        <v>6</v>
      </c>
      <c r="E14" s="339"/>
      <c r="F14" s="340" t="s">
        <v>1472</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8.75" customHeight="1" x14ac:dyDescent="0.25">
      <c r="B22" s="2"/>
      <c r="D22" s="337" t="s">
        <v>8</v>
      </c>
      <c r="E22" s="337"/>
      <c r="F22" s="17" t="s">
        <v>512</v>
      </c>
      <c r="G22" s="337" t="s">
        <v>9</v>
      </c>
      <c r="H22" s="337"/>
      <c r="I22" s="17">
        <v>1</v>
      </c>
      <c r="K22" s="337" t="s">
        <v>10</v>
      </c>
      <c r="L22" s="337"/>
      <c r="M22" s="9" t="s">
        <v>496</v>
      </c>
      <c r="O22" s="2"/>
    </row>
    <row r="23" spans="2:17" ht="19.5" customHeight="1" x14ac:dyDescent="0.25">
      <c r="B23" s="2"/>
      <c r="D23" s="337" t="s">
        <v>11</v>
      </c>
      <c r="E23" s="337"/>
      <c r="F23" s="4" t="s">
        <v>71</v>
      </c>
      <c r="G23" s="337" t="s">
        <v>12</v>
      </c>
      <c r="H23" s="337"/>
      <c r="I23" s="4" t="s">
        <v>497</v>
      </c>
      <c r="K23" s="337" t="s">
        <v>13</v>
      </c>
      <c r="L23" s="337"/>
      <c r="M23" s="9" t="s">
        <v>2</v>
      </c>
      <c r="O23" s="2"/>
    </row>
    <row r="24" spans="2:17" ht="20.100000000000001" customHeight="1" x14ac:dyDescent="0.25">
      <c r="B24" s="2"/>
      <c r="D24" s="337" t="s">
        <v>14</v>
      </c>
      <c r="E24" s="337"/>
      <c r="F24" s="4" t="s">
        <v>498</v>
      </c>
      <c r="G24" s="337" t="s">
        <v>15</v>
      </c>
      <c r="H24" s="337"/>
      <c r="I24" s="4" t="s">
        <v>103</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evaluacion</v>
      </c>
    </row>
    <row r="31" spans="2:17" ht="24" customHeight="1" x14ac:dyDescent="0.25">
      <c r="B31" s="2"/>
      <c r="D31" s="347"/>
      <c r="E31" s="348"/>
      <c r="F31" s="4" t="s">
        <v>454</v>
      </c>
      <c r="G31" s="340" t="s">
        <v>455</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1617</v>
      </c>
      <c r="G33" s="340" t="s">
        <v>1618</v>
      </c>
      <c r="H33" s="341"/>
      <c r="I33" s="341"/>
      <c r="J33" s="341"/>
      <c r="K33" s="341"/>
      <c r="L33" s="341"/>
      <c r="M33" s="342"/>
      <c r="O33" s="2"/>
      <c r="Q33" s="3">
        <f>+IFERROR(IF(VLOOKUP(G33,base!$A$26:$C$40,3,FALSE)=F31,1,0),"")</f>
        <v>1</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1716</v>
      </c>
      <c r="G35" s="340" t="s">
        <v>1592</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501</v>
      </c>
      <c r="G45" s="340" t="s">
        <v>515</v>
      </c>
      <c r="H45" s="341"/>
      <c r="I45" s="341"/>
      <c r="J45" s="341"/>
      <c r="K45" s="341"/>
      <c r="L45" s="341"/>
      <c r="M45" s="342"/>
      <c r="O45" s="2"/>
      <c r="Q45" s="3" t="str">
        <f>+IFERROR(VLOOKUP(G45,base!$A$41:$C$45,3,FALSE),"")</f>
        <v>misional</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503</v>
      </c>
      <c r="G47" s="340" t="s">
        <v>995</v>
      </c>
      <c r="H47" s="341"/>
      <c r="I47" s="341"/>
      <c r="J47" s="341"/>
      <c r="K47" s="341"/>
      <c r="L47" s="341"/>
      <c r="M47" s="342"/>
      <c r="O47" s="2"/>
      <c r="Q47" s="3">
        <f>+IF(VLOOKUP(G47,base!$A$46:$C$66,3,FALSE)=F45,1,0)</f>
        <v>1</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920</v>
      </c>
      <c r="G49" s="340" t="s">
        <v>899</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17"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46.5" customHeight="1" x14ac:dyDescent="0.25">
      <c r="B59" s="2"/>
      <c r="D59" s="337" t="s">
        <v>34</v>
      </c>
      <c r="E59" s="337"/>
      <c r="F59" s="473" t="s">
        <v>1473</v>
      </c>
      <c r="G59" s="473"/>
      <c r="H59" s="473"/>
      <c r="I59" s="473"/>
      <c r="J59" s="473"/>
      <c r="K59" s="473"/>
      <c r="L59" s="473"/>
      <c r="M59" s="473"/>
      <c r="O59" s="2"/>
    </row>
    <row r="60" spans="2:15" ht="46.5" customHeight="1" x14ac:dyDescent="0.25">
      <c r="B60" s="2"/>
      <c r="D60" s="359" t="s">
        <v>35</v>
      </c>
      <c r="E60" s="359"/>
      <c r="F60" s="344" t="s">
        <v>1474</v>
      </c>
      <c r="G60" s="344"/>
      <c r="H60" s="344"/>
      <c r="I60" s="344"/>
      <c r="J60" s="344"/>
      <c r="K60" s="344"/>
      <c r="L60" s="344"/>
      <c r="M60" s="344"/>
      <c r="O60" s="2"/>
    </row>
    <row r="61" spans="2:15" ht="46.5" customHeight="1" x14ac:dyDescent="0.25">
      <c r="B61" s="2"/>
      <c r="D61" s="359" t="s">
        <v>36</v>
      </c>
      <c r="E61" s="359"/>
      <c r="F61" s="474" t="s">
        <v>1475</v>
      </c>
      <c r="G61" s="475"/>
      <c r="H61" s="475"/>
      <c r="I61" s="475"/>
      <c r="J61" s="475"/>
      <c r="K61" s="475"/>
      <c r="L61" s="475"/>
      <c r="M61" s="476"/>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43" t="s">
        <v>39</v>
      </c>
      <c r="E71" s="343"/>
      <c r="F71" s="4" t="s">
        <v>47</v>
      </c>
      <c r="G71" s="3">
        <v>3</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v>0.26</v>
      </c>
      <c r="H77" s="16">
        <v>0.26100000000000001</v>
      </c>
      <c r="I77" s="16">
        <v>0.379</v>
      </c>
      <c r="J77" s="16">
        <v>0.38</v>
      </c>
      <c r="K77" s="16">
        <v>0.499</v>
      </c>
      <c r="L77" s="16">
        <v>0.5</v>
      </c>
      <c r="M77" s="16" t="s">
        <v>500</v>
      </c>
      <c r="O77" s="2"/>
      <c r="AE77" s="3" t="s">
        <v>47</v>
      </c>
      <c r="AF77" s="3">
        <v>3</v>
      </c>
      <c r="AG77" s="3">
        <f t="shared" si="0"/>
        <v>1</v>
      </c>
      <c r="AH77" s="3">
        <f>+IF(AG77=0,0,IF(AG77=1,(SUM($AG$75:AG77)-1),1))</f>
        <v>0</v>
      </c>
      <c r="AI77" s="3">
        <f t="shared" si="1"/>
        <v>0</v>
      </c>
      <c r="AJ77" s="3">
        <f t="shared" si="2"/>
        <v>1</v>
      </c>
      <c r="AK77" s="3">
        <f t="shared" si="3"/>
        <v>1</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2</v>
      </c>
      <c r="AI79" s="3">
        <f t="shared" si="1"/>
        <v>0</v>
      </c>
      <c r="AJ79" s="3">
        <f t="shared" si="2"/>
        <v>0</v>
      </c>
      <c r="AK79" s="3">
        <f t="shared" si="3"/>
        <v>0</v>
      </c>
    </row>
    <row r="80" spans="2:37" x14ac:dyDescent="0.25">
      <c r="B80" s="2"/>
      <c r="D80" s="360" t="s">
        <v>50</v>
      </c>
      <c r="E80" s="360"/>
      <c r="F80" s="16" t="s">
        <v>500</v>
      </c>
      <c r="G80" s="16">
        <v>0.51</v>
      </c>
      <c r="H80" s="16">
        <v>0.51100000000000001</v>
      </c>
      <c r="I80" s="16">
        <v>0.629</v>
      </c>
      <c r="J80" s="16">
        <v>0.63</v>
      </c>
      <c r="K80" s="16">
        <v>0.749</v>
      </c>
      <c r="L80" s="16">
        <v>0.75</v>
      </c>
      <c r="M80" s="16" t="s">
        <v>500</v>
      </c>
      <c r="O80" s="2"/>
      <c r="AE80" s="3" t="s">
        <v>50</v>
      </c>
      <c r="AF80" s="3">
        <v>6</v>
      </c>
      <c r="AG80" s="3">
        <f t="shared" si="0"/>
        <v>1</v>
      </c>
      <c r="AH80" s="3">
        <f>+IF(AG80=0,0,IF(AG80=1,(SUM($AG$75:AG80)-1),1))</f>
        <v>3</v>
      </c>
      <c r="AI80" s="3">
        <f t="shared" si="1"/>
        <v>1</v>
      </c>
      <c r="AJ80" s="3">
        <f t="shared" si="2"/>
        <v>0</v>
      </c>
      <c r="AK80" s="3">
        <f t="shared" si="3"/>
        <v>1</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4</v>
      </c>
      <c r="AI81" s="3">
        <f t="shared" si="1"/>
        <v>0</v>
      </c>
      <c r="AJ81" s="3">
        <f t="shared" si="2"/>
        <v>0</v>
      </c>
      <c r="AK81" s="3">
        <f t="shared" si="3"/>
        <v>0</v>
      </c>
    </row>
    <row r="82" spans="2:37" x14ac:dyDescent="0.25">
      <c r="B82" s="2"/>
      <c r="D82" s="360" t="s">
        <v>54</v>
      </c>
      <c r="E82" s="360"/>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60" t="s">
        <v>55</v>
      </c>
      <c r="E83" s="360"/>
      <c r="F83" s="16" t="s">
        <v>500</v>
      </c>
      <c r="G83" s="16">
        <v>0.76</v>
      </c>
      <c r="H83" s="16">
        <v>0.76100000000000001</v>
      </c>
      <c r="I83" s="16">
        <v>0.879</v>
      </c>
      <c r="J83" s="16">
        <v>0.88</v>
      </c>
      <c r="K83" s="16">
        <v>0.999</v>
      </c>
      <c r="L83" s="16" t="s">
        <v>500</v>
      </c>
      <c r="M83" s="16">
        <v>1</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60" t="s">
        <v>58</v>
      </c>
      <c r="E86" s="360"/>
      <c r="F86" s="16" t="s">
        <v>500</v>
      </c>
      <c r="G86" s="16">
        <v>0.01</v>
      </c>
      <c r="H86" s="16">
        <v>1.0999999999999999E-2</v>
      </c>
      <c r="I86" s="16">
        <v>0.129</v>
      </c>
      <c r="J86" s="16">
        <v>0.13</v>
      </c>
      <c r="K86" s="16">
        <v>0.249</v>
      </c>
      <c r="L86" s="16">
        <v>0.25</v>
      </c>
      <c r="M86" s="16" t="s">
        <v>500</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100.5" customHeight="1" x14ac:dyDescent="0.25">
      <c r="B88" s="2"/>
      <c r="D88" s="338" t="s">
        <v>59</v>
      </c>
      <c r="E88" s="339"/>
      <c r="F88" s="340" t="s">
        <v>1935</v>
      </c>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50.25" customHeight="1" x14ac:dyDescent="0.25">
      <c r="B97" s="2"/>
      <c r="D97" s="359" t="s">
        <v>35</v>
      </c>
      <c r="E97" s="359"/>
      <c r="F97" s="344" t="s">
        <v>1476</v>
      </c>
      <c r="G97" s="344"/>
      <c r="H97" s="344"/>
      <c r="I97" s="344"/>
      <c r="J97" s="344"/>
      <c r="K97" s="344"/>
      <c r="L97" s="344"/>
      <c r="M97" s="344"/>
      <c r="O97" s="2"/>
    </row>
    <row r="98" spans="2:15" ht="50.25" customHeight="1" x14ac:dyDescent="0.25">
      <c r="B98" s="2"/>
      <c r="D98" s="359" t="s">
        <v>36</v>
      </c>
      <c r="E98" s="359"/>
      <c r="F98" s="344" t="s">
        <v>1476</v>
      </c>
      <c r="G98" s="344"/>
      <c r="H98" s="344"/>
      <c r="I98" s="344"/>
      <c r="J98" s="344"/>
      <c r="K98" s="344"/>
      <c r="L98" s="344"/>
      <c r="M98" s="344"/>
      <c r="O98" s="2"/>
    </row>
    <row r="99" spans="2:15" ht="3.95" customHeight="1" x14ac:dyDescent="0.25">
      <c r="B99" s="2"/>
      <c r="O99" s="2"/>
    </row>
    <row r="100" spans="2:15" ht="94.5" customHeight="1" x14ac:dyDescent="0.25">
      <c r="B100" s="2"/>
      <c r="D100" s="338" t="s">
        <v>62</v>
      </c>
      <c r="E100" s="339"/>
      <c r="F100" s="340" t="s">
        <v>1461</v>
      </c>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1</v>
      </c>
      <c r="K102" s="20"/>
      <c r="O102" s="2"/>
    </row>
    <row r="103" spans="2:15" ht="19.5" customHeight="1" x14ac:dyDescent="0.25">
      <c r="B103" s="2"/>
      <c r="D103" s="331"/>
      <c r="E103" s="332"/>
      <c r="F103" s="19" t="s">
        <v>66</v>
      </c>
      <c r="G103" s="4" t="s">
        <v>1462</v>
      </c>
      <c r="K103" s="21"/>
      <c r="O103" s="2"/>
    </row>
    <row r="104" spans="2:15" ht="27.75" customHeight="1" x14ac:dyDescent="0.25">
      <c r="B104" s="2"/>
      <c r="D104" s="331"/>
      <c r="E104" s="332"/>
      <c r="F104" s="19" t="s">
        <v>67</v>
      </c>
      <c r="G104" s="333" t="s">
        <v>1463</v>
      </c>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Jefe Oficina de Control Interno</v>
      </c>
      <c r="H108" s="334"/>
      <c r="I108" s="334"/>
      <c r="J108" s="334"/>
      <c r="K108" s="334"/>
      <c r="L108" s="334"/>
      <c r="M108" s="335"/>
      <c r="O108" s="2"/>
    </row>
    <row r="109" spans="2:15" ht="17.25" customHeight="1" x14ac:dyDescent="0.25">
      <c r="B109" s="2"/>
      <c r="D109" s="331"/>
      <c r="E109" s="332"/>
      <c r="F109" s="19" t="s">
        <v>2042</v>
      </c>
      <c r="G109" s="333" t="str">
        <f>+IF(M23="Si","Coordinador(a) Planeación y Sistemas","")</f>
        <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03" priority="33">
      <formula>+IF($F$43="no",1,0)</formula>
    </cfRule>
  </conditionalFormatting>
  <conditionalFormatting sqref="F32:M32">
    <cfRule type="expression" dxfId="102" priority="32">
      <formula>+IF($Q$30="NA",1,0)</formula>
    </cfRule>
  </conditionalFormatting>
  <conditionalFormatting sqref="F47:M47">
    <cfRule type="expression" dxfId="101" priority="30">
      <formula>+IF($Q$47=0,1,0)</formula>
    </cfRule>
  </conditionalFormatting>
  <conditionalFormatting sqref="F73:G73">
    <cfRule type="cellIs" dxfId="100" priority="16" operator="equal">
      <formula>"optimo"</formula>
    </cfRule>
    <cfRule type="cellIs" dxfId="99" priority="17" operator="equal">
      <formula>"critico"</formula>
    </cfRule>
  </conditionalFormatting>
  <conditionalFormatting sqref="H73:I73">
    <cfRule type="cellIs" dxfId="98" priority="14" operator="equal">
      <formula>"Adecuado"</formula>
    </cfRule>
    <cfRule type="cellIs" dxfId="97" priority="15" operator="equal">
      <formula>"en riesgo"</formula>
    </cfRule>
  </conditionalFormatting>
  <conditionalFormatting sqref="J73:K73">
    <cfRule type="cellIs" dxfId="96" priority="12" operator="equal">
      <formula>"Adecuado"</formula>
    </cfRule>
    <cfRule type="cellIs" dxfId="95" priority="13" operator="equal">
      <formula>"en riesgo"</formula>
    </cfRule>
  </conditionalFormatting>
  <conditionalFormatting sqref="L73:M73">
    <cfRule type="cellIs" dxfId="94" priority="10" operator="equal">
      <formula>"optimo"</formula>
    </cfRule>
    <cfRule type="cellIs" dxfId="93" priority="11" operator="equal">
      <formula>"critico"</formula>
    </cfRule>
  </conditionalFormatting>
  <conditionalFormatting sqref="F75:M86">
    <cfRule type="expression" dxfId="92" priority="9">
      <formula>+IF($AK75=0,1)</formula>
    </cfRule>
  </conditionalFormatting>
  <conditionalFormatting sqref="F103:G104">
    <cfRule type="expression" dxfId="91" priority="8">
      <formula>+IF($G$102="No",1,0)</formula>
    </cfRule>
  </conditionalFormatting>
  <conditionalFormatting sqref="F51">
    <cfRule type="expression" dxfId="90" priority="7">
      <formula>+IF($F$43="no",1,0)</formula>
    </cfRule>
  </conditionalFormatting>
  <conditionalFormatting sqref="I51">
    <cfRule type="expression" dxfId="89" priority="6">
      <formula>+IF($F$51="no",1,0)</formula>
    </cfRule>
  </conditionalFormatting>
  <conditionalFormatting sqref="F33:M33">
    <cfRule type="expression" dxfId="88" priority="5">
      <formula>+IF($Q$30="NA",1,0)</formula>
    </cfRule>
  </conditionalFormatting>
  <conditionalFormatting sqref="F33:M33">
    <cfRule type="expression" dxfId="87" priority="4">
      <formula>+IF($Q$33=0,1,0)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5">
    <tabColor rgb="FF0070C0"/>
  </sheetPr>
  <dimension ref="B1:AV113"/>
  <sheetViews>
    <sheetView topLeftCell="A61" zoomScale="90" zoomScaleNormal="90" workbookViewId="0">
      <selection activeCell="F108" sqref="F108:M11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477</v>
      </c>
      <c r="O10" s="2"/>
    </row>
    <row r="11" spans="2:24" ht="3.95" customHeight="1" x14ac:dyDescent="0.25">
      <c r="B11" s="2"/>
      <c r="D11" s="6"/>
      <c r="O11" s="2"/>
    </row>
    <row r="12" spans="2:24" ht="36" customHeight="1" x14ac:dyDescent="0.25">
      <c r="B12" s="2"/>
      <c r="D12" s="338" t="s">
        <v>5</v>
      </c>
      <c r="E12" s="339"/>
      <c r="F12" s="340" t="s">
        <v>478</v>
      </c>
      <c r="G12" s="341"/>
      <c r="H12" s="341"/>
      <c r="I12" s="341"/>
      <c r="J12" s="341"/>
      <c r="K12" s="341"/>
      <c r="L12" s="341"/>
      <c r="M12" s="342"/>
      <c r="O12" s="2"/>
      <c r="W12" s="3" t="str">
        <f>+F23</f>
        <v>Trimestral</v>
      </c>
      <c r="X12" s="3" t="str">
        <f>+F71</f>
        <v>Marzo</v>
      </c>
    </row>
    <row r="13" spans="2:24" ht="3.95" customHeight="1" x14ac:dyDescent="0.25">
      <c r="B13" s="2"/>
      <c r="O13" s="2"/>
    </row>
    <row r="14" spans="2:24" ht="38.25" customHeight="1" x14ac:dyDescent="0.25">
      <c r="B14" s="2"/>
      <c r="D14" s="338" t="s">
        <v>6</v>
      </c>
      <c r="E14" s="339"/>
      <c r="F14" s="340" t="s">
        <v>1528</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8.75" customHeight="1" x14ac:dyDescent="0.25">
      <c r="B22" s="2"/>
      <c r="D22" s="337" t="s">
        <v>8</v>
      </c>
      <c r="E22" s="337"/>
      <c r="F22" s="17" t="s">
        <v>512</v>
      </c>
      <c r="G22" s="337" t="s">
        <v>9</v>
      </c>
      <c r="H22" s="337"/>
      <c r="I22" s="29">
        <v>70</v>
      </c>
      <c r="K22" s="337" t="s">
        <v>10</v>
      </c>
      <c r="L22" s="337"/>
      <c r="M22" s="9" t="s">
        <v>496</v>
      </c>
      <c r="O22" s="2"/>
    </row>
    <row r="23" spans="2:17" ht="19.5" customHeight="1" x14ac:dyDescent="0.25">
      <c r="B23" s="2"/>
      <c r="D23" s="337" t="s">
        <v>11</v>
      </c>
      <c r="E23" s="337"/>
      <c r="F23" s="4" t="s">
        <v>71</v>
      </c>
      <c r="G23" s="337" t="s">
        <v>12</v>
      </c>
      <c r="H23" s="337"/>
      <c r="I23" s="4" t="s">
        <v>514</v>
      </c>
      <c r="K23" s="337" t="s">
        <v>13</v>
      </c>
      <c r="L23" s="337"/>
      <c r="M23" s="9" t="s">
        <v>2</v>
      </c>
      <c r="O23" s="2"/>
    </row>
    <row r="24" spans="2:17" ht="20.100000000000001" customHeight="1" x14ac:dyDescent="0.25">
      <c r="B24" s="2"/>
      <c r="D24" s="337" t="s">
        <v>14</v>
      </c>
      <c r="E24" s="337"/>
      <c r="F24" s="4" t="s">
        <v>498</v>
      </c>
      <c r="G24" s="337" t="s">
        <v>15</v>
      </c>
      <c r="H24" s="337"/>
      <c r="I24" s="4" t="s">
        <v>533</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calidad</v>
      </c>
    </row>
    <row r="31" spans="2:17" ht="24" customHeight="1" x14ac:dyDescent="0.25">
      <c r="B31" s="2"/>
      <c r="D31" s="347"/>
      <c r="E31" s="348"/>
      <c r="F31" s="4" t="s">
        <v>474</v>
      </c>
      <c r="G31" s="340" t="s">
        <v>475</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1529</v>
      </c>
      <c r="G33" s="340" t="s">
        <v>1520</v>
      </c>
      <c r="H33" s="341"/>
      <c r="I33" s="341"/>
      <c r="J33" s="341"/>
      <c r="K33" s="341"/>
      <c r="L33" s="341"/>
      <c r="M33" s="342"/>
      <c r="O33" s="2"/>
      <c r="Q33" s="3">
        <f>+IFERROR(IF(VLOOKUP(G33,base!$A$26:$C$40,3,FALSE)=F31,1,0),"")</f>
        <v>1</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1716</v>
      </c>
      <c r="G35" s="340" t="s">
        <v>1592</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501</v>
      </c>
      <c r="G45" s="340" t="s">
        <v>515</v>
      </c>
      <c r="H45" s="341"/>
      <c r="I45" s="341"/>
      <c r="J45" s="341"/>
      <c r="K45" s="341"/>
      <c r="L45" s="341"/>
      <c r="M45" s="342"/>
      <c r="O45" s="2"/>
      <c r="Q45" s="3" t="str">
        <f>+IFERROR(VLOOKUP(G45,base!$A$41:$C$45,3,FALSE),"")</f>
        <v>misional</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503</v>
      </c>
      <c r="G47" s="340" t="s">
        <v>995</v>
      </c>
      <c r="H47" s="341"/>
      <c r="I47" s="341"/>
      <c r="J47" s="341"/>
      <c r="K47" s="341"/>
      <c r="L47" s="341"/>
      <c r="M47" s="342"/>
      <c r="O47" s="2"/>
      <c r="Q47" s="3">
        <f>+IF(VLOOKUP(G47,base!$A$46:$C$66,3,FALSE)=F45,1,0)</f>
        <v>1</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920</v>
      </c>
      <c r="G49" s="340" t="s">
        <v>899</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496</v>
      </c>
      <c r="G51" s="337" t="s">
        <v>32</v>
      </c>
      <c r="H51" s="337"/>
      <c r="I51" s="29">
        <v>280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37" t="s">
        <v>34</v>
      </c>
      <c r="E59" s="337"/>
      <c r="F59" s="481" t="s">
        <v>1530</v>
      </c>
      <c r="G59" s="481"/>
      <c r="H59" s="481"/>
      <c r="I59" s="481"/>
      <c r="J59" s="481"/>
      <c r="K59" s="481"/>
      <c r="L59" s="481"/>
      <c r="M59" s="481"/>
      <c r="O59" s="2"/>
    </row>
    <row r="60" spans="2:15" ht="45" customHeight="1" x14ac:dyDescent="0.25">
      <c r="B60" s="2"/>
      <c r="D60" s="359" t="s">
        <v>35</v>
      </c>
      <c r="E60" s="359"/>
      <c r="F60" s="482" t="s">
        <v>1531</v>
      </c>
      <c r="G60" s="482"/>
      <c r="H60" s="482"/>
      <c r="I60" s="482"/>
      <c r="J60" s="482"/>
      <c r="K60" s="482"/>
      <c r="L60" s="482"/>
      <c r="M60" s="482"/>
      <c r="O60" s="2"/>
    </row>
    <row r="61" spans="2:15" ht="45" customHeight="1" x14ac:dyDescent="0.25">
      <c r="B61" s="2"/>
      <c r="D61" s="359" t="s">
        <v>36</v>
      </c>
      <c r="E61" s="359"/>
      <c r="F61" s="483" t="s">
        <v>1532</v>
      </c>
      <c r="G61" s="484"/>
      <c r="H61" s="484"/>
      <c r="I61" s="484"/>
      <c r="J61" s="484"/>
      <c r="K61" s="484"/>
      <c r="L61" s="484"/>
      <c r="M61" s="48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43" t="s">
        <v>39</v>
      </c>
      <c r="E71" s="343"/>
      <c r="F71" s="4" t="s">
        <v>47</v>
      </c>
      <c r="G71" s="3">
        <v>3</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v>3.9E-2</v>
      </c>
      <c r="H77" s="16">
        <v>0.04</v>
      </c>
      <c r="I77" s="16">
        <v>6.9000000000000006E-2</v>
      </c>
      <c r="J77" s="16">
        <v>7.0000000000000007E-2</v>
      </c>
      <c r="K77" s="16">
        <v>0.13900000000000001</v>
      </c>
      <c r="L77" s="16">
        <v>0.14000000000000001</v>
      </c>
      <c r="M77" s="16" t="s">
        <v>500</v>
      </c>
      <c r="O77" s="2"/>
      <c r="AE77" s="3" t="s">
        <v>47</v>
      </c>
      <c r="AF77" s="3">
        <v>3</v>
      </c>
      <c r="AG77" s="3">
        <f t="shared" si="0"/>
        <v>1</v>
      </c>
      <c r="AH77" s="3">
        <f>+IF(AG77=0,0,IF(AG77=1,(SUM($AG$75:AG77)-1),1))</f>
        <v>0</v>
      </c>
      <c r="AI77" s="3">
        <f t="shared" si="1"/>
        <v>0</v>
      </c>
      <c r="AJ77" s="3">
        <f t="shared" si="2"/>
        <v>1</v>
      </c>
      <c r="AK77" s="3">
        <f t="shared" si="3"/>
        <v>1</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2</v>
      </c>
      <c r="AI79" s="3">
        <f t="shared" si="1"/>
        <v>0</v>
      </c>
      <c r="AJ79" s="3">
        <f t="shared" si="2"/>
        <v>0</v>
      </c>
      <c r="AK79" s="3">
        <f t="shared" si="3"/>
        <v>0</v>
      </c>
    </row>
    <row r="80" spans="2:37" x14ac:dyDescent="0.25">
      <c r="B80" s="2"/>
      <c r="D80" s="360" t="s">
        <v>50</v>
      </c>
      <c r="E80" s="360"/>
      <c r="F80" s="16" t="s">
        <v>500</v>
      </c>
      <c r="G80" s="16">
        <v>0.13900000000000001</v>
      </c>
      <c r="H80" s="16">
        <v>0.14000000000000001</v>
      </c>
      <c r="I80" s="16">
        <v>0.27900000000000003</v>
      </c>
      <c r="J80" s="16">
        <v>0.28000000000000003</v>
      </c>
      <c r="K80" s="16">
        <v>0.41899999999999998</v>
      </c>
      <c r="L80" s="16">
        <v>0.42</v>
      </c>
      <c r="M80" s="16" t="s">
        <v>500</v>
      </c>
      <c r="O80" s="2"/>
      <c r="AE80" s="3" t="s">
        <v>50</v>
      </c>
      <c r="AF80" s="3">
        <v>6</v>
      </c>
      <c r="AG80" s="3">
        <f t="shared" si="0"/>
        <v>1</v>
      </c>
      <c r="AH80" s="3">
        <f>+IF(AG80=0,0,IF(AG80=1,(SUM($AG$75:AG80)-1),1))</f>
        <v>3</v>
      </c>
      <c r="AI80" s="3">
        <f t="shared" si="1"/>
        <v>1</v>
      </c>
      <c r="AJ80" s="3">
        <f t="shared" si="2"/>
        <v>0</v>
      </c>
      <c r="AK80" s="3">
        <f t="shared" si="3"/>
        <v>1</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4</v>
      </c>
      <c r="AI81" s="3">
        <f t="shared" si="1"/>
        <v>0</v>
      </c>
      <c r="AJ81" s="3">
        <f t="shared" si="2"/>
        <v>0</v>
      </c>
      <c r="AK81" s="3">
        <f t="shared" si="3"/>
        <v>0</v>
      </c>
    </row>
    <row r="82" spans="2:37" x14ac:dyDescent="0.25">
      <c r="B82" s="2"/>
      <c r="D82" s="360" t="s">
        <v>54</v>
      </c>
      <c r="E82" s="360"/>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60" t="s">
        <v>55</v>
      </c>
      <c r="E83" s="360"/>
      <c r="F83" s="16" t="s">
        <v>500</v>
      </c>
      <c r="G83" s="16">
        <v>0.41899999999999998</v>
      </c>
      <c r="H83" s="16">
        <v>0.42</v>
      </c>
      <c r="I83" s="16">
        <v>0.56899999999999995</v>
      </c>
      <c r="J83" s="16">
        <v>0.56999999999999995</v>
      </c>
      <c r="K83" s="16">
        <v>0.70899999999999996</v>
      </c>
      <c r="L83" s="16">
        <v>0.71</v>
      </c>
      <c r="M83" s="16" t="s">
        <v>500</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60" t="s">
        <v>58</v>
      </c>
      <c r="E86" s="360"/>
      <c r="F86" s="16" t="s">
        <v>500</v>
      </c>
      <c r="G86" s="16">
        <v>0.70899999999999996</v>
      </c>
      <c r="H86" s="16">
        <v>0.71</v>
      </c>
      <c r="I86" s="16">
        <v>0.84899999999999998</v>
      </c>
      <c r="J86" s="16">
        <v>0.85</v>
      </c>
      <c r="K86" s="16">
        <v>0.999</v>
      </c>
      <c r="L86" s="16" t="s">
        <v>500</v>
      </c>
      <c r="M86" s="16">
        <v>1</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147" customHeight="1" x14ac:dyDescent="0.25">
      <c r="B88" s="2"/>
      <c r="D88" s="338" t="s">
        <v>59</v>
      </c>
      <c r="E88" s="339"/>
      <c r="F88" s="340" t="s">
        <v>1894</v>
      </c>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39.75" customHeight="1" x14ac:dyDescent="0.25">
      <c r="B97" s="2"/>
      <c r="D97" s="359" t="s">
        <v>35</v>
      </c>
      <c r="E97" s="359"/>
      <c r="F97" s="344" t="s">
        <v>1668</v>
      </c>
      <c r="G97" s="344"/>
      <c r="H97" s="344"/>
      <c r="I97" s="344"/>
      <c r="J97" s="344"/>
      <c r="K97" s="344"/>
      <c r="L97" s="344"/>
      <c r="M97" s="344"/>
      <c r="O97" s="2"/>
    </row>
    <row r="98" spans="2:15" ht="39.75" customHeight="1" x14ac:dyDescent="0.25">
      <c r="B98" s="2"/>
      <c r="D98" s="359" t="s">
        <v>36</v>
      </c>
      <c r="E98" s="359"/>
      <c r="F98" s="344" t="s">
        <v>1670</v>
      </c>
      <c r="G98" s="344"/>
      <c r="H98" s="344"/>
      <c r="I98" s="344"/>
      <c r="J98" s="344"/>
      <c r="K98" s="344"/>
      <c r="L98" s="344"/>
      <c r="M98" s="344"/>
      <c r="O98" s="2"/>
    </row>
    <row r="99" spans="2:15" ht="3.95" customHeight="1" x14ac:dyDescent="0.25">
      <c r="B99" s="2"/>
      <c r="O99" s="2"/>
    </row>
    <row r="100" spans="2:15" ht="58.5" customHeight="1" x14ac:dyDescent="0.25">
      <c r="B100" s="2"/>
      <c r="D100" s="338" t="s">
        <v>62</v>
      </c>
      <c r="E100" s="339"/>
      <c r="F100" s="340" t="s">
        <v>1521</v>
      </c>
      <c r="G100" s="341"/>
      <c r="H100" s="341"/>
      <c r="I100" s="341"/>
      <c r="J100" s="341"/>
      <c r="K100" s="341"/>
      <c r="L100" s="341"/>
      <c r="M100" s="342"/>
      <c r="O100" s="2"/>
    </row>
    <row r="101" spans="2:15" ht="3.95" customHeight="1" x14ac:dyDescent="0.25">
      <c r="B101" s="2"/>
      <c r="O101" s="2"/>
    </row>
    <row r="102" spans="2:15" ht="19.5" customHeight="1" x14ac:dyDescent="0.25">
      <c r="B102" s="2"/>
      <c r="D102" s="329" t="s">
        <v>64</v>
      </c>
      <c r="E102" s="330"/>
      <c r="F102" s="19" t="s">
        <v>65</v>
      </c>
      <c r="G102" s="4" t="s">
        <v>2</v>
      </c>
      <c r="K102" s="20"/>
      <c r="O102" s="2"/>
    </row>
    <row r="103" spans="2:15" ht="19.5" customHeight="1" x14ac:dyDescent="0.25">
      <c r="B103" s="2"/>
      <c r="D103" s="331"/>
      <c r="E103" s="332"/>
      <c r="F103" s="19" t="s">
        <v>66</v>
      </c>
      <c r="G103" s="4"/>
      <c r="K103" s="21"/>
      <c r="O103" s="2"/>
    </row>
    <row r="104" spans="2:15" ht="27.75" customHeight="1" x14ac:dyDescent="0.25">
      <c r="B104" s="2"/>
      <c r="D104" s="331"/>
      <c r="E104" s="332"/>
      <c r="F104" s="19" t="s">
        <v>67</v>
      </c>
      <c r="G104" s="333"/>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Jefe Oficina de Aseguramiento a la calidad</v>
      </c>
      <c r="H108" s="334"/>
      <c r="I108" s="334"/>
      <c r="J108" s="334"/>
      <c r="K108" s="334"/>
      <c r="L108" s="334"/>
      <c r="M108" s="335"/>
      <c r="O108" s="2"/>
    </row>
    <row r="109" spans="2:15" ht="17.25" customHeight="1" x14ac:dyDescent="0.25">
      <c r="B109" s="2"/>
      <c r="D109" s="331"/>
      <c r="E109" s="332"/>
      <c r="F109" s="19" t="s">
        <v>2042</v>
      </c>
      <c r="G109" s="333" t="str">
        <f>+IF(M23="Si","Coordinador(a) Planeación y Sistemas","")</f>
        <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86" priority="31">
      <formula>+IF($F$43="no",1,0)</formula>
    </cfRule>
  </conditionalFormatting>
  <conditionalFormatting sqref="F32:M33">
    <cfRule type="expression" dxfId="85" priority="30">
      <formula>+IF($Q$30="NA",1,0)</formula>
    </cfRule>
  </conditionalFormatting>
  <conditionalFormatting sqref="F33:M33">
    <cfRule type="expression" dxfId="84" priority="29">
      <formula>+IF($Q$33=0,1,0)</formula>
    </cfRule>
  </conditionalFormatting>
  <conditionalFormatting sqref="F47:M47">
    <cfRule type="expression" dxfId="83" priority="28">
      <formula>+IF($Q$47=0,1,0)</formula>
    </cfRule>
  </conditionalFormatting>
  <conditionalFormatting sqref="F73:G73">
    <cfRule type="cellIs" dxfId="82" priority="17" operator="equal">
      <formula>"optimo"</formula>
    </cfRule>
    <cfRule type="cellIs" dxfId="81" priority="18" operator="equal">
      <formula>"critico"</formula>
    </cfRule>
  </conditionalFormatting>
  <conditionalFormatting sqref="H73:I73">
    <cfRule type="cellIs" dxfId="80" priority="15" operator="equal">
      <formula>"Adecuado"</formula>
    </cfRule>
    <cfRule type="cellIs" dxfId="79" priority="16" operator="equal">
      <formula>"en riesgo"</formula>
    </cfRule>
  </conditionalFormatting>
  <conditionalFormatting sqref="J73:K73">
    <cfRule type="cellIs" dxfId="78" priority="13" operator="equal">
      <formula>"Adecuado"</formula>
    </cfRule>
    <cfRule type="cellIs" dxfId="77" priority="14" operator="equal">
      <formula>"en riesgo"</formula>
    </cfRule>
  </conditionalFormatting>
  <conditionalFormatting sqref="L73:M73">
    <cfRule type="cellIs" dxfId="76" priority="11" operator="equal">
      <formula>"optimo"</formula>
    </cfRule>
    <cfRule type="cellIs" dxfId="75" priority="12" operator="equal">
      <formula>"critico"</formula>
    </cfRule>
  </conditionalFormatting>
  <conditionalFormatting sqref="F75:M86">
    <cfRule type="expression" dxfId="74" priority="10">
      <formula>+IF($AK75=0,1)</formula>
    </cfRule>
  </conditionalFormatting>
  <conditionalFormatting sqref="F103:G104">
    <cfRule type="expression" dxfId="73" priority="9">
      <formula>+IF($G$102="No",1,0)</formula>
    </cfRule>
  </conditionalFormatting>
  <conditionalFormatting sqref="F51">
    <cfRule type="expression" dxfId="72" priority="8">
      <formula>+IF($F$43="no",1,0)</formula>
    </cfRule>
  </conditionalFormatting>
  <conditionalFormatting sqref="I51">
    <cfRule type="expression" dxfId="71" priority="7">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6">
    <tabColor rgb="FF0070C0"/>
  </sheetPr>
  <dimension ref="B1:AV113"/>
  <sheetViews>
    <sheetView topLeftCell="A43" zoomScale="90" zoomScaleNormal="90" workbookViewId="0">
      <selection activeCell="F108" sqref="F108:M11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479</v>
      </c>
      <c r="O10" s="2"/>
    </row>
    <row r="11" spans="2:24" ht="3.95" customHeight="1" x14ac:dyDescent="0.25">
      <c r="B11" s="2"/>
      <c r="D11" s="6"/>
      <c r="O11" s="2"/>
    </row>
    <row r="12" spans="2:24" ht="36" customHeight="1" x14ac:dyDescent="0.25">
      <c r="B12" s="2"/>
      <c r="D12" s="338" t="s">
        <v>5</v>
      </c>
      <c r="E12" s="339"/>
      <c r="F12" s="340" t="s">
        <v>1544</v>
      </c>
      <c r="G12" s="341"/>
      <c r="H12" s="341"/>
      <c r="I12" s="341"/>
      <c r="J12" s="341"/>
      <c r="K12" s="341"/>
      <c r="L12" s="341"/>
      <c r="M12" s="342"/>
      <c r="O12" s="2"/>
      <c r="W12" s="3" t="str">
        <f>+F23</f>
        <v>Trimestral</v>
      </c>
      <c r="X12" s="3" t="str">
        <f>+F71</f>
        <v>Marzo</v>
      </c>
    </row>
    <row r="13" spans="2:24" ht="3.95" customHeight="1" x14ac:dyDescent="0.25">
      <c r="B13" s="2"/>
      <c r="O13" s="2"/>
    </row>
    <row r="14" spans="2:24" ht="38.25" customHeight="1" x14ac:dyDescent="0.25">
      <c r="B14" s="2"/>
      <c r="D14" s="338" t="s">
        <v>6</v>
      </c>
      <c r="E14" s="339"/>
      <c r="F14" s="340" t="s">
        <v>1545</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8.75" customHeight="1" x14ac:dyDescent="0.25">
      <c r="B22" s="2"/>
      <c r="D22" s="337" t="s">
        <v>8</v>
      </c>
      <c r="E22" s="337"/>
      <c r="F22" s="17" t="s">
        <v>512</v>
      </c>
      <c r="G22" s="337" t="s">
        <v>9</v>
      </c>
      <c r="H22" s="337"/>
      <c r="I22" s="29">
        <v>80</v>
      </c>
      <c r="K22" s="337" t="s">
        <v>10</v>
      </c>
      <c r="L22" s="337"/>
      <c r="M22" s="9" t="s">
        <v>496</v>
      </c>
      <c r="O22" s="2"/>
    </row>
    <row r="23" spans="2:17" ht="19.5" customHeight="1" x14ac:dyDescent="0.25">
      <c r="B23" s="2"/>
      <c r="D23" s="337" t="s">
        <v>11</v>
      </c>
      <c r="E23" s="337"/>
      <c r="F23" s="4" t="s">
        <v>71</v>
      </c>
      <c r="G23" s="337" t="s">
        <v>12</v>
      </c>
      <c r="H23" s="337"/>
      <c r="I23" s="4" t="s">
        <v>514</v>
      </c>
      <c r="K23" s="337" t="s">
        <v>13</v>
      </c>
      <c r="L23" s="337"/>
      <c r="M23" s="9" t="s">
        <v>2</v>
      </c>
      <c r="O23" s="2"/>
    </row>
    <row r="24" spans="2:17" ht="20.100000000000001" customHeight="1" x14ac:dyDescent="0.25">
      <c r="B24" s="2"/>
      <c r="D24" s="337" t="s">
        <v>14</v>
      </c>
      <c r="E24" s="337"/>
      <c r="F24" s="4" t="s">
        <v>498</v>
      </c>
      <c r="G24" s="337" t="s">
        <v>15</v>
      </c>
      <c r="H24" s="337"/>
      <c r="I24" s="4" t="s">
        <v>533</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calidad</v>
      </c>
    </row>
    <row r="31" spans="2:17" ht="24" customHeight="1" x14ac:dyDescent="0.25">
      <c r="B31" s="2"/>
      <c r="D31" s="347"/>
      <c r="E31" s="348"/>
      <c r="F31" s="4" t="s">
        <v>474</v>
      </c>
      <c r="G31" s="340" t="s">
        <v>475</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1529</v>
      </c>
      <c r="G33" s="340" t="s">
        <v>1520</v>
      </c>
      <c r="H33" s="341"/>
      <c r="I33" s="341"/>
      <c r="J33" s="341"/>
      <c r="K33" s="341"/>
      <c r="L33" s="341"/>
      <c r="M33" s="342"/>
      <c r="O33" s="2"/>
      <c r="Q33" s="3">
        <f>+IFERROR(IF(VLOOKUP(G33,base!$A$26:$C$40,3,FALSE)=F31,1,0),"")</f>
        <v>1</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1716</v>
      </c>
      <c r="G35" s="340" t="s">
        <v>1592</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501</v>
      </c>
      <c r="G45" s="340" t="s">
        <v>515</v>
      </c>
      <c r="H45" s="341"/>
      <c r="I45" s="341"/>
      <c r="J45" s="341"/>
      <c r="K45" s="341"/>
      <c r="L45" s="341"/>
      <c r="M45" s="342"/>
      <c r="O45" s="2"/>
      <c r="Q45" s="3" t="str">
        <f>+IFERROR(VLOOKUP(G45,base!$A$41:$C$45,3,FALSE),"")</f>
        <v>misional</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503</v>
      </c>
      <c r="G47" s="340" t="s">
        <v>995</v>
      </c>
      <c r="H47" s="341"/>
      <c r="I47" s="341"/>
      <c r="J47" s="341"/>
      <c r="K47" s="341"/>
      <c r="L47" s="341"/>
      <c r="M47" s="342"/>
      <c r="O47" s="2"/>
      <c r="Q47" s="3">
        <f>+IF(VLOOKUP(G47,base!$A$46:$C$66,3,FALSE)=F45,1,0)</f>
        <v>1</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920</v>
      </c>
      <c r="G49" s="340" t="s">
        <v>899</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496</v>
      </c>
      <c r="G51" s="337" t="s">
        <v>32</v>
      </c>
      <c r="H51" s="337"/>
      <c r="I51" s="29">
        <v>320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37" t="s">
        <v>34</v>
      </c>
      <c r="E59" s="337"/>
      <c r="F59" s="481" t="s">
        <v>1546</v>
      </c>
      <c r="G59" s="481"/>
      <c r="H59" s="481"/>
      <c r="I59" s="481"/>
      <c r="J59" s="481"/>
      <c r="K59" s="481"/>
      <c r="L59" s="481"/>
      <c r="M59" s="481"/>
      <c r="O59" s="2"/>
    </row>
    <row r="60" spans="2:15" ht="45" customHeight="1" x14ac:dyDescent="0.25">
      <c r="B60" s="2"/>
      <c r="D60" s="359" t="s">
        <v>35</v>
      </c>
      <c r="E60" s="359"/>
      <c r="F60" s="482" t="s">
        <v>1547</v>
      </c>
      <c r="G60" s="482"/>
      <c r="H60" s="482"/>
      <c r="I60" s="482"/>
      <c r="J60" s="482"/>
      <c r="K60" s="482"/>
      <c r="L60" s="482"/>
      <c r="M60" s="482"/>
      <c r="O60" s="2"/>
    </row>
    <row r="61" spans="2:15" ht="45" customHeight="1" x14ac:dyDescent="0.25">
      <c r="B61" s="2"/>
      <c r="D61" s="359" t="s">
        <v>36</v>
      </c>
      <c r="E61" s="359"/>
      <c r="F61" s="483" t="s">
        <v>1548</v>
      </c>
      <c r="G61" s="484"/>
      <c r="H61" s="484"/>
      <c r="I61" s="484"/>
      <c r="J61" s="484"/>
      <c r="K61" s="484"/>
      <c r="L61" s="484"/>
      <c r="M61" s="48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43" t="s">
        <v>39</v>
      </c>
      <c r="E71" s="343"/>
      <c r="F71" s="4" t="s">
        <v>47</v>
      </c>
      <c r="G71" s="3">
        <v>3</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v>9.9000000000000005E-2</v>
      </c>
      <c r="H77" s="16">
        <v>0.1</v>
      </c>
      <c r="I77" s="16">
        <v>0.14899999999999999</v>
      </c>
      <c r="J77" s="16">
        <v>0.15</v>
      </c>
      <c r="K77" s="16">
        <v>0.19900000000000001</v>
      </c>
      <c r="L77" s="16">
        <v>0.2</v>
      </c>
      <c r="M77" s="16" t="s">
        <v>500</v>
      </c>
      <c r="O77" s="2"/>
      <c r="AE77" s="3" t="s">
        <v>47</v>
      </c>
      <c r="AF77" s="3">
        <v>3</v>
      </c>
      <c r="AG77" s="3">
        <f t="shared" si="0"/>
        <v>1</v>
      </c>
      <c r="AH77" s="3">
        <f>+IF(AG77=0,0,IF(AG77=1,(SUM($AG$75:AG77)-1),1))</f>
        <v>0</v>
      </c>
      <c r="AI77" s="3">
        <f t="shared" si="1"/>
        <v>0</v>
      </c>
      <c r="AJ77" s="3">
        <f t="shared" si="2"/>
        <v>1</v>
      </c>
      <c r="AK77" s="3">
        <f t="shared" si="3"/>
        <v>1</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2</v>
      </c>
      <c r="AI79" s="3">
        <f t="shared" si="1"/>
        <v>0</v>
      </c>
      <c r="AJ79" s="3">
        <f t="shared" si="2"/>
        <v>0</v>
      </c>
      <c r="AK79" s="3">
        <f t="shared" si="3"/>
        <v>0</v>
      </c>
    </row>
    <row r="80" spans="2:37" x14ac:dyDescent="0.25">
      <c r="B80" s="2"/>
      <c r="D80" s="360" t="s">
        <v>50</v>
      </c>
      <c r="E80" s="360"/>
      <c r="F80" s="16" t="s">
        <v>500</v>
      </c>
      <c r="G80" s="16">
        <v>0.19900000000000001</v>
      </c>
      <c r="H80" s="16">
        <v>0.2</v>
      </c>
      <c r="I80" s="16">
        <v>0.29899999999999999</v>
      </c>
      <c r="J80" s="16">
        <v>0.3</v>
      </c>
      <c r="K80" s="16">
        <v>0.499</v>
      </c>
      <c r="L80" s="16">
        <v>0.5</v>
      </c>
      <c r="M80" s="16" t="s">
        <v>500</v>
      </c>
      <c r="O80" s="2"/>
      <c r="AE80" s="3" t="s">
        <v>50</v>
      </c>
      <c r="AF80" s="3">
        <v>6</v>
      </c>
      <c r="AG80" s="3">
        <f t="shared" si="0"/>
        <v>1</v>
      </c>
      <c r="AH80" s="3">
        <f>+IF(AG80=0,0,IF(AG80=1,(SUM($AG$75:AG80)-1),1))</f>
        <v>3</v>
      </c>
      <c r="AI80" s="3">
        <f t="shared" si="1"/>
        <v>1</v>
      </c>
      <c r="AJ80" s="3">
        <f t="shared" si="2"/>
        <v>0</v>
      </c>
      <c r="AK80" s="3">
        <f t="shared" si="3"/>
        <v>1</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4</v>
      </c>
      <c r="AI81" s="3">
        <f t="shared" si="1"/>
        <v>0</v>
      </c>
      <c r="AJ81" s="3">
        <f t="shared" si="2"/>
        <v>0</v>
      </c>
      <c r="AK81" s="3">
        <f t="shared" si="3"/>
        <v>0</v>
      </c>
    </row>
    <row r="82" spans="2:37" x14ac:dyDescent="0.25">
      <c r="B82" s="2"/>
      <c r="D82" s="360" t="s">
        <v>54</v>
      </c>
      <c r="E82" s="360"/>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60" t="s">
        <v>55</v>
      </c>
      <c r="E83" s="360"/>
      <c r="F83" s="16" t="s">
        <v>500</v>
      </c>
      <c r="G83" s="16">
        <v>0.499</v>
      </c>
      <c r="H83" s="16">
        <v>0.5</v>
      </c>
      <c r="I83" s="16">
        <v>0.59899999999999998</v>
      </c>
      <c r="J83" s="16">
        <v>0.6</v>
      </c>
      <c r="K83" s="16">
        <v>0.749</v>
      </c>
      <c r="L83" s="16">
        <v>0.75</v>
      </c>
      <c r="M83" s="16" t="s">
        <v>500</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60" t="s">
        <v>58</v>
      </c>
      <c r="E86" s="360"/>
      <c r="F86" s="16" t="s">
        <v>500</v>
      </c>
      <c r="G86" s="16">
        <v>0.749</v>
      </c>
      <c r="H86" s="16">
        <v>0.75</v>
      </c>
      <c r="I86" s="16">
        <v>0.79900000000000004</v>
      </c>
      <c r="J86" s="16">
        <v>0.8</v>
      </c>
      <c r="K86" s="16">
        <v>0.999</v>
      </c>
      <c r="L86" s="16" t="s">
        <v>500</v>
      </c>
      <c r="M86" s="16">
        <v>1</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66" customHeight="1" x14ac:dyDescent="0.25">
      <c r="B88" s="2"/>
      <c r="D88" s="338" t="s">
        <v>59</v>
      </c>
      <c r="E88" s="339"/>
      <c r="F88" s="340"/>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36" customHeight="1" x14ac:dyDescent="0.25">
      <c r="B97" s="2"/>
      <c r="D97" s="359" t="s">
        <v>35</v>
      </c>
      <c r="E97" s="359"/>
      <c r="F97" s="344" t="s">
        <v>1549</v>
      </c>
      <c r="G97" s="344"/>
      <c r="H97" s="344"/>
      <c r="I97" s="344"/>
      <c r="J97" s="344"/>
      <c r="K97" s="344"/>
      <c r="L97" s="344"/>
      <c r="M97" s="344"/>
      <c r="O97" s="2"/>
    </row>
    <row r="98" spans="2:15" ht="36" customHeight="1" x14ac:dyDescent="0.25">
      <c r="B98" s="2"/>
      <c r="D98" s="359" t="s">
        <v>36</v>
      </c>
      <c r="E98" s="359"/>
      <c r="F98" s="344" t="s">
        <v>1669</v>
      </c>
      <c r="G98" s="344"/>
      <c r="H98" s="344"/>
      <c r="I98" s="344"/>
      <c r="J98" s="344"/>
      <c r="K98" s="344"/>
      <c r="L98" s="344"/>
      <c r="M98" s="344"/>
      <c r="O98" s="2"/>
    </row>
    <row r="99" spans="2:15" ht="3.95" customHeight="1" x14ac:dyDescent="0.25">
      <c r="B99" s="2"/>
      <c r="O99" s="2"/>
    </row>
    <row r="100" spans="2:15" ht="58.5" customHeight="1" x14ac:dyDescent="0.25">
      <c r="B100" s="2"/>
      <c r="D100" s="338" t="s">
        <v>62</v>
      </c>
      <c r="E100" s="339"/>
      <c r="F100" s="340" t="s">
        <v>1522</v>
      </c>
      <c r="G100" s="341"/>
      <c r="H100" s="341"/>
      <c r="I100" s="341"/>
      <c r="J100" s="341"/>
      <c r="K100" s="341"/>
      <c r="L100" s="341"/>
      <c r="M100" s="342"/>
      <c r="O100" s="2"/>
    </row>
    <row r="101" spans="2:15" ht="3.95" customHeight="1" x14ac:dyDescent="0.25">
      <c r="B101" s="2"/>
      <c r="O101" s="2"/>
    </row>
    <row r="102" spans="2:15" ht="19.5" customHeight="1" x14ac:dyDescent="0.25">
      <c r="B102" s="2"/>
      <c r="D102" s="329" t="s">
        <v>64</v>
      </c>
      <c r="E102" s="330"/>
      <c r="F102" s="19" t="s">
        <v>65</v>
      </c>
      <c r="G102" s="4" t="s">
        <v>2</v>
      </c>
      <c r="K102" s="20"/>
      <c r="O102" s="2"/>
    </row>
    <row r="103" spans="2:15" ht="19.5" customHeight="1" x14ac:dyDescent="0.25">
      <c r="B103" s="2"/>
      <c r="D103" s="331"/>
      <c r="E103" s="332"/>
      <c r="F103" s="19" t="s">
        <v>66</v>
      </c>
      <c r="G103" s="4"/>
      <c r="K103" s="21"/>
      <c r="O103" s="2"/>
    </row>
    <row r="104" spans="2:15" ht="27.75" customHeight="1" x14ac:dyDescent="0.25">
      <c r="B104" s="2"/>
      <c r="D104" s="331"/>
      <c r="E104" s="332"/>
      <c r="F104" s="19" t="s">
        <v>67</v>
      </c>
      <c r="G104" s="333"/>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Jefe Oficina de Aseguramiento a la calidad</v>
      </c>
      <c r="H108" s="334"/>
      <c r="I108" s="334"/>
      <c r="J108" s="334"/>
      <c r="K108" s="334"/>
      <c r="L108" s="334"/>
      <c r="M108" s="335"/>
      <c r="O108" s="2"/>
    </row>
    <row r="109" spans="2:15" ht="17.25" customHeight="1" x14ac:dyDescent="0.25">
      <c r="B109" s="2"/>
      <c r="D109" s="331"/>
      <c r="E109" s="332"/>
      <c r="F109" s="19" t="s">
        <v>2042</v>
      </c>
      <c r="G109" s="333" t="str">
        <f>+IF(M23="Si","Coordinador(a) Planeación y Sistemas","")</f>
        <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70" priority="31">
      <formula>+IF($F$43="no",1,0)</formula>
    </cfRule>
  </conditionalFormatting>
  <conditionalFormatting sqref="F32:M33">
    <cfRule type="expression" dxfId="69" priority="30">
      <formula>+IF($Q$30="NA",1,0)</formula>
    </cfRule>
  </conditionalFormatting>
  <conditionalFormatting sqref="F33:M33">
    <cfRule type="expression" dxfId="68" priority="29">
      <formula>+IF($Q$33=0,1,0)</formula>
    </cfRule>
  </conditionalFormatting>
  <conditionalFormatting sqref="F47:M47">
    <cfRule type="expression" dxfId="67" priority="28">
      <formula>+IF($Q$47=0,1,0)</formula>
    </cfRule>
  </conditionalFormatting>
  <conditionalFormatting sqref="F73:G73">
    <cfRule type="cellIs" dxfId="66" priority="17" operator="equal">
      <formula>"optimo"</formula>
    </cfRule>
    <cfRule type="cellIs" dxfId="65" priority="18" operator="equal">
      <formula>"critico"</formula>
    </cfRule>
  </conditionalFormatting>
  <conditionalFormatting sqref="H73:I73">
    <cfRule type="cellIs" dxfId="64" priority="15" operator="equal">
      <formula>"Adecuado"</formula>
    </cfRule>
    <cfRule type="cellIs" dxfId="63" priority="16" operator="equal">
      <formula>"en riesgo"</formula>
    </cfRule>
  </conditionalFormatting>
  <conditionalFormatting sqref="J73:K73">
    <cfRule type="cellIs" dxfId="62" priority="13" operator="equal">
      <formula>"Adecuado"</formula>
    </cfRule>
    <cfRule type="cellIs" dxfId="61" priority="14" operator="equal">
      <formula>"en riesgo"</formula>
    </cfRule>
  </conditionalFormatting>
  <conditionalFormatting sqref="L73:M73">
    <cfRule type="cellIs" dxfId="60" priority="11" operator="equal">
      <formula>"optimo"</formula>
    </cfRule>
    <cfRule type="cellIs" dxfId="59" priority="12" operator="equal">
      <formula>"critico"</formula>
    </cfRule>
  </conditionalFormatting>
  <conditionalFormatting sqref="F75:M86">
    <cfRule type="expression" dxfId="58" priority="10">
      <formula>+IF($AK75=0,1)</formula>
    </cfRule>
  </conditionalFormatting>
  <conditionalFormatting sqref="F103:G104">
    <cfRule type="expression" dxfId="57" priority="9">
      <formula>+IF($G$102="No",1,0)</formula>
    </cfRule>
  </conditionalFormatting>
  <conditionalFormatting sqref="F51">
    <cfRule type="expression" dxfId="56" priority="8">
      <formula>+IF($F$43="no",1,0)</formula>
    </cfRule>
  </conditionalFormatting>
  <conditionalFormatting sqref="I51">
    <cfRule type="expression" dxfId="55" priority="7">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7">
    <tabColor rgb="FF0070C0"/>
  </sheetPr>
  <dimension ref="B1:AV113"/>
  <sheetViews>
    <sheetView topLeftCell="A49" zoomScale="90" zoomScaleNormal="90" workbookViewId="0">
      <selection activeCell="F108" sqref="F108:M11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480</v>
      </c>
      <c r="O10" s="2"/>
    </row>
    <row r="11" spans="2:24" ht="3.95" customHeight="1" x14ac:dyDescent="0.25">
      <c r="B11" s="2"/>
      <c r="D11" s="6"/>
      <c r="O11" s="2"/>
    </row>
    <row r="12" spans="2:24" ht="36" customHeight="1" x14ac:dyDescent="0.25">
      <c r="B12" s="2"/>
      <c r="D12" s="338" t="s">
        <v>5</v>
      </c>
      <c r="E12" s="339"/>
      <c r="F12" s="340" t="s">
        <v>1538</v>
      </c>
      <c r="G12" s="341"/>
      <c r="H12" s="341"/>
      <c r="I12" s="341"/>
      <c r="J12" s="341"/>
      <c r="K12" s="341"/>
      <c r="L12" s="341"/>
      <c r="M12" s="342"/>
      <c r="O12" s="2"/>
      <c r="W12" s="3" t="str">
        <f>+F23</f>
        <v>Trimestral</v>
      </c>
      <c r="X12" s="3" t="str">
        <f>+F71</f>
        <v>Marzo</v>
      </c>
    </row>
    <row r="13" spans="2:24" ht="3.95" customHeight="1" x14ac:dyDescent="0.25">
      <c r="B13" s="2"/>
      <c r="O13" s="2"/>
    </row>
    <row r="14" spans="2:24" ht="38.25" customHeight="1" x14ac:dyDescent="0.25">
      <c r="B14" s="2"/>
      <c r="D14" s="338" t="s">
        <v>6</v>
      </c>
      <c r="E14" s="339"/>
      <c r="F14" s="340" t="s">
        <v>1539</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8.75" customHeight="1" x14ac:dyDescent="0.25">
      <c r="B22" s="2"/>
      <c r="D22" s="337" t="s">
        <v>8</v>
      </c>
      <c r="E22" s="337"/>
      <c r="F22" s="17" t="s">
        <v>512</v>
      </c>
      <c r="G22" s="337" t="s">
        <v>9</v>
      </c>
      <c r="H22" s="337"/>
      <c r="I22" s="17">
        <v>1</v>
      </c>
      <c r="K22" s="337" t="s">
        <v>10</v>
      </c>
      <c r="L22" s="337"/>
      <c r="M22" s="9" t="s">
        <v>496</v>
      </c>
      <c r="O22" s="2"/>
    </row>
    <row r="23" spans="2:17" ht="19.5" customHeight="1" x14ac:dyDescent="0.25">
      <c r="B23" s="2"/>
      <c r="D23" s="337" t="s">
        <v>11</v>
      </c>
      <c r="E23" s="337"/>
      <c r="F23" s="4" t="s">
        <v>71</v>
      </c>
      <c r="G23" s="337" t="s">
        <v>12</v>
      </c>
      <c r="H23" s="337"/>
      <c r="I23" s="4" t="s">
        <v>497</v>
      </c>
      <c r="K23" s="337" t="s">
        <v>13</v>
      </c>
      <c r="L23" s="337"/>
      <c r="M23" s="9" t="s">
        <v>2</v>
      </c>
      <c r="O23" s="2"/>
    </row>
    <row r="24" spans="2:17" ht="20.100000000000001" customHeight="1" x14ac:dyDescent="0.25">
      <c r="B24" s="2"/>
      <c r="D24" s="337" t="s">
        <v>14</v>
      </c>
      <c r="E24" s="337"/>
      <c r="F24" s="4" t="s">
        <v>498</v>
      </c>
      <c r="G24" s="337" t="s">
        <v>15</v>
      </c>
      <c r="H24" s="337"/>
      <c r="I24" s="4" t="s">
        <v>103</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calidad</v>
      </c>
    </row>
    <row r="31" spans="2:17" ht="24" customHeight="1" x14ac:dyDescent="0.25">
      <c r="B31" s="2"/>
      <c r="D31" s="347"/>
      <c r="E31" s="348"/>
      <c r="F31" s="4" t="s">
        <v>474</v>
      </c>
      <c r="G31" s="340" t="s">
        <v>475</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1529</v>
      </c>
      <c r="G33" s="340" t="s">
        <v>1520</v>
      </c>
      <c r="H33" s="341"/>
      <c r="I33" s="341"/>
      <c r="J33" s="341"/>
      <c r="K33" s="341"/>
      <c r="L33" s="341"/>
      <c r="M33" s="342"/>
      <c r="O33" s="2"/>
      <c r="Q33" s="3">
        <f>+IFERROR(IF(VLOOKUP(G33,base!$A$26:$C$40,3,FALSE)=F31,1,0),"")</f>
        <v>1</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1716</v>
      </c>
      <c r="G35" s="340" t="s">
        <v>1592</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501</v>
      </c>
      <c r="G45" s="340" t="s">
        <v>515</v>
      </c>
      <c r="H45" s="341"/>
      <c r="I45" s="341"/>
      <c r="J45" s="341"/>
      <c r="K45" s="341"/>
      <c r="L45" s="341"/>
      <c r="M45" s="342"/>
      <c r="O45" s="2"/>
      <c r="Q45" s="3" t="str">
        <f>+IFERROR(VLOOKUP(G45,base!$A$41:$C$45,3,FALSE),"")</f>
        <v>misional</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503</v>
      </c>
      <c r="G47" s="340" t="s">
        <v>995</v>
      </c>
      <c r="H47" s="341"/>
      <c r="I47" s="341"/>
      <c r="J47" s="341"/>
      <c r="K47" s="341"/>
      <c r="L47" s="341"/>
      <c r="M47" s="342"/>
      <c r="O47" s="2"/>
      <c r="Q47" s="3">
        <f>+IF(VLOOKUP(G47,base!$A$46:$C$66,3,FALSE)=F45,1,0)</f>
        <v>1</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920</v>
      </c>
      <c r="G49" s="340" t="s">
        <v>899</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29"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37" t="s">
        <v>34</v>
      </c>
      <c r="E59" s="337"/>
      <c r="F59" s="481" t="s">
        <v>1540</v>
      </c>
      <c r="G59" s="481"/>
      <c r="H59" s="481"/>
      <c r="I59" s="481"/>
      <c r="J59" s="481"/>
      <c r="K59" s="481"/>
      <c r="L59" s="481"/>
      <c r="M59" s="481"/>
      <c r="O59" s="2"/>
    </row>
    <row r="60" spans="2:15" ht="45" customHeight="1" x14ac:dyDescent="0.25">
      <c r="B60" s="2"/>
      <c r="D60" s="359" t="s">
        <v>35</v>
      </c>
      <c r="E60" s="359"/>
      <c r="F60" s="482" t="s">
        <v>1541</v>
      </c>
      <c r="G60" s="482"/>
      <c r="H60" s="482"/>
      <c r="I60" s="482"/>
      <c r="J60" s="482"/>
      <c r="K60" s="482"/>
      <c r="L60" s="482"/>
      <c r="M60" s="482"/>
      <c r="O60" s="2"/>
    </row>
    <row r="61" spans="2:15" ht="45" customHeight="1" x14ac:dyDescent="0.25">
      <c r="B61" s="2"/>
      <c r="D61" s="359" t="s">
        <v>36</v>
      </c>
      <c r="E61" s="359"/>
      <c r="F61" s="483" t="s">
        <v>1542</v>
      </c>
      <c r="G61" s="484"/>
      <c r="H61" s="484"/>
      <c r="I61" s="484"/>
      <c r="J61" s="484"/>
      <c r="K61" s="484"/>
      <c r="L61" s="484"/>
      <c r="M61" s="48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43" t="s">
        <v>39</v>
      </c>
      <c r="E71" s="343"/>
      <c r="F71" s="4" t="s">
        <v>47</v>
      </c>
      <c r="G71" s="3">
        <v>3</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v>9.9000000000000005E-2</v>
      </c>
      <c r="H77" s="16">
        <v>0.1</v>
      </c>
      <c r="I77" s="16">
        <v>0.14899999999999999</v>
      </c>
      <c r="J77" s="16">
        <v>0.15</v>
      </c>
      <c r="K77" s="16">
        <v>0.249</v>
      </c>
      <c r="L77" s="16">
        <v>0.25</v>
      </c>
      <c r="M77" s="16" t="s">
        <v>500</v>
      </c>
      <c r="O77" s="2"/>
      <c r="AE77" s="3" t="s">
        <v>47</v>
      </c>
      <c r="AF77" s="3">
        <v>3</v>
      </c>
      <c r="AG77" s="3">
        <f t="shared" si="0"/>
        <v>1</v>
      </c>
      <c r="AH77" s="3">
        <f>+IF(AG77=0,0,IF(AG77=1,(SUM($AG$75:AG77)-1),1))</f>
        <v>0</v>
      </c>
      <c r="AI77" s="3">
        <f t="shared" si="1"/>
        <v>0</v>
      </c>
      <c r="AJ77" s="3">
        <f t="shared" si="2"/>
        <v>1</v>
      </c>
      <c r="AK77" s="3">
        <f t="shared" si="3"/>
        <v>1</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2</v>
      </c>
      <c r="AI79" s="3">
        <f t="shared" si="1"/>
        <v>0</v>
      </c>
      <c r="AJ79" s="3">
        <f t="shared" si="2"/>
        <v>0</v>
      </c>
      <c r="AK79" s="3">
        <f t="shared" si="3"/>
        <v>0</v>
      </c>
    </row>
    <row r="80" spans="2:37" x14ac:dyDescent="0.25">
      <c r="B80" s="2"/>
      <c r="D80" s="360" t="s">
        <v>50</v>
      </c>
      <c r="E80" s="360"/>
      <c r="F80" s="16" t="s">
        <v>500</v>
      </c>
      <c r="G80" s="16">
        <v>9.9000000000000005E-2</v>
      </c>
      <c r="H80" s="16">
        <v>0.1</v>
      </c>
      <c r="I80" s="16">
        <v>0.29899999999999999</v>
      </c>
      <c r="J80" s="16">
        <v>0.3</v>
      </c>
      <c r="K80" s="16">
        <v>0.499</v>
      </c>
      <c r="L80" s="16">
        <v>0.5</v>
      </c>
      <c r="M80" s="16" t="s">
        <v>500</v>
      </c>
      <c r="O80" s="2"/>
      <c r="AE80" s="3" t="s">
        <v>50</v>
      </c>
      <c r="AF80" s="3">
        <v>6</v>
      </c>
      <c r="AG80" s="3">
        <f t="shared" si="0"/>
        <v>1</v>
      </c>
      <c r="AH80" s="3">
        <f>+IF(AG80=0,0,IF(AG80=1,(SUM($AG$75:AG80)-1),1))</f>
        <v>3</v>
      </c>
      <c r="AI80" s="3">
        <f t="shared" si="1"/>
        <v>1</v>
      </c>
      <c r="AJ80" s="3">
        <f t="shared" si="2"/>
        <v>0</v>
      </c>
      <c r="AK80" s="3">
        <f t="shared" si="3"/>
        <v>1</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4</v>
      </c>
      <c r="AI81" s="3">
        <f t="shared" si="1"/>
        <v>0</v>
      </c>
      <c r="AJ81" s="3">
        <f t="shared" si="2"/>
        <v>0</v>
      </c>
      <c r="AK81" s="3">
        <f t="shared" si="3"/>
        <v>0</v>
      </c>
    </row>
    <row r="82" spans="2:37" x14ac:dyDescent="0.25">
      <c r="B82" s="2"/>
      <c r="D82" s="360" t="s">
        <v>54</v>
      </c>
      <c r="E82" s="360"/>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60" t="s">
        <v>55</v>
      </c>
      <c r="E83" s="360"/>
      <c r="F83" s="16" t="s">
        <v>500</v>
      </c>
      <c r="G83" s="16">
        <v>0.499</v>
      </c>
      <c r="H83" s="16">
        <v>0.5</v>
      </c>
      <c r="I83" s="16">
        <v>0.59899999999999998</v>
      </c>
      <c r="J83" s="16">
        <v>0.6</v>
      </c>
      <c r="K83" s="16">
        <v>0.749</v>
      </c>
      <c r="L83" s="16">
        <v>0.75</v>
      </c>
      <c r="M83" s="16" t="s">
        <v>500</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60" t="s">
        <v>58</v>
      </c>
      <c r="E86" s="360"/>
      <c r="F86" s="16" t="s">
        <v>500</v>
      </c>
      <c r="G86" s="16">
        <v>0.749</v>
      </c>
      <c r="H86" s="16">
        <v>0.75</v>
      </c>
      <c r="I86" s="16">
        <v>0.79900000000000004</v>
      </c>
      <c r="J86" s="16">
        <v>0.8</v>
      </c>
      <c r="K86" s="16">
        <v>0.999</v>
      </c>
      <c r="L86" s="16" t="s">
        <v>500</v>
      </c>
      <c r="M86" s="16">
        <v>1</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66" customHeight="1" x14ac:dyDescent="0.25">
      <c r="B88" s="2"/>
      <c r="D88" s="338" t="s">
        <v>59</v>
      </c>
      <c r="E88" s="339"/>
      <c r="F88" s="340" t="s">
        <v>1523</v>
      </c>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54.75" customHeight="1" x14ac:dyDescent="0.25">
      <c r="B97" s="2"/>
      <c r="D97" s="359" t="s">
        <v>35</v>
      </c>
      <c r="E97" s="359"/>
      <c r="F97" s="344" t="s">
        <v>1543</v>
      </c>
      <c r="G97" s="344"/>
      <c r="H97" s="344"/>
      <c r="I97" s="344"/>
      <c r="J97" s="344"/>
      <c r="K97" s="344"/>
      <c r="L97" s="344"/>
      <c r="M97" s="344"/>
      <c r="O97" s="2"/>
    </row>
    <row r="98" spans="2:15" ht="54.75" customHeight="1" x14ac:dyDescent="0.25">
      <c r="B98" s="2"/>
      <c r="D98" s="359" t="s">
        <v>36</v>
      </c>
      <c r="E98" s="359"/>
      <c r="F98" s="344" t="s">
        <v>1895</v>
      </c>
      <c r="G98" s="344"/>
      <c r="H98" s="344"/>
      <c r="I98" s="344"/>
      <c r="J98" s="344"/>
      <c r="K98" s="344"/>
      <c r="L98" s="344"/>
      <c r="M98" s="344"/>
      <c r="O98" s="2"/>
    </row>
    <row r="99" spans="2:15" ht="3.95" customHeight="1" x14ac:dyDescent="0.25">
      <c r="B99" s="2"/>
      <c r="O99" s="2"/>
    </row>
    <row r="100" spans="2:15" ht="87" customHeight="1" x14ac:dyDescent="0.25">
      <c r="B100" s="2"/>
      <c r="D100" s="338" t="s">
        <v>62</v>
      </c>
      <c r="E100" s="339"/>
      <c r="F100" s="340" t="s">
        <v>1524</v>
      </c>
      <c r="G100" s="341"/>
      <c r="H100" s="341"/>
      <c r="I100" s="341"/>
      <c r="J100" s="341"/>
      <c r="K100" s="341"/>
      <c r="L100" s="341"/>
      <c r="M100" s="342"/>
      <c r="O100" s="2"/>
    </row>
    <row r="101" spans="2:15" ht="3.95" customHeight="1" x14ac:dyDescent="0.25">
      <c r="B101" s="2"/>
      <c r="O101" s="2"/>
    </row>
    <row r="102" spans="2:15" ht="19.5" customHeight="1" x14ac:dyDescent="0.25">
      <c r="B102" s="2"/>
      <c r="D102" s="329" t="s">
        <v>64</v>
      </c>
      <c r="E102" s="330"/>
      <c r="F102" s="19" t="s">
        <v>65</v>
      </c>
      <c r="G102" s="4" t="s">
        <v>2</v>
      </c>
      <c r="K102" s="20"/>
      <c r="O102" s="2"/>
    </row>
    <row r="103" spans="2:15" ht="19.5" customHeight="1" x14ac:dyDescent="0.25">
      <c r="B103" s="2"/>
      <c r="D103" s="331"/>
      <c r="E103" s="332"/>
      <c r="F103" s="19" t="s">
        <v>66</v>
      </c>
      <c r="G103" s="4"/>
      <c r="K103" s="21"/>
      <c r="O103" s="2"/>
    </row>
    <row r="104" spans="2:15" ht="27.75" customHeight="1" x14ac:dyDescent="0.25">
      <c r="B104" s="2"/>
      <c r="D104" s="331"/>
      <c r="E104" s="332"/>
      <c r="F104" s="19" t="s">
        <v>67</v>
      </c>
      <c r="G104" s="333"/>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Jefe Oficina de Aseguramiento a la calidad</v>
      </c>
      <c r="H108" s="334"/>
      <c r="I108" s="334"/>
      <c r="J108" s="334"/>
      <c r="K108" s="334"/>
      <c r="L108" s="334"/>
      <c r="M108" s="335"/>
      <c r="O108" s="2"/>
    </row>
    <row r="109" spans="2:15" ht="17.25" customHeight="1" x14ac:dyDescent="0.25">
      <c r="B109" s="2"/>
      <c r="D109" s="331"/>
      <c r="E109" s="332"/>
      <c r="F109" s="19" t="s">
        <v>2042</v>
      </c>
      <c r="G109" s="333" t="str">
        <f>+IF(M23="Si","Coordinador(a) Planeación y Sistemas","")</f>
        <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54" priority="31">
      <formula>+IF($F$43="no",1,0)</formula>
    </cfRule>
  </conditionalFormatting>
  <conditionalFormatting sqref="F32:M33">
    <cfRule type="expression" dxfId="53" priority="30">
      <formula>+IF($Q$30="NA",1,0)</formula>
    </cfRule>
  </conditionalFormatting>
  <conditionalFormatting sqref="F33:M33">
    <cfRule type="expression" dxfId="52" priority="29">
      <formula>+IF($Q$33=0,1,0)</formula>
    </cfRule>
  </conditionalFormatting>
  <conditionalFormatting sqref="F47:M47">
    <cfRule type="expression" dxfId="51" priority="28">
      <formula>+IF($Q$47=0,1,0)</formula>
    </cfRule>
  </conditionalFormatting>
  <conditionalFormatting sqref="F73:G73">
    <cfRule type="cellIs" dxfId="50" priority="14" operator="equal">
      <formula>"optimo"</formula>
    </cfRule>
    <cfRule type="cellIs" dxfId="49" priority="15" operator="equal">
      <formula>"critico"</formula>
    </cfRule>
  </conditionalFormatting>
  <conditionalFormatting sqref="H73:I73">
    <cfRule type="cellIs" dxfId="48" priority="12" operator="equal">
      <formula>"Adecuado"</formula>
    </cfRule>
    <cfRule type="cellIs" dxfId="47" priority="13" operator="equal">
      <formula>"en riesgo"</formula>
    </cfRule>
  </conditionalFormatting>
  <conditionalFormatting sqref="J73:K73">
    <cfRule type="cellIs" dxfId="46" priority="10" operator="equal">
      <formula>"Adecuado"</formula>
    </cfRule>
    <cfRule type="cellIs" dxfId="45" priority="11" operator="equal">
      <formula>"en riesgo"</formula>
    </cfRule>
  </conditionalFormatting>
  <conditionalFormatting sqref="L73:M73">
    <cfRule type="cellIs" dxfId="44" priority="8" operator="equal">
      <formula>"optimo"</formula>
    </cfRule>
    <cfRule type="cellIs" dxfId="43" priority="9" operator="equal">
      <formula>"critico"</formula>
    </cfRule>
  </conditionalFormatting>
  <conditionalFormatting sqref="F75:M86">
    <cfRule type="expression" dxfId="42" priority="7">
      <formula>+IF($AK75=0,1)</formula>
    </cfRule>
  </conditionalFormatting>
  <conditionalFormatting sqref="F103:G104">
    <cfRule type="expression" dxfId="41" priority="6">
      <formula>+IF($G$102="No",1,0)</formula>
    </cfRule>
  </conditionalFormatting>
  <conditionalFormatting sqref="F51">
    <cfRule type="expression" dxfId="40" priority="5">
      <formula>+IF($F$43="no",1,0)</formula>
    </cfRule>
  </conditionalFormatting>
  <conditionalFormatting sqref="I51">
    <cfRule type="expression" dxfId="39"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2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6">
    <tabColor rgb="FF0070C0"/>
  </sheetPr>
  <dimension ref="B1:AV113"/>
  <sheetViews>
    <sheetView topLeftCell="A40" zoomScaleNormal="100" workbookViewId="0">
      <selection activeCell="Q88" sqref="Q88"/>
    </sheetView>
  </sheetViews>
  <sheetFormatPr baseColWidth="10" defaultRowHeight="12.75" x14ac:dyDescent="0.25"/>
  <cols>
    <col min="1" max="1" width="1.140625" style="104" customWidth="1"/>
    <col min="2" max="2" width="0.5703125" style="104" customWidth="1"/>
    <col min="3" max="3" width="1.42578125" style="104" customWidth="1"/>
    <col min="4" max="4" width="11" style="104" customWidth="1"/>
    <col min="5" max="13" width="11.42578125" style="104" customWidth="1"/>
    <col min="14" max="14" width="1.42578125" style="104" customWidth="1"/>
    <col min="15" max="15" width="0.5703125" style="104" customWidth="1"/>
    <col min="16" max="16" width="11.42578125" style="105"/>
    <col min="17" max="18" width="11.42578125" style="105" customWidth="1"/>
    <col min="19" max="19" width="11.42578125" style="105"/>
    <col min="20" max="20" width="2.7109375" style="105" customWidth="1"/>
    <col min="21" max="21" width="11.42578125" style="105"/>
    <col min="22" max="22" width="2.7109375" style="105" customWidth="1"/>
    <col min="23" max="23" width="11.42578125" style="105"/>
    <col min="24" max="24" width="2.7109375" style="105" customWidth="1"/>
    <col min="25" max="25" width="11.42578125" style="105"/>
    <col min="26" max="26" width="2.7109375" style="105" customWidth="1"/>
    <col min="27" max="27" width="11.42578125" style="105"/>
    <col min="28" max="28" width="2.7109375" style="105" customWidth="1"/>
    <col min="29" max="31" width="11.42578125" style="105"/>
    <col min="32" max="37" width="3.140625" style="105" customWidth="1"/>
    <col min="38" max="45" width="7.42578125" style="105" customWidth="1"/>
    <col min="46" max="48" width="11.42578125" style="105"/>
    <col min="49" max="16384" width="11.42578125" style="104"/>
  </cols>
  <sheetData>
    <row r="1" spans="2:19" ht="3.95" customHeight="1" x14ac:dyDescent="0.25"/>
    <row r="2" spans="2:19" ht="3.95" customHeight="1" x14ac:dyDescent="0.25">
      <c r="B2" s="106"/>
      <c r="C2" s="106"/>
      <c r="D2" s="106"/>
      <c r="E2" s="106"/>
      <c r="F2" s="106"/>
      <c r="G2" s="106"/>
      <c r="H2" s="106"/>
      <c r="I2" s="106"/>
      <c r="J2" s="106"/>
      <c r="K2" s="106"/>
      <c r="L2" s="106"/>
      <c r="M2" s="106"/>
      <c r="N2" s="106"/>
      <c r="O2" s="106"/>
    </row>
    <row r="3" spans="2:19" ht="20.25" customHeight="1" x14ac:dyDescent="0.25">
      <c r="B3" s="106"/>
      <c r="C3" s="411" t="s">
        <v>0</v>
      </c>
      <c r="D3" s="411"/>
      <c r="E3" s="411"/>
      <c r="F3" s="411"/>
      <c r="G3" s="411"/>
      <c r="H3" s="411"/>
      <c r="I3" s="411"/>
      <c r="J3" s="411"/>
      <c r="K3" s="411"/>
      <c r="L3" s="411"/>
      <c r="M3" s="411"/>
      <c r="N3" s="411"/>
      <c r="O3" s="106"/>
    </row>
    <row r="4" spans="2:19" ht="20.25" customHeight="1" x14ac:dyDescent="0.25">
      <c r="B4" s="106"/>
      <c r="C4" s="411"/>
      <c r="D4" s="411"/>
      <c r="E4" s="411"/>
      <c r="F4" s="411"/>
      <c r="G4" s="411"/>
      <c r="H4" s="411"/>
      <c r="I4" s="411"/>
      <c r="J4" s="411"/>
      <c r="K4" s="411"/>
      <c r="L4" s="411"/>
      <c r="M4" s="411"/>
      <c r="N4" s="411"/>
      <c r="O4" s="106"/>
      <c r="Q4" s="3"/>
      <c r="R4" s="3"/>
      <c r="S4" s="105" t="s">
        <v>1</v>
      </c>
    </row>
    <row r="5" spans="2:19" ht="20.25" customHeight="1" x14ac:dyDescent="0.25">
      <c r="B5" s="106"/>
      <c r="C5" s="411"/>
      <c r="D5" s="411"/>
      <c r="E5" s="411"/>
      <c r="F5" s="411"/>
      <c r="G5" s="411"/>
      <c r="H5" s="411"/>
      <c r="I5" s="411"/>
      <c r="J5" s="411"/>
      <c r="K5" s="411"/>
      <c r="L5" s="411"/>
      <c r="M5" s="411"/>
      <c r="N5" s="411"/>
      <c r="O5" s="106"/>
      <c r="S5" s="105" t="s">
        <v>2</v>
      </c>
    </row>
    <row r="6" spans="2:19" ht="3" customHeight="1" x14ac:dyDescent="0.25">
      <c r="B6" s="106"/>
      <c r="C6" s="106"/>
      <c r="D6" s="106"/>
      <c r="E6" s="106"/>
      <c r="F6" s="106"/>
      <c r="G6" s="106"/>
      <c r="H6" s="106"/>
      <c r="I6" s="106"/>
      <c r="J6" s="106"/>
      <c r="K6" s="106"/>
      <c r="L6" s="106"/>
      <c r="M6" s="106"/>
      <c r="N6" s="106"/>
      <c r="O6" s="106"/>
    </row>
    <row r="7" spans="2:19" ht="3" customHeight="1" x14ac:dyDescent="0.25"/>
    <row r="8" spans="2:19" ht="3.95" customHeight="1" x14ac:dyDescent="0.25">
      <c r="B8" s="106"/>
      <c r="C8" s="106"/>
      <c r="D8" s="106"/>
      <c r="E8" s="106"/>
      <c r="F8" s="106"/>
      <c r="G8" s="106"/>
      <c r="H8" s="106"/>
      <c r="I8" s="106"/>
      <c r="J8" s="106"/>
      <c r="K8" s="106"/>
      <c r="L8" s="106"/>
      <c r="M8" s="106"/>
      <c r="N8" s="106"/>
      <c r="O8" s="106"/>
    </row>
    <row r="9" spans="2:19" ht="3.95" customHeight="1" x14ac:dyDescent="0.25">
      <c r="B9" s="106"/>
      <c r="O9" s="106"/>
    </row>
    <row r="10" spans="2:19" ht="15.75" customHeight="1" x14ac:dyDescent="0.25">
      <c r="B10" s="106"/>
      <c r="D10" s="387" t="s">
        <v>3</v>
      </c>
      <c r="E10" s="387"/>
      <c r="F10" s="107">
        <v>2015</v>
      </c>
      <c r="G10" s="108" t="s">
        <v>4</v>
      </c>
      <c r="H10" s="107" t="s">
        <v>1639</v>
      </c>
      <c r="O10" s="106"/>
    </row>
    <row r="11" spans="2:19" ht="3.95" customHeight="1" x14ac:dyDescent="0.25">
      <c r="B11" s="106"/>
      <c r="D11" s="109"/>
      <c r="O11" s="106"/>
    </row>
    <row r="12" spans="2:19" ht="36" customHeight="1" x14ac:dyDescent="0.25">
      <c r="B12" s="106"/>
      <c r="D12" s="378" t="s">
        <v>5</v>
      </c>
      <c r="E12" s="379"/>
      <c r="F12" s="389" t="s">
        <v>1355</v>
      </c>
      <c r="G12" s="390"/>
      <c r="H12" s="390"/>
      <c r="I12" s="390"/>
      <c r="J12" s="390"/>
      <c r="K12" s="390"/>
      <c r="L12" s="390"/>
      <c r="M12" s="391"/>
      <c r="O12" s="106"/>
      <c r="Q12" s="110" t="s">
        <v>1977</v>
      </c>
      <c r="S12" s="111">
        <v>154</v>
      </c>
    </row>
    <row r="13" spans="2:19" ht="3.95" customHeight="1" x14ac:dyDescent="0.25">
      <c r="B13" s="106"/>
      <c r="O13" s="106"/>
    </row>
    <row r="14" spans="2:19" ht="38.25" customHeight="1" x14ac:dyDescent="0.25">
      <c r="B14" s="106"/>
      <c r="D14" s="378" t="s">
        <v>6</v>
      </c>
      <c r="E14" s="379"/>
      <c r="F14" s="389" t="s">
        <v>1327</v>
      </c>
      <c r="G14" s="390"/>
      <c r="H14" s="390"/>
      <c r="I14" s="390"/>
      <c r="J14" s="390"/>
      <c r="K14" s="390"/>
      <c r="L14" s="390"/>
      <c r="M14" s="391"/>
      <c r="O14" s="106"/>
    </row>
    <row r="15" spans="2:19" ht="3.95" customHeight="1" x14ac:dyDescent="0.25">
      <c r="B15" s="106"/>
      <c r="O15" s="106"/>
    </row>
    <row r="16" spans="2:19" ht="3" customHeight="1" x14ac:dyDescent="0.25">
      <c r="B16" s="106"/>
      <c r="C16" s="106"/>
      <c r="D16" s="106"/>
      <c r="E16" s="106"/>
      <c r="F16" s="106"/>
      <c r="G16" s="106"/>
      <c r="H16" s="106"/>
      <c r="I16" s="106"/>
      <c r="J16" s="106"/>
      <c r="K16" s="106"/>
      <c r="L16" s="106"/>
      <c r="M16" s="106"/>
      <c r="N16" s="106"/>
      <c r="O16" s="106"/>
    </row>
    <row r="17" spans="2:17" ht="3" customHeight="1" x14ac:dyDescent="0.25"/>
    <row r="18" spans="2:17" ht="3" customHeight="1" x14ac:dyDescent="0.25">
      <c r="B18" s="106"/>
      <c r="C18" s="106"/>
      <c r="D18" s="106"/>
      <c r="E18" s="106"/>
      <c r="F18" s="106"/>
      <c r="G18" s="106"/>
      <c r="H18" s="106"/>
      <c r="I18" s="106"/>
      <c r="J18" s="106"/>
      <c r="K18" s="106"/>
      <c r="L18" s="106"/>
      <c r="M18" s="106"/>
      <c r="N18" s="106"/>
      <c r="O18" s="106"/>
    </row>
    <row r="19" spans="2:17" ht="3.95" customHeight="1" x14ac:dyDescent="0.25">
      <c r="B19" s="106"/>
      <c r="O19" s="106"/>
    </row>
    <row r="20" spans="2:17" x14ac:dyDescent="0.25">
      <c r="B20" s="106"/>
      <c r="D20" s="112" t="s">
        <v>7</v>
      </c>
      <c r="O20" s="106"/>
    </row>
    <row r="21" spans="2:17" ht="3.95" customHeight="1" x14ac:dyDescent="0.25">
      <c r="B21" s="106"/>
      <c r="O21" s="106"/>
    </row>
    <row r="22" spans="2:17" ht="18.75" customHeight="1" x14ac:dyDescent="0.25">
      <c r="B22" s="106"/>
      <c r="D22" s="387" t="s">
        <v>8</v>
      </c>
      <c r="E22" s="387"/>
      <c r="F22" s="113" t="s">
        <v>1978</v>
      </c>
      <c r="G22" s="387" t="s">
        <v>9</v>
      </c>
      <c r="H22" s="387"/>
      <c r="I22" s="114">
        <f>+IFERROR(VLOOKUP($S$12,[1]Hoja1!$B$5:$AT$190,19,FALSE),"")</f>
        <v>1</v>
      </c>
      <c r="K22" s="387" t="s">
        <v>10</v>
      </c>
      <c r="L22" s="387"/>
      <c r="M22" s="115" t="str">
        <f>+IFERROR(VLOOKUP($S$12,[1]Hoja1!$B$5:$AT$190,22,FALSE),"")</f>
        <v>Si</v>
      </c>
      <c r="O22" s="106"/>
    </row>
    <row r="23" spans="2:17" ht="19.5" customHeight="1" x14ac:dyDescent="0.25">
      <c r="B23" s="106"/>
      <c r="D23" s="387" t="s">
        <v>11</v>
      </c>
      <c r="E23" s="387"/>
      <c r="F23" s="107" t="str">
        <f>+IFERROR(VLOOKUP($S$12,[1]Hoja1!$B$5:$AT$190,33,FALSE),"")</f>
        <v>Mensual</v>
      </c>
      <c r="G23" s="387" t="s">
        <v>12</v>
      </c>
      <c r="H23" s="387"/>
      <c r="I23" s="107" t="str">
        <f>+IFERROR(VLOOKUP($S$12,[1]Hoja1!$B$5:$AT$190,21,FALSE),"")</f>
        <v>Porcentaje</v>
      </c>
      <c r="K23" s="387" t="s">
        <v>13</v>
      </c>
      <c r="L23" s="387"/>
      <c r="M23" s="115" t="str">
        <f>+IFERROR(VLOOKUP($S$12,[1]Hoja1!$B$5:$AT$190,23,FALSE),"")</f>
        <v>No</v>
      </c>
      <c r="O23" s="106"/>
    </row>
    <row r="24" spans="2:17" ht="20.100000000000001" customHeight="1" x14ac:dyDescent="0.25">
      <c r="B24" s="106"/>
      <c r="D24" s="387" t="s">
        <v>14</v>
      </c>
      <c r="E24" s="387"/>
      <c r="F24" s="107" t="s">
        <v>498</v>
      </c>
      <c r="G24" s="387" t="s">
        <v>15</v>
      </c>
      <c r="H24" s="387"/>
      <c r="I24" s="107" t="s">
        <v>103</v>
      </c>
      <c r="K24" s="387" t="s">
        <v>16</v>
      </c>
      <c r="L24" s="387"/>
      <c r="M24" s="115" t="str">
        <f>+IFERROR(VLOOKUP($S$12,[1]Hoja1!$B$5:$AT$190,24,FALSE),"")</f>
        <v>No</v>
      </c>
      <c r="O24" s="106"/>
    </row>
    <row r="25" spans="2:17" ht="20.100000000000001" customHeight="1" x14ac:dyDescent="0.25">
      <c r="B25" s="106"/>
      <c r="D25" s="387" t="s">
        <v>17</v>
      </c>
      <c r="E25" s="387"/>
      <c r="F25" s="107" t="str">
        <f>+IFERROR(VLOOKUP($S$12,[1]Hoja1!$B$5:$AT$190,18,FALSE),"")</f>
        <v>Eficiencia</v>
      </c>
      <c r="O25" s="106"/>
    </row>
    <row r="26" spans="2:17" ht="3.95" customHeight="1" x14ac:dyDescent="0.25">
      <c r="B26" s="106"/>
      <c r="O26" s="106"/>
    </row>
    <row r="27" spans="2:17" x14ac:dyDescent="0.25">
      <c r="B27" s="106"/>
      <c r="D27" s="112" t="s">
        <v>18</v>
      </c>
      <c r="O27" s="106"/>
    </row>
    <row r="28" spans="2:17" ht="3.95" customHeight="1" x14ac:dyDescent="0.25">
      <c r="B28" s="106"/>
      <c r="O28" s="106"/>
    </row>
    <row r="29" spans="2:17" ht="36" customHeight="1" x14ac:dyDescent="0.25">
      <c r="B29" s="106"/>
      <c r="D29" s="393" t="s">
        <v>19</v>
      </c>
      <c r="E29" s="393"/>
      <c r="F29" s="344" t="s">
        <v>891</v>
      </c>
      <c r="G29" s="344"/>
      <c r="H29" s="344"/>
      <c r="I29" s="344"/>
      <c r="J29" s="344"/>
      <c r="K29" s="344"/>
      <c r="L29" s="344"/>
      <c r="M29" s="344"/>
      <c r="O29" s="106"/>
      <c r="P29" s="105" t="s">
        <v>1990</v>
      </c>
    </row>
    <row r="30" spans="2:17" ht="18" customHeight="1" x14ac:dyDescent="0.25">
      <c r="B30" s="106"/>
      <c r="D30" s="404" t="s">
        <v>21</v>
      </c>
      <c r="E30" s="405"/>
      <c r="F30" s="10" t="s">
        <v>22</v>
      </c>
      <c r="G30" s="349" t="s">
        <v>5</v>
      </c>
      <c r="H30" s="350"/>
      <c r="I30" s="350"/>
      <c r="J30" s="350"/>
      <c r="K30" s="350"/>
      <c r="L30" s="350"/>
      <c r="M30" s="351"/>
      <c r="O30" s="106"/>
      <c r="Q30" s="105" t="str">
        <f>+IFERROR(VLOOKUP(G31,[1]base!$A$9:$C$25,3,FALSE),"")</f>
        <v>calidad</v>
      </c>
    </row>
    <row r="31" spans="2:17" ht="24" customHeight="1" x14ac:dyDescent="0.25">
      <c r="B31" s="106"/>
      <c r="D31" s="406"/>
      <c r="E31" s="407"/>
      <c r="F31" s="4" t="s">
        <v>474</v>
      </c>
      <c r="G31" s="340" t="s">
        <v>475</v>
      </c>
      <c r="H31" s="341"/>
      <c r="I31" s="341"/>
      <c r="J31" s="341"/>
      <c r="K31" s="341"/>
      <c r="L31" s="341"/>
      <c r="M31" s="342"/>
      <c r="O31" s="106"/>
    </row>
    <row r="32" spans="2:17" ht="18" customHeight="1" x14ac:dyDescent="0.25">
      <c r="B32" s="106"/>
      <c r="D32" s="404" t="s">
        <v>23</v>
      </c>
      <c r="E32" s="405"/>
      <c r="F32" s="10" t="s">
        <v>22</v>
      </c>
      <c r="G32" s="349" t="s">
        <v>5</v>
      </c>
      <c r="H32" s="350"/>
      <c r="I32" s="350"/>
      <c r="J32" s="350"/>
      <c r="K32" s="350"/>
      <c r="L32" s="350"/>
      <c r="M32" s="351"/>
      <c r="O32" s="106"/>
    </row>
    <row r="33" spans="2:17" ht="24" customHeight="1" x14ac:dyDescent="0.25">
      <c r="B33" s="106"/>
      <c r="D33" s="406"/>
      <c r="E33" s="407"/>
      <c r="F33" s="11" t="s">
        <v>1529</v>
      </c>
      <c r="G33" s="340" t="s">
        <v>1520</v>
      </c>
      <c r="H33" s="341"/>
      <c r="I33" s="341"/>
      <c r="J33" s="341"/>
      <c r="K33" s="341"/>
      <c r="L33" s="341"/>
      <c r="M33" s="342"/>
      <c r="O33" s="106"/>
      <c r="Q33" s="105">
        <f>+IFERROR(IF(VLOOKUP(G33,[1]base!$A$26:$C$40,3,FALSE)=F31,1,0),"")</f>
        <v>1</v>
      </c>
    </row>
    <row r="34" spans="2:17" ht="18" customHeight="1" x14ac:dyDescent="0.25">
      <c r="B34" s="106"/>
      <c r="D34" s="404" t="s">
        <v>24</v>
      </c>
      <c r="E34" s="405"/>
      <c r="F34" s="116" t="s">
        <v>22</v>
      </c>
      <c r="G34" s="408" t="s">
        <v>5</v>
      </c>
      <c r="H34" s="409"/>
      <c r="I34" s="409"/>
      <c r="J34" s="409"/>
      <c r="K34" s="409"/>
      <c r="L34" s="409"/>
      <c r="M34" s="410"/>
      <c r="O34" s="106"/>
    </row>
    <row r="35" spans="2:17" ht="38.25" customHeight="1" x14ac:dyDescent="0.25">
      <c r="B35" s="106"/>
      <c r="D35" s="406"/>
      <c r="E35" s="407"/>
      <c r="F35" s="4" t="s">
        <v>1716</v>
      </c>
      <c r="G35" s="340" t="s">
        <v>1592</v>
      </c>
      <c r="H35" s="341"/>
      <c r="I35" s="341"/>
      <c r="J35" s="341"/>
      <c r="K35" s="341"/>
      <c r="L35" s="341"/>
      <c r="M35" s="342"/>
      <c r="O35" s="106"/>
    </row>
    <row r="36" spans="2:17" ht="3.95" customHeight="1" x14ac:dyDescent="0.25">
      <c r="B36" s="106"/>
      <c r="O36" s="106"/>
    </row>
    <row r="37" spans="2:17" ht="3" customHeight="1" x14ac:dyDescent="0.25">
      <c r="B37" s="106"/>
      <c r="C37" s="106"/>
      <c r="D37" s="106"/>
      <c r="E37" s="106"/>
      <c r="F37" s="106"/>
      <c r="G37" s="106"/>
      <c r="H37" s="106"/>
      <c r="I37" s="106"/>
      <c r="J37" s="106"/>
      <c r="K37" s="106"/>
      <c r="L37" s="106"/>
      <c r="M37" s="106"/>
      <c r="N37" s="106"/>
      <c r="O37" s="106"/>
    </row>
    <row r="38" spans="2:17" ht="3" customHeight="1" x14ac:dyDescent="0.25"/>
    <row r="39" spans="2:17" ht="3" customHeight="1" x14ac:dyDescent="0.25">
      <c r="B39" s="106"/>
      <c r="C39" s="106"/>
      <c r="D39" s="106"/>
      <c r="E39" s="106"/>
      <c r="F39" s="106"/>
      <c r="G39" s="106"/>
      <c r="H39" s="106"/>
      <c r="I39" s="106"/>
      <c r="J39" s="106"/>
      <c r="K39" s="106"/>
      <c r="L39" s="106"/>
      <c r="M39" s="106"/>
      <c r="N39" s="106"/>
      <c r="O39" s="106"/>
    </row>
    <row r="40" spans="2:17" ht="3.95" customHeight="1" x14ac:dyDescent="0.25">
      <c r="B40" s="106"/>
      <c r="D40" s="112"/>
      <c r="O40" s="106"/>
    </row>
    <row r="41" spans="2:17" x14ac:dyDescent="0.25">
      <c r="B41" s="106"/>
      <c r="D41" s="112" t="s">
        <v>25</v>
      </c>
      <c r="O41" s="106"/>
    </row>
    <row r="42" spans="2:17" ht="3.95" customHeight="1" x14ac:dyDescent="0.25">
      <c r="B42" s="106"/>
      <c r="O42" s="106"/>
    </row>
    <row r="43" spans="2:17" ht="20.100000000000001" customHeight="1" x14ac:dyDescent="0.25">
      <c r="B43" s="106"/>
      <c r="D43" s="387" t="s">
        <v>26</v>
      </c>
      <c r="E43" s="387"/>
      <c r="F43" s="107" t="s">
        <v>2</v>
      </c>
      <c r="O43" s="106"/>
    </row>
    <row r="44" spans="2:17" ht="18" customHeight="1" x14ac:dyDescent="0.25">
      <c r="B44" s="106"/>
      <c r="D44" s="397" t="s">
        <v>27</v>
      </c>
      <c r="E44" s="398"/>
      <c r="F44" s="118" t="s">
        <v>22</v>
      </c>
      <c r="G44" s="401" t="s">
        <v>5</v>
      </c>
      <c r="H44" s="402"/>
      <c r="I44" s="402"/>
      <c r="J44" s="402"/>
      <c r="K44" s="402"/>
      <c r="L44" s="402"/>
      <c r="M44" s="403"/>
      <c r="O44" s="106"/>
    </row>
    <row r="45" spans="2:17" ht="18" customHeight="1" x14ac:dyDescent="0.25">
      <c r="B45" s="106"/>
      <c r="D45" s="399"/>
      <c r="E45" s="400"/>
      <c r="F45" s="107" t="str">
        <f>+IFERROR(VLOOKUP(G45,[1]base!$A$41:$B$45,2,FALSE),"")</f>
        <v>LP5</v>
      </c>
      <c r="G45" s="389" t="str">
        <f>+IFERROR(VLOOKUP($S$12,[1]Hoja1!$B$5:$AT$190,6,FALSE),"")</f>
        <v>Gestión Financiera</v>
      </c>
      <c r="H45" s="390"/>
      <c r="I45" s="390"/>
      <c r="J45" s="390"/>
      <c r="K45" s="390"/>
      <c r="L45" s="390"/>
      <c r="M45" s="391"/>
      <c r="O45" s="106"/>
      <c r="Q45" s="105" t="str">
        <f>+IFERROR(VLOOKUP(G45,[1]base!$A$41:$C$45,3,FALSE),"")</f>
        <v>financiera</v>
      </c>
    </row>
    <row r="46" spans="2:17" ht="18" customHeight="1" x14ac:dyDescent="0.25">
      <c r="B46" s="106"/>
      <c r="D46" s="397" t="s">
        <v>28</v>
      </c>
      <c r="E46" s="398"/>
      <c r="F46" s="118" t="s">
        <v>22</v>
      </c>
      <c r="G46" s="401" t="s">
        <v>5</v>
      </c>
      <c r="H46" s="402"/>
      <c r="I46" s="402"/>
      <c r="J46" s="402"/>
      <c r="K46" s="402"/>
      <c r="L46" s="402"/>
      <c r="M46" s="403"/>
      <c r="O46" s="106"/>
    </row>
    <row r="47" spans="2:17" ht="18" customHeight="1" x14ac:dyDescent="0.25">
      <c r="B47" s="106"/>
      <c r="D47" s="399"/>
      <c r="E47" s="400"/>
      <c r="F47" s="107" t="str">
        <f>+IFERROR(VLOOKUP(G47,[1]base!$A$46:$B$66,2,FALSE),"")</f>
        <v/>
      </c>
      <c r="G47" s="389"/>
      <c r="H47" s="390"/>
      <c r="I47" s="390"/>
      <c r="J47" s="390"/>
      <c r="K47" s="390"/>
      <c r="L47" s="390"/>
      <c r="M47" s="391"/>
      <c r="O47" s="106"/>
      <c r="Q47" s="105" t="e">
        <f>+IF(VLOOKUP(G47,[1]base!$A$46:$C$66,3,FALSE)=F45,1,0)</f>
        <v>#N/A</v>
      </c>
    </row>
    <row r="48" spans="2:17" ht="18" customHeight="1" x14ac:dyDescent="0.25">
      <c r="B48" s="106"/>
      <c r="D48" s="397" t="s">
        <v>29</v>
      </c>
      <c r="E48" s="398"/>
      <c r="F48" s="118" t="s">
        <v>22</v>
      </c>
      <c r="G48" s="401" t="s">
        <v>5</v>
      </c>
      <c r="H48" s="402"/>
      <c r="I48" s="402"/>
      <c r="J48" s="402"/>
      <c r="K48" s="402"/>
      <c r="L48" s="402"/>
      <c r="M48" s="403"/>
      <c r="O48" s="106"/>
    </row>
    <row r="49" spans="2:15" ht="29.25" customHeight="1" x14ac:dyDescent="0.25">
      <c r="B49" s="106"/>
      <c r="D49" s="399"/>
      <c r="E49" s="400"/>
      <c r="F49" s="119" t="str">
        <f>+IFERROR(VLOOKUP(G49,[1]base!$G$37:$H$47,2,FALSE),"")</f>
        <v>C-310-300-2</v>
      </c>
      <c r="G49" s="389" t="s">
        <v>899</v>
      </c>
      <c r="H49" s="390"/>
      <c r="I49" s="390"/>
      <c r="J49" s="390"/>
      <c r="K49" s="390"/>
      <c r="L49" s="390"/>
      <c r="M49" s="391"/>
      <c r="O49" s="106"/>
    </row>
    <row r="50" spans="2:15" ht="3.95" customHeight="1" x14ac:dyDescent="0.25">
      <c r="B50" s="106"/>
      <c r="O50" s="106"/>
    </row>
    <row r="51" spans="2:15" ht="20.100000000000001" customHeight="1" x14ac:dyDescent="0.25">
      <c r="B51" s="106"/>
      <c r="D51" s="387" t="s">
        <v>31</v>
      </c>
      <c r="E51" s="387"/>
      <c r="F51" s="107" t="str">
        <f>+IFERROR(VLOOKUP($S$12,[1]Hoja1!$B$5:$AT$190,26,FALSE),"")</f>
        <v>No</v>
      </c>
      <c r="G51" s="387" t="s">
        <v>32</v>
      </c>
      <c r="H51" s="387"/>
      <c r="I51" s="120" t="str">
        <f>+IFERROR(IF(F51="No","",VLOOKUP($S$12,[1]Hoja1!$B$5:$AT$190,20,FALSE)),"")</f>
        <v/>
      </c>
      <c r="O51" s="106"/>
    </row>
    <row r="52" spans="2:15" ht="3.95" customHeight="1" x14ac:dyDescent="0.25">
      <c r="B52" s="106"/>
      <c r="O52" s="106"/>
    </row>
    <row r="53" spans="2:15" ht="3" customHeight="1" x14ac:dyDescent="0.25">
      <c r="B53" s="106"/>
      <c r="C53" s="106"/>
      <c r="D53" s="106"/>
      <c r="E53" s="106"/>
      <c r="F53" s="106"/>
      <c r="G53" s="106"/>
      <c r="H53" s="106"/>
      <c r="I53" s="106"/>
      <c r="J53" s="106"/>
      <c r="K53" s="106"/>
      <c r="L53" s="106"/>
      <c r="M53" s="106"/>
      <c r="N53" s="106"/>
      <c r="O53" s="106"/>
    </row>
    <row r="54" spans="2:15" ht="3" customHeight="1" x14ac:dyDescent="0.25"/>
    <row r="55" spans="2:15" ht="3.95" customHeight="1" x14ac:dyDescent="0.25">
      <c r="B55" s="106"/>
      <c r="C55" s="106"/>
      <c r="D55" s="106"/>
      <c r="E55" s="106"/>
      <c r="F55" s="106"/>
      <c r="G55" s="106"/>
      <c r="H55" s="106"/>
      <c r="I55" s="106"/>
      <c r="J55" s="106"/>
      <c r="K55" s="106"/>
      <c r="L55" s="106"/>
      <c r="M55" s="106"/>
      <c r="N55" s="106"/>
      <c r="O55" s="106"/>
    </row>
    <row r="56" spans="2:15" ht="3.95" customHeight="1" x14ac:dyDescent="0.25">
      <c r="B56" s="106"/>
      <c r="O56" s="106"/>
    </row>
    <row r="57" spans="2:15" x14ac:dyDescent="0.25">
      <c r="B57" s="106"/>
      <c r="D57" s="112" t="s">
        <v>33</v>
      </c>
      <c r="O57" s="106"/>
    </row>
    <row r="58" spans="2:15" ht="3.95" customHeight="1" x14ac:dyDescent="0.25">
      <c r="B58" s="106"/>
      <c r="O58" s="106"/>
    </row>
    <row r="59" spans="2:15" ht="30" customHeight="1" x14ac:dyDescent="0.25">
      <c r="B59" s="106"/>
      <c r="D59" s="387" t="s">
        <v>34</v>
      </c>
      <c r="E59" s="387"/>
      <c r="F59" s="370" t="str">
        <f>+IF(F60="","",F60&amp;" / "&amp;F61)</f>
        <v>Recursos Comprometidos / Meta Mensual de Compromisos</v>
      </c>
      <c r="G59" s="370"/>
      <c r="H59" s="370"/>
      <c r="I59" s="370"/>
      <c r="J59" s="370"/>
      <c r="K59" s="370"/>
      <c r="L59" s="370"/>
      <c r="M59" s="370"/>
      <c r="O59" s="106"/>
    </row>
    <row r="60" spans="2:15" ht="30" customHeight="1" x14ac:dyDescent="0.25">
      <c r="B60" s="106"/>
      <c r="D60" s="369" t="s">
        <v>35</v>
      </c>
      <c r="E60" s="369"/>
      <c r="F60" s="370" t="str">
        <f>+IFERROR(VLOOKUP($S$12,[1]Hoja1!$B$5:$AT$190,28,FALSE),"")</f>
        <v>Recursos Comprometidos</v>
      </c>
      <c r="G60" s="370"/>
      <c r="H60" s="370"/>
      <c r="I60" s="370"/>
      <c r="J60" s="370"/>
      <c r="K60" s="370"/>
      <c r="L60" s="370"/>
      <c r="M60" s="370"/>
      <c r="O60" s="106"/>
    </row>
    <row r="61" spans="2:15" ht="30" customHeight="1" x14ac:dyDescent="0.25">
      <c r="B61" s="106"/>
      <c r="D61" s="369" t="s">
        <v>36</v>
      </c>
      <c r="E61" s="369"/>
      <c r="F61" s="389" t="str">
        <f>+IFERROR(VLOOKUP($S$12,[1]Hoja1!$B$5:$AT$190,30,FALSE),"")</f>
        <v>Meta Mensual de Compromisos</v>
      </c>
      <c r="G61" s="390"/>
      <c r="H61" s="390"/>
      <c r="I61" s="390"/>
      <c r="J61" s="390"/>
      <c r="K61" s="390"/>
      <c r="L61" s="390"/>
      <c r="M61" s="391"/>
      <c r="O61" s="106"/>
    </row>
    <row r="62" spans="2:15" ht="3.95" customHeight="1" x14ac:dyDescent="0.25">
      <c r="B62" s="106"/>
      <c r="O62" s="106"/>
    </row>
    <row r="63" spans="2:15" ht="3" customHeight="1" x14ac:dyDescent="0.25">
      <c r="B63" s="106"/>
      <c r="C63" s="106"/>
      <c r="D63" s="106"/>
      <c r="E63" s="106"/>
      <c r="F63" s="106"/>
      <c r="G63" s="106"/>
      <c r="H63" s="106"/>
      <c r="I63" s="106"/>
      <c r="J63" s="106"/>
      <c r="K63" s="106"/>
      <c r="L63" s="106"/>
      <c r="M63" s="106"/>
      <c r="N63" s="106"/>
      <c r="O63" s="106"/>
    </row>
    <row r="64" spans="2:15" x14ac:dyDescent="0.25">
      <c r="M64" s="121" t="s">
        <v>37</v>
      </c>
    </row>
    <row r="65" spans="2:45" ht="3" customHeight="1" x14ac:dyDescent="0.25">
      <c r="B65" s="106"/>
      <c r="C65" s="106"/>
      <c r="D65" s="106"/>
      <c r="E65" s="106"/>
      <c r="F65" s="106"/>
      <c r="G65" s="106"/>
      <c r="H65" s="106"/>
      <c r="I65" s="106"/>
      <c r="J65" s="106"/>
      <c r="K65" s="106"/>
      <c r="L65" s="106"/>
      <c r="M65" s="106"/>
      <c r="N65" s="106"/>
      <c r="O65" s="106"/>
    </row>
    <row r="66" spans="2:45" ht="3.95" customHeight="1" x14ac:dyDescent="0.25">
      <c r="B66" s="106"/>
      <c r="O66" s="106"/>
    </row>
    <row r="67" spans="2:45" x14ac:dyDescent="0.25">
      <c r="B67" s="106"/>
      <c r="D67" s="392" t="s">
        <v>38</v>
      </c>
      <c r="E67" s="392"/>
      <c r="O67" s="106"/>
    </row>
    <row r="68" spans="2:45" ht="3.95" customHeight="1" x14ac:dyDescent="0.25">
      <c r="B68" s="106"/>
      <c r="D68" s="112"/>
      <c r="E68" s="112"/>
      <c r="O68" s="106"/>
    </row>
    <row r="69" spans="2:45" ht="18.75" customHeight="1" x14ac:dyDescent="0.25">
      <c r="B69" s="106"/>
      <c r="O69" s="106"/>
      <c r="Q69" s="122" t="s">
        <v>11</v>
      </c>
      <c r="S69" s="105" t="str">
        <f>+IF(F23=0,"",F23)</f>
        <v>Mensual</v>
      </c>
      <c r="U69" s="105">
        <f>+IFERROR(VLOOKUP(S69,[1]base!$H$23:$I$28,2,FALSE),"")</f>
        <v>1</v>
      </c>
    </row>
    <row r="70" spans="2:45" ht="3.95" customHeight="1" x14ac:dyDescent="0.25">
      <c r="B70" s="106"/>
      <c r="D70" s="112"/>
      <c r="E70" s="112"/>
      <c r="O70" s="106"/>
    </row>
    <row r="71" spans="2:45" ht="18.75" customHeight="1" x14ac:dyDescent="0.25">
      <c r="B71" s="106"/>
      <c r="D71" s="393" t="s">
        <v>39</v>
      </c>
      <c r="E71" s="393"/>
      <c r="F71" s="107" t="s">
        <v>47</v>
      </c>
      <c r="G71" s="105">
        <f>+IFERROR(VLOOKUP(F71,$AE$75:$AF$86,2,FALSE),"")</f>
        <v>3</v>
      </c>
      <c r="O71" s="106"/>
      <c r="Q71" s="122" t="s">
        <v>14</v>
      </c>
      <c r="S71" s="105" t="str">
        <f>+IF(F24=0,"",F24)</f>
        <v>Creciente</v>
      </c>
    </row>
    <row r="72" spans="2:45" ht="3.95" customHeight="1" x14ac:dyDescent="0.25">
      <c r="B72" s="106"/>
      <c r="D72" s="112"/>
      <c r="E72" s="112"/>
      <c r="O72" s="106"/>
    </row>
    <row r="73" spans="2:45" x14ac:dyDescent="0.25">
      <c r="B73" s="106"/>
      <c r="D73" s="394" t="s">
        <v>41</v>
      </c>
      <c r="E73" s="394"/>
      <c r="F73" s="395" t="s">
        <v>42</v>
      </c>
      <c r="G73" s="396"/>
      <c r="H73" s="395" t="s">
        <v>43</v>
      </c>
      <c r="I73" s="396"/>
      <c r="J73" s="395" t="s">
        <v>44</v>
      </c>
      <c r="K73" s="396"/>
      <c r="L73" s="395" t="s">
        <v>45</v>
      </c>
      <c r="M73" s="396"/>
      <c r="O73" s="106"/>
      <c r="S73" s="111">
        <f>+IFERROR(VLOOKUP(S74,$AE$75:$AK$86,7,FALSE),"")</f>
        <v>0</v>
      </c>
      <c r="U73" s="111">
        <f>+IFERROR(VLOOKUP(U74,$AE$75:$AK$86,7,FALSE),"")</f>
        <v>0</v>
      </c>
      <c r="W73" s="111">
        <f>+IFERROR(VLOOKUP(W74,$AE$75:$AK$86,7,FALSE),"")</f>
        <v>1</v>
      </c>
      <c r="Y73" s="111">
        <f>+IFERROR(VLOOKUP(Y74,$AE$75:$AK$86,7,FALSE),"")</f>
        <v>1</v>
      </c>
      <c r="AA73" s="111">
        <f>+IFERROR(VLOOKUP(AA74,$AE$75:$AK$86,7,FALSE),"")</f>
        <v>1</v>
      </c>
      <c r="AC73" s="111">
        <f>+IFERROR(VLOOKUP(AC74,$AE$75:$AK$86,7,FALSE),"")</f>
        <v>1</v>
      </c>
      <c r="AL73" s="388" t="s">
        <v>42</v>
      </c>
      <c r="AM73" s="388"/>
      <c r="AN73" s="388" t="s">
        <v>43</v>
      </c>
      <c r="AO73" s="388"/>
      <c r="AP73" s="388" t="s">
        <v>44</v>
      </c>
      <c r="AQ73" s="388"/>
      <c r="AR73" s="388" t="s">
        <v>45</v>
      </c>
      <c r="AS73" s="388"/>
    </row>
    <row r="74" spans="2:45" x14ac:dyDescent="0.25">
      <c r="B74" s="106"/>
      <c r="D74" s="394"/>
      <c r="E74" s="394"/>
      <c r="F74" s="123" t="str">
        <f>+IF($F$24="Decreciente","Max","Min")</f>
        <v>Min</v>
      </c>
      <c r="G74" s="123" t="str">
        <f>+IF($F$24="Decreciente","MIn","Max")</f>
        <v>Max</v>
      </c>
      <c r="H74" s="123" t="str">
        <f>+IF($F$24="Decreciente","Max","Min")</f>
        <v>Min</v>
      </c>
      <c r="I74" s="123" t="str">
        <f>+IF($F$24="Decreciente","MIn","Max")</f>
        <v>Max</v>
      </c>
      <c r="J74" s="123" t="str">
        <f>+IF($F$24="Decreciente","Max","Min")</f>
        <v>Min</v>
      </c>
      <c r="K74" s="123" t="str">
        <f>+IF($F$24="Decreciente","MIn","Max")</f>
        <v>Max</v>
      </c>
      <c r="L74" s="123" t="str">
        <f>+IF($F$24="Decreciente","Max","Min")</f>
        <v>Min</v>
      </c>
      <c r="M74" s="123" t="str">
        <f>+IF($F$24="Decreciente","MIn","Max")</f>
        <v>Max</v>
      </c>
      <c r="O74" s="106"/>
      <c r="S74" s="124" t="s">
        <v>46</v>
      </c>
      <c r="T74" s="124"/>
      <c r="U74" s="124" t="s">
        <v>40</v>
      </c>
      <c r="V74" s="124"/>
      <c r="W74" s="124" t="s">
        <v>47</v>
      </c>
      <c r="X74" s="124"/>
      <c r="Y74" s="124" t="s">
        <v>48</v>
      </c>
      <c r="Z74" s="124"/>
      <c r="AA74" s="124" t="s">
        <v>49</v>
      </c>
      <c r="AB74" s="124"/>
      <c r="AC74" s="124" t="s">
        <v>50</v>
      </c>
      <c r="AL74" s="125" t="s">
        <v>51</v>
      </c>
      <c r="AM74" s="125" t="s">
        <v>52</v>
      </c>
      <c r="AN74" s="125" t="s">
        <v>51</v>
      </c>
      <c r="AO74" s="125" t="s">
        <v>52</v>
      </c>
      <c r="AP74" s="125" t="s">
        <v>51</v>
      </c>
      <c r="AQ74" s="125" t="s">
        <v>52</v>
      </c>
      <c r="AR74" s="125" t="s">
        <v>51</v>
      </c>
      <c r="AS74" s="125" t="s">
        <v>52</v>
      </c>
    </row>
    <row r="75" spans="2:45" x14ac:dyDescent="0.25">
      <c r="B75" s="106"/>
      <c r="D75" s="386" t="s">
        <v>46</v>
      </c>
      <c r="E75" s="386"/>
      <c r="F75" s="126"/>
      <c r="G75" s="126"/>
      <c r="H75" s="126"/>
      <c r="I75" s="126"/>
      <c r="J75" s="126"/>
      <c r="K75" s="126"/>
      <c r="L75" s="126"/>
      <c r="M75" s="126"/>
      <c r="O75" s="106"/>
      <c r="Q75" s="122" t="s">
        <v>1980</v>
      </c>
      <c r="R75" s="111"/>
      <c r="S75" s="127"/>
      <c r="T75" s="111"/>
      <c r="U75" s="127"/>
      <c r="V75" s="111"/>
      <c r="W75" s="127"/>
      <c r="X75" s="111"/>
      <c r="Y75" s="127"/>
      <c r="Z75" s="111"/>
      <c r="AA75" s="127"/>
      <c r="AB75" s="111"/>
      <c r="AC75" s="127"/>
      <c r="AE75" s="105" t="s">
        <v>46</v>
      </c>
      <c r="AF75" s="105">
        <v>1</v>
      </c>
      <c r="AG75" s="105">
        <f>+IF(AF75&gt;=$G$71,1,0)</f>
        <v>0</v>
      </c>
      <c r="AH75" s="105">
        <f>+IF(AG75=0,0,IF(AG75=1,(SUM($AG$75:AG75)-1),1))</f>
        <v>0</v>
      </c>
      <c r="AI75" s="105">
        <f>+IF(AH75=0,0,IF(MOD(AH75,$U$69)=0,1,0))</f>
        <v>0</v>
      </c>
      <c r="AJ75" s="105">
        <f>+IF(AE75=$F$71,1,0)</f>
        <v>0</v>
      </c>
      <c r="AK75" s="105">
        <f>+MAX(AI75:AJ75)</f>
        <v>0</v>
      </c>
      <c r="AL75" s="128" t="str">
        <f>+""</f>
        <v/>
      </c>
      <c r="AM75" s="128" t="str">
        <f>+IF(AK75=0,"",IF(R78="&gt;",S78+0.001,IF(R78="&lt;",S78-0.001,S78)))</f>
        <v/>
      </c>
      <c r="AN75" s="128" t="str">
        <f>+IF(R77="NA","",IF(AK75=0,"",IF(R78="≥",S78-0.001,IF(R78="≤",S78+0.001,S78))))</f>
        <v/>
      </c>
      <c r="AO75" s="128" t="str">
        <f>IF(R77="NA","",IF(AK75=0,"",IF(R77="&gt;",S77+0.001,IF(R77="&lt;",S77-0.001,S77))))</f>
        <v/>
      </c>
      <c r="AP75" s="128" t="str">
        <f>+IF(R76="NA","",IF(AK75=0,"",IF(R77="≥",S77-0.001,IF(R77="≤",S77+0.001,S77))))</f>
        <v/>
      </c>
      <c r="AQ75" s="128" t="str">
        <f>+IF(R76="NA","",IF(AK75=0,"",IF(R76="&gt;",S76+0.001,IF(R76="&lt;",S76-0.001,S76))))</f>
        <v/>
      </c>
      <c r="AR75" s="128" t="str">
        <f>IF(AK75=0,"",IF(R76="≥",S75-0.001,IF(R76="≤",S75+0.001,"")))</f>
        <v/>
      </c>
      <c r="AS75" s="128" t="str">
        <f>+IF(AK75=0,"",IF(R75="=",S75,""))</f>
        <v/>
      </c>
    </row>
    <row r="76" spans="2:45" x14ac:dyDescent="0.25">
      <c r="B76" s="106"/>
      <c r="D76" s="386" t="s">
        <v>40</v>
      </c>
      <c r="E76" s="386"/>
      <c r="F76" s="126"/>
      <c r="G76" s="126"/>
      <c r="H76" s="126"/>
      <c r="I76" s="126"/>
      <c r="J76" s="126"/>
      <c r="K76" s="126"/>
      <c r="L76" s="126"/>
      <c r="M76" s="126"/>
      <c r="O76" s="106"/>
      <c r="Q76" s="122" t="s">
        <v>1981</v>
      </c>
      <c r="R76" s="111"/>
      <c r="S76" s="127"/>
      <c r="T76" s="111"/>
      <c r="U76" s="127"/>
      <c r="V76" s="111"/>
      <c r="W76" s="127"/>
      <c r="X76" s="111"/>
      <c r="Y76" s="127"/>
      <c r="Z76" s="111"/>
      <c r="AA76" s="127"/>
      <c r="AB76" s="111"/>
      <c r="AC76" s="127"/>
      <c r="AE76" s="105" t="s">
        <v>40</v>
      </c>
      <c r="AF76" s="105">
        <v>2</v>
      </c>
      <c r="AG76" s="105">
        <f t="shared" ref="AG76:AG86" si="0">+IF(AF76&gt;=$G$71,1,0)</f>
        <v>0</v>
      </c>
      <c r="AH76" s="105">
        <f>+IF(AG76=0,0,IF(AG76=1,(SUM($AG$75:AG76)-1),1))</f>
        <v>0</v>
      </c>
      <c r="AI76" s="105">
        <f t="shared" ref="AI76:AI86" si="1">+IF(AH76=0,0,IF(MOD(AH76,$U$69)=0,1,0))</f>
        <v>0</v>
      </c>
      <c r="AJ76" s="105">
        <f t="shared" ref="AJ76:AJ86" si="2">+IF(AE76=$F$71,1,0)</f>
        <v>0</v>
      </c>
      <c r="AK76" s="105">
        <f t="shared" ref="AK76:AK86" si="3">+MAX(AI76:AJ76)</f>
        <v>0</v>
      </c>
      <c r="AL76" s="128" t="str">
        <f>+""</f>
        <v/>
      </c>
      <c r="AM76" s="128" t="str">
        <f>+IF(AK76=0,"",IF(T78="&gt;",U78+0.001,IF(T78="&lt;",U78-0.001,U78)))</f>
        <v/>
      </c>
      <c r="AN76" s="128" t="str">
        <f>+IF(T77="NA","",IF(AK76=0,"",IF(T78="≥",U78-0.001,IF(T78="≤",U78+0.001,U78))))</f>
        <v/>
      </c>
      <c r="AO76" s="128" t="str">
        <f>IF(T77="NA","",IF(AK76=0,"",IF(T77="&gt;",U77+0.001,IF(T77="&lt;",U77-0.001,U77))))</f>
        <v/>
      </c>
      <c r="AP76" s="128" t="str">
        <f>+IF(T76="NA","",IF(AK76=0,"",IF(T77="≥",U77-0.001,IF(T77="≤",U77+0.001,U77))))</f>
        <v/>
      </c>
      <c r="AQ76" s="128" t="str">
        <f>+IF(T76="NA","",IF(AK76=0,"",IF(T76="&gt;",U76+0.001,IF(T76="&lt;",U76-0.001,U76))))</f>
        <v/>
      </c>
      <c r="AR76" s="128" t="str">
        <f>IF(AK76=0,"",IF(T76="≥",U75-0.001,IF(T76="≤",U75+0.001,"")))</f>
        <v/>
      </c>
      <c r="AS76" s="128" t="str">
        <f>+IF(AK76=0,"",IF(T75="=",U75,""))</f>
        <v/>
      </c>
    </row>
    <row r="77" spans="2:45" x14ac:dyDescent="0.25">
      <c r="B77" s="106"/>
      <c r="D77" s="386" t="s">
        <v>47</v>
      </c>
      <c r="E77" s="386"/>
      <c r="F77" s="126"/>
      <c r="G77" s="126">
        <v>0.95</v>
      </c>
      <c r="H77" s="126">
        <v>0.95099999999999996</v>
      </c>
      <c r="I77" s="126">
        <v>0.98</v>
      </c>
      <c r="J77" s="126">
        <v>0.98099999999999998</v>
      </c>
      <c r="K77" s="126">
        <v>0.999</v>
      </c>
      <c r="L77" s="126">
        <v>1</v>
      </c>
      <c r="M77" s="126"/>
      <c r="O77" s="106"/>
      <c r="Q77" s="122" t="s">
        <v>1982</v>
      </c>
      <c r="R77" s="111"/>
      <c r="S77" s="127"/>
      <c r="T77" s="111"/>
      <c r="U77" s="127"/>
      <c r="V77" s="111"/>
      <c r="W77" s="127"/>
      <c r="X77" s="111"/>
      <c r="Y77" s="127"/>
      <c r="Z77" s="111"/>
      <c r="AA77" s="127"/>
      <c r="AB77" s="111"/>
      <c r="AC77" s="127"/>
      <c r="AE77" s="105" t="s">
        <v>47</v>
      </c>
      <c r="AF77" s="105">
        <v>3</v>
      </c>
      <c r="AG77" s="105">
        <f t="shared" si="0"/>
        <v>1</v>
      </c>
      <c r="AH77" s="105">
        <f>+IF(AG77=0,0,IF(AG77=1,(SUM($AG$75:AG77)-1),1))</f>
        <v>0</v>
      </c>
      <c r="AI77" s="105">
        <f t="shared" si="1"/>
        <v>0</v>
      </c>
      <c r="AJ77" s="105">
        <f t="shared" si="2"/>
        <v>1</v>
      </c>
      <c r="AK77" s="105">
        <f t="shared" si="3"/>
        <v>1</v>
      </c>
      <c r="AL77" s="128" t="str">
        <f>+""</f>
        <v/>
      </c>
      <c r="AM77" s="128">
        <f>+IF(AK77=0,"",IF(V78="&gt;",W78+0.001,IF(V78="&lt;",W78-0.001,W78)))</f>
        <v>0</v>
      </c>
      <c r="AN77" s="128">
        <f>+IF(V77="NA","",IF(AK77=0,"",IF(V78="≥",W78-0.001,IF(V78="≤",W78+0.001,W78))))</f>
        <v>0</v>
      </c>
      <c r="AO77" s="128">
        <f>IF(V77="NA","",IF(AK77=0,"",IF(V77="&gt;",W77+0.001,IF(V77="&lt;",W77-0.001,W77))))</f>
        <v>0</v>
      </c>
      <c r="AP77" s="128">
        <f>+IF(V76="NA","",IF(AK77=0,"",IF(V77="≥",W77-0.001,IF(V77="≤",W77+0.001,W77))))</f>
        <v>0</v>
      </c>
      <c r="AQ77" s="128">
        <f>+IF(V76="NA","",IF(AK77=0,"",IF(V76="&gt;",W76+0.001,IF(V76="&lt;",W76-0.001,W76))))</f>
        <v>0</v>
      </c>
      <c r="AR77" s="128" t="str">
        <f>IF(AK77=0,"",IF(V76="≥",W75-0.001,IF(V76="≤",W75+0.001,"")))</f>
        <v/>
      </c>
      <c r="AS77" s="128" t="str">
        <f>+IF(AK77=0,"",IF(V75="=",W75,""))</f>
        <v/>
      </c>
    </row>
    <row r="78" spans="2:45" x14ac:dyDescent="0.25">
      <c r="B78" s="106"/>
      <c r="D78" s="386" t="s">
        <v>48</v>
      </c>
      <c r="E78" s="386"/>
      <c r="F78" s="126"/>
      <c r="G78" s="126">
        <v>0.95</v>
      </c>
      <c r="H78" s="126">
        <v>0.95099999999999996</v>
      </c>
      <c r="I78" s="126">
        <v>0.98</v>
      </c>
      <c r="J78" s="126">
        <v>0.98099999999999998</v>
      </c>
      <c r="K78" s="126">
        <v>0.999</v>
      </c>
      <c r="L78" s="126">
        <v>1</v>
      </c>
      <c r="M78" s="126"/>
      <c r="O78" s="106"/>
      <c r="Q78" s="122" t="s">
        <v>1983</v>
      </c>
      <c r="R78" s="111"/>
      <c r="S78" s="127"/>
      <c r="T78" s="111"/>
      <c r="U78" s="127"/>
      <c r="V78" s="111"/>
      <c r="W78" s="127"/>
      <c r="X78" s="111"/>
      <c r="Y78" s="127"/>
      <c r="Z78" s="111"/>
      <c r="AA78" s="127"/>
      <c r="AB78" s="111"/>
      <c r="AC78" s="127"/>
      <c r="AE78" s="105" t="s">
        <v>48</v>
      </c>
      <c r="AF78" s="105">
        <v>4</v>
      </c>
      <c r="AG78" s="105">
        <f t="shared" si="0"/>
        <v>1</v>
      </c>
      <c r="AH78" s="105">
        <f>+IF(AG78=0,0,IF(AG78=1,(SUM($AG$75:AG78)-1),1))</f>
        <v>1</v>
      </c>
      <c r="AI78" s="105">
        <f t="shared" si="1"/>
        <v>1</v>
      </c>
      <c r="AJ78" s="105">
        <f t="shared" si="2"/>
        <v>0</v>
      </c>
      <c r="AK78" s="105">
        <f t="shared" si="3"/>
        <v>1</v>
      </c>
      <c r="AL78" s="128" t="str">
        <f>+""</f>
        <v/>
      </c>
      <c r="AM78" s="128">
        <f>+IF(AK78=0,"",IF(X78="&gt;",Y78+0.001,IF(X78="&lt;",Y78-0.001,Y78)))</f>
        <v>0</v>
      </c>
      <c r="AN78" s="128">
        <f>+IF(X77="NA","",IF(AK78=0,"",IF(X78="≥",Y78-0.001,IF(X78="≤",Y78+0.001,Y78))))</f>
        <v>0</v>
      </c>
      <c r="AO78" s="128">
        <f>IF(X77="NA","",IF(AK78=0,"",IF(X77="&gt;",Y77+0.001,IF(X77="&lt;",Y77-0.001,Y77))))</f>
        <v>0</v>
      </c>
      <c r="AP78" s="128">
        <f>+IF(X76="NA","",IF(AK78=0,"",IF(X77="≥",Y77-0.001,IF(X77="≤",Y77+0.001,Y77))))</f>
        <v>0</v>
      </c>
      <c r="AQ78" s="128">
        <f>+IF(X76="NA","",IF(AK78=0,"",IF(X76="&gt;",Y76+0.001,IF(X76="&lt;",Y76-0.001,Y76))))</f>
        <v>0</v>
      </c>
      <c r="AR78" s="128" t="str">
        <f>IF(AK78=0,"",IF(X76="≥",Y75-0.001,IF(X76="≤",Y75+0.001,"")))</f>
        <v/>
      </c>
      <c r="AS78" s="128" t="str">
        <f>+IF(AK78=0,"",IF(X75="=",Y75,""))</f>
        <v/>
      </c>
    </row>
    <row r="79" spans="2:45" x14ac:dyDescent="0.25">
      <c r="B79" s="106"/>
      <c r="D79" s="386" t="s">
        <v>49</v>
      </c>
      <c r="E79" s="386"/>
      <c r="F79" s="126"/>
      <c r="G79" s="126">
        <v>0.95</v>
      </c>
      <c r="H79" s="126">
        <v>0.95099999999999996</v>
      </c>
      <c r="I79" s="126">
        <v>0.98</v>
      </c>
      <c r="J79" s="126">
        <v>0.98099999999999998</v>
      </c>
      <c r="K79" s="126">
        <v>0.999</v>
      </c>
      <c r="L79" s="126">
        <v>1</v>
      </c>
      <c r="M79" s="126"/>
      <c r="O79" s="106"/>
      <c r="R79" s="111"/>
      <c r="S79" s="111">
        <f>+IFERROR(VLOOKUP(S80,$AE$75:$AK$86,7,FALSE),"")</f>
        <v>1</v>
      </c>
      <c r="U79" s="111">
        <f>+IFERROR(VLOOKUP(U80,$AE$75:$AK$86,7,FALSE),"")</f>
        <v>1</v>
      </c>
      <c r="W79" s="111">
        <f>+IFERROR(VLOOKUP(W80,$AE$75:$AK$86,7,FALSE),"")</f>
        <v>1</v>
      </c>
      <c r="Y79" s="111">
        <f>+IFERROR(VLOOKUP(Y80,$AE$75:$AK$86,7,FALSE),"")</f>
        <v>1</v>
      </c>
      <c r="AA79" s="111">
        <f>+IFERROR(VLOOKUP(AA80,$AE$75:$AK$86,7,FALSE),"")</f>
        <v>1</v>
      </c>
      <c r="AC79" s="111">
        <f>+IFERROR(VLOOKUP(AC80,$AE$75:$AK$86,7,FALSE),"")</f>
        <v>1</v>
      </c>
      <c r="AE79" s="105" t="s">
        <v>49</v>
      </c>
      <c r="AF79" s="105">
        <v>5</v>
      </c>
      <c r="AG79" s="105">
        <f t="shared" si="0"/>
        <v>1</v>
      </c>
      <c r="AH79" s="105">
        <f>+IF(AG79=0,0,IF(AG79=1,(SUM($AG$75:AG79)-1),1))</f>
        <v>2</v>
      </c>
      <c r="AI79" s="105">
        <f t="shared" si="1"/>
        <v>1</v>
      </c>
      <c r="AJ79" s="105">
        <f t="shared" si="2"/>
        <v>0</v>
      </c>
      <c r="AK79" s="105">
        <f t="shared" si="3"/>
        <v>1</v>
      </c>
      <c r="AL79" s="128" t="str">
        <f>+""</f>
        <v/>
      </c>
      <c r="AM79" s="128">
        <f>+IF(AK79=0,"",IF(Z78="&gt;",AA78+0.001,IF(Z78="&lt;",AA78-0.001,AA78)))</f>
        <v>0</v>
      </c>
      <c r="AN79" s="128">
        <f>+IF(Z77="NA","",IF(AK79=0,"",IF(Z78="≥",AA78-0.001,IF(Z78="≤",AA78+0.001,AA78))))</f>
        <v>0</v>
      </c>
      <c r="AO79" s="128">
        <f>IF(Z77="NA","",IF(AK79=0,"",IF(Z77="&gt;",AA77+0.001,IF(Z77="&lt;",AA77-0.001,AA77))))</f>
        <v>0</v>
      </c>
      <c r="AP79" s="128">
        <f>+IF(Z76="NA","",IF(AK79=0,"",IF(Z77="≥",AA77-0.001,IF(Z77="≤",AA77+0.001,AA77))))</f>
        <v>0</v>
      </c>
      <c r="AQ79" s="128">
        <f>+IF(Z76="NA","",IF(AK79=0,"",IF(Z76="&gt;",AA76+0.001,IF(Z76="&lt;",AA76-0.001,AA76))))</f>
        <v>0</v>
      </c>
      <c r="AR79" s="128" t="str">
        <f>IF(AK79=0,"",IF(Z76="≥",AA75-0.001,IF(Z76="≤",AA75+0.001,"")))</f>
        <v/>
      </c>
      <c r="AS79" s="128" t="str">
        <f>+IF(AK79=0,"",IF(Z75="=",AA75,""))</f>
        <v/>
      </c>
    </row>
    <row r="80" spans="2:45" x14ac:dyDescent="0.25">
      <c r="B80" s="106"/>
      <c r="D80" s="386" t="s">
        <v>50</v>
      </c>
      <c r="E80" s="386"/>
      <c r="F80" s="126"/>
      <c r="G80" s="126">
        <v>0.95</v>
      </c>
      <c r="H80" s="126">
        <v>0.95099999999999996</v>
      </c>
      <c r="I80" s="126">
        <v>0.98</v>
      </c>
      <c r="J80" s="126">
        <v>0.98099999999999998</v>
      </c>
      <c r="K80" s="126">
        <v>0.999</v>
      </c>
      <c r="L80" s="126">
        <v>1</v>
      </c>
      <c r="M80" s="126"/>
      <c r="O80" s="106"/>
      <c r="R80" s="111"/>
      <c r="S80" s="124" t="s">
        <v>53</v>
      </c>
      <c r="T80" s="124"/>
      <c r="U80" s="124" t="s">
        <v>54</v>
      </c>
      <c r="V80" s="124"/>
      <c r="W80" s="124" t="s">
        <v>55</v>
      </c>
      <c r="X80" s="124"/>
      <c r="Y80" s="124" t="s">
        <v>56</v>
      </c>
      <c r="Z80" s="124"/>
      <c r="AA80" s="124" t="s">
        <v>57</v>
      </c>
      <c r="AB80" s="124"/>
      <c r="AC80" s="124" t="s">
        <v>58</v>
      </c>
      <c r="AE80" s="105" t="s">
        <v>50</v>
      </c>
      <c r="AF80" s="105">
        <v>6</v>
      </c>
      <c r="AG80" s="105">
        <f t="shared" si="0"/>
        <v>1</v>
      </c>
      <c r="AH80" s="105">
        <f>+IF(AG80=0,0,IF(AG80=1,(SUM($AG$75:AG80)-1),1))</f>
        <v>3</v>
      </c>
      <c r="AI80" s="105">
        <f t="shared" si="1"/>
        <v>1</v>
      </c>
      <c r="AJ80" s="105">
        <f t="shared" si="2"/>
        <v>0</v>
      </c>
      <c r="AK80" s="105">
        <f t="shared" si="3"/>
        <v>1</v>
      </c>
      <c r="AL80" s="128" t="str">
        <f>+""</f>
        <v/>
      </c>
      <c r="AM80" s="128">
        <f>+IF(AK80=0,"",IF(AB78="&gt;",AC78+0.001,IF(AB78="&lt;",AC78-0.001,AC78)))</f>
        <v>0</v>
      </c>
      <c r="AN80" s="128">
        <f>+IF(AB77="NA","",IF(AK80=0,"",IF(AB78="≥",AC78-0.001,IF(AB78="≤",AC78+0.001,AC78))))</f>
        <v>0</v>
      </c>
      <c r="AO80" s="128">
        <f>IF(AB77="NA","",IF(AK80=0,"",IF(AB77="&gt;",AC77+0.001,IF(AB77="&lt;",AC77-0.001,AC77))))</f>
        <v>0</v>
      </c>
      <c r="AP80" s="128">
        <f>+IF(AB76="NA","",IF(AK80=0,"",IF(AB77="≥",AC77-0.001,IF(AB77="≤",AC77+0.001,AC77))))</f>
        <v>0</v>
      </c>
      <c r="AQ80" s="128">
        <f>+IF(AB76="NA","",IF(AK80=0,"",IF(AB76="&gt;",AC76+0.001,IF(AB76="&lt;",AC76-0.001,AC76))))</f>
        <v>0</v>
      </c>
      <c r="AR80" s="128" t="str">
        <f>IF(AK80=0,"",IF(AB76="≥",AC75-0.001,IF(AB76="≤",AC75+0.001,"")))</f>
        <v/>
      </c>
      <c r="AS80" s="128" t="str">
        <f>+IF(AK80=0,"",IF(AB75="=",AC75,""))</f>
        <v/>
      </c>
    </row>
    <row r="81" spans="2:45" x14ac:dyDescent="0.25">
      <c r="B81" s="106"/>
      <c r="D81" s="386" t="s">
        <v>53</v>
      </c>
      <c r="E81" s="386"/>
      <c r="F81" s="126"/>
      <c r="G81" s="126">
        <v>0.95</v>
      </c>
      <c r="H81" s="126">
        <v>0.95099999999999996</v>
      </c>
      <c r="I81" s="126">
        <v>0.98</v>
      </c>
      <c r="J81" s="126">
        <v>0.98099999999999998</v>
      </c>
      <c r="K81" s="126">
        <v>0.999</v>
      </c>
      <c r="L81" s="126">
        <v>1</v>
      </c>
      <c r="M81" s="126"/>
      <c r="O81" s="106"/>
      <c r="Q81" s="122" t="s">
        <v>1980</v>
      </c>
      <c r="R81" s="111"/>
      <c r="S81" s="127"/>
      <c r="T81" s="111"/>
      <c r="U81" s="127"/>
      <c r="V81" s="111"/>
      <c r="W81" s="127"/>
      <c r="X81" s="111"/>
      <c r="Y81" s="127"/>
      <c r="Z81" s="111"/>
      <c r="AA81" s="127"/>
      <c r="AB81" s="111"/>
      <c r="AC81" s="127"/>
      <c r="AE81" s="105" t="s">
        <v>53</v>
      </c>
      <c r="AF81" s="105">
        <v>7</v>
      </c>
      <c r="AG81" s="105">
        <f t="shared" si="0"/>
        <v>1</v>
      </c>
      <c r="AH81" s="105">
        <f>+IF(AG81=0,0,IF(AG81=1,(SUM($AG$75:AG81)-1),1))</f>
        <v>4</v>
      </c>
      <c r="AI81" s="105">
        <f t="shared" si="1"/>
        <v>1</v>
      </c>
      <c r="AJ81" s="105">
        <f t="shared" si="2"/>
        <v>0</v>
      </c>
      <c r="AK81" s="105">
        <f t="shared" si="3"/>
        <v>1</v>
      </c>
      <c r="AL81" s="128" t="str">
        <f>+""</f>
        <v/>
      </c>
      <c r="AM81" s="128">
        <f>+IF(AK81=0,"",IF(R84="&gt;",S84+0.001,IF(R84="&lt;",S84-0.001,S84)))</f>
        <v>0</v>
      </c>
      <c r="AN81" s="128">
        <f>+IF(R83="NA","",IF(AK81=0,"",IF(R84="≥",S84-0.001,IF(R84="≤",S84+0.001,S84))))</f>
        <v>0</v>
      </c>
      <c r="AO81" s="128">
        <f>IF(R83="NA","",IF(AK81=0,"",IF(R83="&gt;",S83+0.001,IF(R83="&lt;",S83-0.001,S83))))</f>
        <v>0</v>
      </c>
      <c r="AP81" s="128">
        <f>+IF(R82="NA","",IF(AK81=0,"",IF(R83="≥",S83-0.001,IF(R83="≤",S83+0.001,S83))))</f>
        <v>0</v>
      </c>
      <c r="AQ81" s="128">
        <f>+IF(R82="NA","",IF(AK81=0,"",IF(R82="&gt;",S82+0.001,IF(R82="&lt;",S82-0.001,S82))))</f>
        <v>0</v>
      </c>
      <c r="AR81" s="128" t="str">
        <f>IF(AK81=0,"",IF(R82="≥",S81-0.001,IF(R82="≤",S81+0.001,"")))</f>
        <v/>
      </c>
      <c r="AS81" s="128" t="str">
        <f>+IF(AK81=0,"",IF(R81="=",S81,""))</f>
        <v/>
      </c>
    </row>
    <row r="82" spans="2:45" x14ac:dyDescent="0.25">
      <c r="B82" s="106"/>
      <c r="D82" s="386" t="s">
        <v>54</v>
      </c>
      <c r="E82" s="386"/>
      <c r="F82" s="126"/>
      <c r="G82" s="126">
        <v>0.95</v>
      </c>
      <c r="H82" s="126">
        <v>0.95099999999999996</v>
      </c>
      <c r="I82" s="126">
        <v>0.98</v>
      </c>
      <c r="J82" s="126">
        <v>0.98099999999999998</v>
      </c>
      <c r="K82" s="126">
        <v>0.999</v>
      </c>
      <c r="L82" s="126">
        <v>1</v>
      </c>
      <c r="M82" s="126"/>
      <c r="O82" s="106"/>
      <c r="Q82" s="122" t="s">
        <v>1981</v>
      </c>
      <c r="R82" s="111"/>
      <c r="S82" s="127"/>
      <c r="T82" s="111"/>
      <c r="U82" s="127"/>
      <c r="V82" s="111"/>
      <c r="W82" s="127"/>
      <c r="X82" s="111"/>
      <c r="Y82" s="127"/>
      <c r="Z82" s="111"/>
      <c r="AA82" s="127"/>
      <c r="AB82" s="111"/>
      <c r="AC82" s="127"/>
      <c r="AE82" s="105" t="s">
        <v>54</v>
      </c>
      <c r="AF82" s="105">
        <v>8</v>
      </c>
      <c r="AG82" s="105">
        <f t="shared" si="0"/>
        <v>1</v>
      </c>
      <c r="AH82" s="105">
        <f>+IF(AG82=0,0,IF(AG82=1,(SUM($AG$75:AG82)-1),1))</f>
        <v>5</v>
      </c>
      <c r="AI82" s="105">
        <f t="shared" si="1"/>
        <v>1</v>
      </c>
      <c r="AJ82" s="105">
        <f t="shared" si="2"/>
        <v>0</v>
      </c>
      <c r="AK82" s="105">
        <f t="shared" si="3"/>
        <v>1</v>
      </c>
      <c r="AL82" s="128" t="str">
        <f>+""</f>
        <v/>
      </c>
      <c r="AM82" s="128">
        <f>+IF(AK82=0,"",IF(T84="&gt;",U84+0.001,IF(T84="&lt;",U84-0.001,U84)))</f>
        <v>0</v>
      </c>
      <c r="AN82" s="128">
        <f>+IF(T83="NA","",IF(AK82=0,"",IF(T84="≥",U84-0.001,IF(T84="≤",U84+0.001,U84))))</f>
        <v>0</v>
      </c>
      <c r="AO82" s="128">
        <f>IF(T83="NA","",IF(AK82=0,"",IF(T83="&gt;",U83+0.001,IF(T83="&lt;",U83-0.001,U83))))</f>
        <v>0</v>
      </c>
      <c r="AP82" s="128">
        <f>+IF(T82="NA","",IF(AK82=0,"",IF(T83="≥",U83-0.001,IF(T83="≤",U83+0.001,U83))))</f>
        <v>0</v>
      </c>
      <c r="AQ82" s="128">
        <f>+IF(T82="NA","",IF(AK82=0,"",IF(T82="&gt;",U82+0.001,IF(T82="&lt;",U82-0.001,U82))))</f>
        <v>0</v>
      </c>
      <c r="AR82" s="128" t="str">
        <f>IF(AK82=0,"",IF(T82="≥",U81-0.001,IF(T82="≤",U81+0.001,"")))</f>
        <v/>
      </c>
      <c r="AS82" s="128" t="str">
        <f>+IF(AK82=0,"",IF(T81="=",U81,""))</f>
        <v/>
      </c>
    </row>
    <row r="83" spans="2:45" x14ac:dyDescent="0.25">
      <c r="B83" s="106"/>
      <c r="D83" s="386" t="s">
        <v>55</v>
      </c>
      <c r="E83" s="386"/>
      <c r="F83" s="126"/>
      <c r="G83" s="126">
        <v>0.95</v>
      </c>
      <c r="H83" s="126">
        <v>0.95099999999999996</v>
      </c>
      <c r="I83" s="126">
        <v>0.98</v>
      </c>
      <c r="J83" s="126">
        <v>0.98099999999999998</v>
      </c>
      <c r="K83" s="126">
        <v>0.999</v>
      </c>
      <c r="L83" s="126">
        <v>1</v>
      </c>
      <c r="M83" s="126"/>
      <c r="O83" s="106"/>
      <c r="Q83" s="122" t="s">
        <v>1982</v>
      </c>
      <c r="R83" s="111"/>
      <c r="S83" s="127"/>
      <c r="T83" s="111"/>
      <c r="U83" s="127"/>
      <c r="V83" s="111"/>
      <c r="W83" s="127"/>
      <c r="X83" s="111"/>
      <c r="Y83" s="127"/>
      <c r="Z83" s="111"/>
      <c r="AA83" s="127"/>
      <c r="AB83" s="111"/>
      <c r="AC83" s="127"/>
      <c r="AE83" s="105" t="s">
        <v>55</v>
      </c>
      <c r="AF83" s="105">
        <v>9</v>
      </c>
      <c r="AG83" s="105">
        <f t="shared" si="0"/>
        <v>1</v>
      </c>
      <c r="AH83" s="105">
        <f>+IF(AG83=0,0,IF(AG83=1,(SUM($AG$75:AG83)-1),1))</f>
        <v>6</v>
      </c>
      <c r="AI83" s="105">
        <f t="shared" si="1"/>
        <v>1</v>
      </c>
      <c r="AJ83" s="105">
        <f t="shared" si="2"/>
        <v>0</v>
      </c>
      <c r="AK83" s="105">
        <f t="shared" si="3"/>
        <v>1</v>
      </c>
      <c r="AL83" s="128" t="str">
        <f>+""</f>
        <v/>
      </c>
      <c r="AM83" s="128">
        <f>+IF(AK83=0,"",IF(V84="&gt;",W84+0.001,IF(V84="&lt;",W84-0.001,W84)))</f>
        <v>0</v>
      </c>
      <c r="AN83" s="128">
        <f>+IF(V83="NA","",IF(AK83=0,"",IF(V84="≥",W84-0.001,IF(V84="≤",W84+0.001,W84))))</f>
        <v>0</v>
      </c>
      <c r="AO83" s="128">
        <f>IF(V83="NA","",IF(AK83=0,"",IF(V83="&gt;",W83+0.001,IF(V83="&lt;",W83-0.001,W83))))</f>
        <v>0</v>
      </c>
      <c r="AP83" s="128">
        <f>+IF(V82="NA","",IF(AK83=0,"",IF(V83="≥",W83-0.001,IF(V83="≤",W83+0.001,W83))))</f>
        <v>0</v>
      </c>
      <c r="AQ83" s="128">
        <f>+IF(V82="NA","",IF(AK83=0,"",IF(V82="&gt;",W82+0.001,IF(V82="&lt;",W82-0.001,W82))))</f>
        <v>0</v>
      </c>
      <c r="AR83" s="128" t="str">
        <f>IF(AK83=0,"",IF(V82="≥",W81-0.001,IF(V82="≤",W81+0.001,"")))</f>
        <v/>
      </c>
      <c r="AS83" s="128" t="str">
        <f>+IF(AK83=0,"",IF(V81="=",W81,""))</f>
        <v/>
      </c>
    </row>
    <row r="84" spans="2:45" x14ac:dyDescent="0.25">
      <c r="B84" s="106"/>
      <c r="D84" s="386" t="s">
        <v>56</v>
      </c>
      <c r="E84" s="386"/>
      <c r="F84" s="126"/>
      <c r="G84" s="126">
        <v>0.95</v>
      </c>
      <c r="H84" s="126">
        <v>0.95099999999999996</v>
      </c>
      <c r="I84" s="126">
        <v>0.98</v>
      </c>
      <c r="J84" s="126">
        <v>0.98099999999999998</v>
      </c>
      <c r="K84" s="126">
        <v>0.999</v>
      </c>
      <c r="L84" s="126">
        <v>1</v>
      </c>
      <c r="M84" s="126"/>
      <c r="O84" s="106"/>
      <c r="Q84" s="122" t="s">
        <v>1983</v>
      </c>
      <c r="R84" s="111"/>
      <c r="S84" s="127"/>
      <c r="T84" s="111"/>
      <c r="U84" s="127"/>
      <c r="V84" s="111"/>
      <c r="W84" s="127"/>
      <c r="X84" s="111"/>
      <c r="Y84" s="127"/>
      <c r="Z84" s="111"/>
      <c r="AA84" s="127"/>
      <c r="AB84" s="111"/>
      <c r="AC84" s="127"/>
      <c r="AE84" s="105" t="s">
        <v>56</v>
      </c>
      <c r="AF84" s="105">
        <v>10</v>
      </c>
      <c r="AG84" s="105">
        <f t="shared" si="0"/>
        <v>1</v>
      </c>
      <c r="AH84" s="105">
        <f>+IF(AG84=0,0,IF(AG84=1,(SUM($AG$75:AG84)-1),1))</f>
        <v>7</v>
      </c>
      <c r="AI84" s="105">
        <f t="shared" si="1"/>
        <v>1</v>
      </c>
      <c r="AJ84" s="105">
        <f t="shared" si="2"/>
        <v>0</v>
      </c>
      <c r="AK84" s="105">
        <f t="shared" si="3"/>
        <v>1</v>
      </c>
      <c r="AL84" s="128" t="str">
        <f>+""</f>
        <v/>
      </c>
      <c r="AM84" s="128">
        <f>+IF(AK84=0,"",IF(X84="&gt;",Y84+0.001,IF(X84="&lt;",Y84-0.001,Y84)))</f>
        <v>0</v>
      </c>
      <c r="AN84" s="128">
        <f>+IF(X83="NA","",IF(AK84=0,"",IF(X84="≥",Y84-0.001,IF(X84="≤",Y84+0.001,Y84))))</f>
        <v>0</v>
      </c>
      <c r="AO84" s="128">
        <f>IF(X83="NA","",IF(AK84=0,"",IF(X83="&gt;",Y83+0.001,IF(X83="&lt;",Y83-0.001,Y83))))</f>
        <v>0</v>
      </c>
      <c r="AP84" s="128">
        <f>+IF(X82="NA","",IF(AK84=0,"",IF(X83="≥",Y83-0.001,IF(X83="≤",Y83+0.001,Y83))))</f>
        <v>0</v>
      </c>
      <c r="AQ84" s="128">
        <f>+IF(X82="NA","",IF(AK84=0,"",IF(X82="&gt;",Y82+0.001,IF(X82="&lt;",Y82-0.001,Y82))))</f>
        <v>0</v>
      </c>
      <c r="AR84" s="128" t="str">
        <f>IF(AK84=0,"",IF(X82="≥",Y81-0.001,IF(X82="≤",Y81+0.001,"")))</f>
        <v/>
      </c>
      <c r="AS84" s="128" t="str">
        <f>+IF(AK84=0,"",IF(X81="=",Y81,""))</f>
        <v/>
      </c>
    </row>
    <row r="85" spans="2:45" x14ac:dyDescent="0.25">
      <c r="B85" s="106"/>
      <c r="D85" s="386" t="s">
        <v>57</v>
      </c>
      <c r="E85" s="386"/>
      <c r="F85" s="126"/>
      <c r="G85" s="126">
        <v>0.95</v>
      </c>
      <c r="H85" s="126">
        <v>0.95099999999999996</v>
      </c>
      <c r="I85" s="126">
        <v>0.98</v>
      </c>
      <c r="J85" s="126">
        <v>0.98099999999999998</v>
      </c>
      <c r="K85" s="126">
        <v>0.999</v>
      </c>
      <c r="L85" s="126">
        <v>1</v>
      </c>
      <c r="M85" s="126"/>
      <c r="O85" s="106"/>
      <c r="AE85" s="105" t="s">
        <v>57</v>
      </c>
      <c r="AF85" s="105">
        <v>11</v>
      </c>
      <c r="AG85" s="105">
        <f t="shared" si="0"/>
        <v>1</v>
      </c>
      <c r="AH85" s="105">
        <f>+IF(AG85=0,0,IF(AG85=1,(SUM($AG$75:AG85)-1),1))</f>
        <v>8</v>
      </c>
      <c r="AI85" s="105">
        <f t="shared" si="1"/>
        <v>1</v>
      </c>
      <c r="AJ85" s="105">
        <f t="shared" si="2"/>
        <v>0</v>
      </c>
      <c r="AK85" s="105">
        <f t="shared" si="3"/>
        <v>1</v>
      </c>
      <c r="AL85" s="128" t="str">
        <f>+""</f>
        <v/>
      </c>
      <c r="AM85" s="128">
        <f>+IF(AK85=0,"",IF(Z84="&gt;",AA84+0.001,IF(Z84="&lt;",AA84-0.001,AA84)))</f>
        <v>0</v>
      </c>
      <c r="AN85" s="128">
        <f>+IF(Z83="NA","",IF(AK85=0,"",IF(Z84="≥",AA84-0.001,IF(Z84="≤",AA84+0.001,AA84))))</f>
        <v>0</v>
      </c>
      <c r="AO85" s="128">
        <f>IF(Z83="NA","",IF(AK85=0,"",IF(Z83="&gt;",AA83+0.001,IF(Z83="&lt;",AA83-0.001,AA83))))</f>
        <v>0</v>
      </c>
      <c r="AP85" s="128">
        <f>+IF(Z82="NA","",IF(AK85=0,"",IF(Z83="≥",AA83-0.001,IF(Z83="≤",AA83+0.001,AA83))))</f>
        <v>0</v>
      </c>
      <c r="AQ85" s="128">
        <f>+IF(Z82="NA","",IF(AK85=0,"",IF(Z82="&gt;",AA82+0.001,IF(Z82="&lt;",AA82-0.001,AA82))))</f>
        <v>0</v>
      </c>
      <c r="AR85" s="128" t="str">
        <f>IF(AK85=0,"",IF(Z82="≥",AA81-0.001,IF(Z82="≤",AA81+0.001,"")))</f>
        <v/>
      </c>
      <c r="AS85" s="128" t="str">
        <f>+IF(AK85=0,"",IF(Z81="=",AA81,""))</f>
        <v/>
      </c>
    </row>
    <row r="86" spans="2:45" x14ac:dyDescent="0.25">
      <c r="B86" s="106"/>
      <c r="D86" s="386" t="s">
        <v>58</v>
      </c>
      <c r="E86" s="386"/>
      <c r="F86" s="126"/>
      <c r="G86" s="126">
        <v>0.95</v>
      </c>
      <c r="H86" s="126">
        <v>0.95099999999999996</v>
      </c>
      <c r="I86" s="126">
        <v>0.98</v>
      </c>
      <c r="J86" s="126">
        <v>0.98099999999999998</v>
      </c>
      <c r="K86" s="126">
        <v>0.999</v>
      </c>
      <c r="L86" s="126">
        <v>1</v>
      </c>
      <c r="M86" s="126"/>
      <c r="O86" s="106"/>
      <c r="AE86" s="105" t="s">
        <v>58</v>
      </c>
      <c r="AF86" s="129">
        <v>12</v>
      </c>
      <c r="AG86" s="105">
        <f t="shared" si="0"/>
        <v>1</v>
      </c>
      <c r="AH86" s="105">
        <f>+IF(AG86=0,0,IF(AG86=1,(SUM($AG$75:AG86)-1),1))</f>
        <v>9</v>
      </c>
      <c r="AI86" s="105">
        <f t="shared" si="1"/>
        <v>1</v>
      </c>
      <c r="AJ86" s="105">
        <f t="shared" si="2"/>
        <v>0</v>
      </c>
      <c r="AK86" s="105">
        <f t="shared" si="3"/>
        <v>1</v>
      </c>
      <c r="AL86" s="128" t="str">
        <f>+""</f>
        <v/>
      </c>
      <c r="AM86" s="128">
        <f>+IF(AK86=0,"",IF(AB84="&gt;",AC84+0.001,IF(AB84="&lt;",AC84-0.001,AC84)))</f>
        <v>0</v>
      </c>
      <c r="AN86" s="128">
        <f>+IF(AB83="NA","",IF(AK86=0,"",IF(AB84="≥",AC84-0.001,IF(AB84="≤",AC84+0.001,AC84))))</f>
        <v>0</v>
      </c>
      <c r="AO86" s="128">
        <f>IF(AB83="NA","",IF(AK86=0,"",IF(AB83="&gt;",AC83+0.001,IF(AB83="&lt;",AC83-0.001,AC83))))</f>
        <v>0</v>
      </c>
      <c r="AP86" s="128">
        <f>+IF(AB82="NA","",IF(AK86=0,"",IF(AB83="≥",AC83-0.001,IF(AB83="≤",AC83+0.001,AC83))))</f>
        <v>0</v>
      </c>
      <c r="AQ86" s="128">
        <f>+IF(AB82="NA","",IF(AK86=0,"",IF(AB82="&gt;",AC82+0.001,IF(AB82="&lt;",AC82-0.001,AC82))))</f>
        <v>0</v>
      </c>
      <c r="AR86" s="128" t="str">
        <f>IF(AK86=0,"",IF(AB82="≥",AC81-0.001,IF(AB82="≤",AC81+0.001,"")))</f>
        <v/>
      </c>
      <c r="AS86" s="128" t="str">
        <f>+IF(AK86=0,"",IF(AB81="=",AC81,""))</f>
        <v/>
      </c>
    </row>
    <row r="87" spans="2:45" ht="3.75" customHeight="1" x14ac:dyDescent="0.25">
      <c r="B87" s="106"/>
      <c r="O87" s="106"/>
      <c r="AR87" s="128" t="str">
        <f>IF(AK87=0,"",IF(S83="Creciente",IF(R88="≥",S88-0.001,""),IF(R88="≤",S88+0.001,"")))</f>
        <v/>
      </c>
    </row>
    <row r="88" spans="2:45" ht="66" customHeight="1" x14ac:dyDescent="0.25">
      <c r="B88" s="106"/>
      <c r="D88" s="378" t="s">
        <v>59</v>
      </c>
      <c r="E88" s="379"/>
      <c r="F88" s="380" t="s">
        <v>2074</v>
      </c>
      <c r="G88" s="381"/>
      <c r="H88" s="381"/>
      <c r="I88" s="381"/>
      <c r="J88" s="381"/>
      <c r="K88" s="381"/>
      <c r="L88" s="381"/>
      <c r="M88" s="382"/>
      <c r="O88" s="106"/>
    </row>
    <row r="89" spans="2:45" ht="3.95" customHeight="1" x14ac:dyDescent="0.25">
      <c r="B89" s="106"/>
      <c r="O89" s="106"/>
    </row>
    <row r="90" spans="2:45" ht="3" customHeight="1" x14ac:dyDescent="0.25">
      <c r="B90" s="106"/>
      <c r="C90" s="106"/>
      <c r="D90" s="106"/>
      <c r="E90" s="106"/>
      <c r="F90" s="106"/>
      <c r="G90" s="106"/>
      <c r="H90" s="106"/>
      <c r="I90" s="106"/>
      <c r="J90" s="106"/>
      <c r="K90" s="106"/>
      <c r="L90" s="106"/>
      <c r="M90" s="106"/>
      <c r="N90" s="106"/>
      <c r="O90" s="106"/>
    </row>
    <row r="91" spans="2:45" ht="3" customHeight="1" x14ac:dyDescent="0.25"/>
    <row r="92" spans="2:45" ht="3" customHeight="1" x14ac:dyDescent="0.25">
      <c r="B92" s="106"/>
      <c r="C92" s="106"/>
      <c r="D92" s="106"/>
      <c r="E92" s="106"/>
      <c r="F92" s="106"/>
      <c r="G92" s="106"/>
      <c r="H92" s="106"/>
      <c r="I92" s="106"/>
      <c r="J92" s="106"/>
      <c r="K92" s="106"/>
      <c r="L92" s="106"/>
      <c r="M92" s="106"/>
      <c r="N92" s="106"/>
      <c r="O92" s="106"/>
    </row>
    <row r="93" spans="2:45" ht="3.95" customHeight="1" x14ac:dyDescent="0.25">
      <c r="B93" s="106"/>
      <c r="O93" s="106"/>
    </row>
    <row r="94" spans="2:45" x14ac:dyDescent="0.25">
      <c r="B94" s="106"/>
      <c r="D94" s="112" t="s">
        <v>60</v>
      </c>
      <c r="O94" s="106"/>
    </row>
    <row r="95" spans="2:45" ht="3.95" customHeight="1" x14ac:dyDescent="0.25">
      <c r="B95" s="106"/>
      <c r="O95" s="106"/>
    </row>
    <row r="96" spans="2:45" ht="20.100000000000001" customHeight="1" x14ac:dyDescent="0.25">
      <c r="B96" s="106"/>
      <c r="D96" s="387" t="s">
        <v>61</v>
      </c>
      <c r="E96" s="387"/>
      <c r="O96" s="106"/>
    </row>
    <row r="97" spans="2:15" ht="30" customHeight="1" x14ac:dyDescent="0.25">
      <c r="B97" s="106"/>
      <c r="D97" s="369" t="s">
        <v>35</v>
      </c>
      <c r="E97" s="369"/>
      <c r="F97" s="370" t="str">
        <f>+IFERROR(VLOOKUP($S$12,[1]Hoja1!$B$5:$AT$190,29,FALSE),"")</f>
        <v>Reportes de Ejecucion Presupuestal SIIF</v>
      </c>
      <c r="G97" s="370"/>
      <c r="H97" s="370"/>
      <c r="I97" s="370"/>
      <c r="J97" s="370"/>
      <c r="K97" s="370"/>
      <c r="L97" s="370"/>
      <c r="M97" s="370"/>
      <c r="O97" s="106"/>
    </row>
    <row r="98" spans="2:15" ht="30" customHeight="1" x14ac:dyDescent="0.25">
      <c r="B98" s="106"/>
      <c r="D98" s="369" t="s">
        <v>36</v>
      </c>
      <c r="E98" s="369"/>
      <c r="F98" s="370" t="s">
        <v>1984</v>
      </c>
      <c r="G98" s="370"/>
      <c r="H98" s="370"/>
      <c r="I98" s="370"/>
      <c r="J98" s="370"/>
      <c r="K98" s="370"/>
      <c r="L98" s="370"/>
      <c r="M98" s="370"/>
      <c r="O98" s="106"/>
    </row>
    <row r="99" spans="2:15" ht="3.95" customHeight="1" x14ac:dyDescent="0.25">
      <c r="B99" s="106"/>
      <c r="O99" s="106"/>
    </row>
    <row r="100" spans="2:15" ht="58.5" customHeight="1" x14ac:dyDescent="0.25">
      <c r="B100" s="106"/>
      <c r="D100" s="378" t="s">
        <v>62</v>
      </c>
      <c r="E100" s="379"/>
      <c r="F100" s="383"/>
      <c r="G100" s="384"/>
      <c r="H100" s="384"/>
      <c r="I100" s="384"/>
      <c r="J100" s="384"/>
      <c r="K100" s="384"/>
      <c r="L100" s="384"/>
      <c r="M100" s="385"/>
      <c r="O100" s="106"/>
    </row>
    <row r="101" spans="2:15" ht="3.95" customHeight="1" x14ac:dyDescent="0.25">
      <c r="B101" s="106"/>
      <c r="O101" s="106"/>
    </row>
    <row r="102" spans="2:15" ht="19.5" customHeight="1" x14ac:dyDescent="0.25">
      <c r="B102" s="106"/>
      <c r="D102" s="371" t="s">
        <v>64</v>
      </c>
      <c r="E102" s="372"/>
      <c r="F102" s="130" t="s">
        <v>65</v>
      </c>
      <c r="G102" s="107" t="s">
        <v>2</v>
      </c>
      <c r="K102" s="131"/>
      <c r="O102" s="106"/>
    </row>
    <row r="103" spans="2:15" ht="19.5" customHeight="1" x14ac:dyDescent="0.25">
      <c r="B103" s="106"/>
      <c r="D103" s="373"/>
      <c r="E103" s="374"/>
      <c r="F103" s="130" t="s">
        <v>66</v>
      </c>
      <c r="G103" s="132"/>
      <c r="K103" s="133"/>
      <c r="O103" s="106"/>
    </row>
    <row r="104" spans="2:15" ht="27.75" customHeight="1" x14ac:dyDescent="0.25">
      <c r="B104" s="106"/>
      <c r="D104" s="373"/>
      <c r="E104" s="374"/>
      <c r="F104" s="130" t="s">
        <v>67</v>
      </c>
      <c r="G104" s="375"/>
      <c r="H104" s="376"/>
      <c r="I104" s="376"/>
      <c r="J104" s="376"/>
      <c r="K104" s="376"/>
      <c r="L104" s="376"/>
      <c r="M104" s="377"/>
      <c r="O104" s="106"/>
    </row>
    <row r="105" spans="2:15" ht="3.95" customHeight="1" x14ac:dyDescent="0.25">
      <c r="B105" s="106"/>
      <c r="O105" s="106"/>
    </row>
    <row r="106" spans="2:15" ht="229.5" customHeight="1" x14ac:dyDescent="0.25">
      <c r="B106" s="106"/>
      <c r="D106" s="378" t="s">
        <v>68</v>
      </c>
      <c r="E106" s="379"/>
      <c r="F106" s="380" t="s">
        <v>102</v>
      </c>
      <c r="G106" s="381"/>
      <c r="H106" s="381"/>
      <c r="I106" s="381"/>
      <c r="J106" s="381"/>
      <c r="K106" s="381"/>
      <c r="L106" s="381"/>
      <c r="M106" s="382"/>
      <c r="O106" s="106"/>
    </row>
    <row r="107" spans="2:15" ht="3.95" customHeight="1" x14ac:dyDescent="0.25">
      <c r="B107" s="106"/>
      <c r="O107" s="106"/>
    </row>
    <row r="108" spans="2:15" ht="17.25" customHeight="1" x14ac:dyDescent="0.25">
      <c r="B108" s="106"/>
      <c r="D108" s="371" t="s">
        <v>2040</v>
      </c>
      <c r="E108" s="372"/>
      <c r="F108" s="130" t="s">
        <v>2041</v>
      </c>
      <c r="G108" s="375" t="e">
        <f>+VLOOKUP(H10,tablero!$P$5:$R$201,3,FALSE)</f>
        <v>#N/A</v>
      </c>
      <c r="H108" s="376"/>
      <c r="I108" s="376"/>
      <c r="J108" s="376"/>
      <c r="K108" s="376"/>
      <c r="L108" s="376"/>
      <c r="M108" s="377"/>
      <c r="O108" s="106"/>
    </row>
    <row r="109" spans="2:15" ht="17.25" customHeight="1" x14ac:dyDescent="0.25">
      <c r="B109" s="106"/>
      <c r="D109" s="373"/>
      <c r="E109" s="374"/>
      <c r="F109" s="130" t="s">
        <v>2042</v>
      </c>
      <c r="G109" s="375" t="str">
        <f>+IF(M23="Si","Coordinador(a) Planeación y Sistemas","")</f>
        <v/>
      </c>
      <c r="H109" s="376"/>
      <c r="I109" s="376"/>
      <c r="J109" s="376"/>
      <c r="K109" s="376"/>
      <c r="L109" s="376"/>
      <c r="M109" s="377"/>
      <c r="O109" s="106"/>
    </row>
    <row r="110" spans="2:15" ht="17.25" customHeight="1" x14ac:dyDescent="0.25">
      <c r="B110" s="106"/>
      <c r="D110" s="373"/>
      <c r="E110" s="374"/>
      <c r="F110" s="130" t="s">
        <v>2043</v>
      </c>
      <c r="G110" s="375" t="str">
        <f>+IF(M24="Si","Coordinador(a) Centro Zonal","")</f>
        <v/>
      </c>
      <c r="H110" s="376"/>
      <c r="I110" s="376"/>
      <c r="J110" s="376"/>
      <c r="K110" s="376"/>
      <c r="L110" s="376"/>
      <c r="M110" s="377"/>
      <c r="O110" s="106"/>
    </row>
    <row r="111" spans="2:15" ht="3.95" customHeight="1" x14ac:dyDescent="0.25">
      <c r="B111" s="106"/>
      <c r="O111" s="106"/>
    </row>
    <row r="112" spans="2:15" ht="3" customHeight="1" x14ac:dyDescent="0.25">
      <c r="B112" s="106"/>
      <c r="C112" s="106"/>
      <c r="D112" s="106"/>
      <c r="E112" s="106"/>
      <c r="F112" s="106"/>
      <c r="G112" s="106"/>
      <c r="H112" s="106"/>
      <c r="I112" s="106"/>
      <c r="J112" s="106"/>
      <c r="K112" s="106"/>
      <c r="L112" s="106"/>
      <c r="M112" s="106"/>
      <c r="N112" s="106"/>
      <c r="O112" s="106"/>
    </row>
    <row r="113" spans="13:13" x14ac:dyDescent="0.25">
      <c r="M113" s="121" t="s">
        <v>70</v>
      </c>
    </row>
  </sheetData>
  <mergeCells count="85">
    <mergeCell ref="C3:N5"/>
    <mergeCell ref="D10:E10"/>
    <mergeCell ref="D12:E12"/>
    <mergeCell ref="F12:M12"/>
    <mergeCell ref="D14:E14"/>
    <mergeCell ref="F14:M14"/>
    <mergeCell ref="D22:E22"/>
    <mergeCell ref="G22:H22"/>
    <mergeCell ref="K22:L22"/>
    <mergeCell ref="D23:E23"/>
    <mergeCell ref="G23:H23"/>
    <mergeCell ref="K23:L23"/>
    <mergeCell ref="D24:E24"/>
    <mergeCell ref="G24:H24"/>
    <mergeCell ref="K24:L24"/>
    <mergeCell ref="D25:E25"/>
    <mergeCell ref="D29:E29"/>
    <mergeCell ref="F29:M29"/>
    <mergeCell ref="D30:E31"/>
    <mergeCell ref="G30:M30"/>
    <mergeCell ref="G31:M31"/>
    <mergeCell ref="D32:E33"/>
    <mergeCell ref="G32:M32"/>
    <mergeCell ref="G33:M33"/>
    <mergeCell ref="D34:E35"/>
    <mergeCell ref="G34:M34"/>
    <mergeCell ref="G35:M35"/>
    <mergeCell ref="D43:E43"/>
    <mergeCell ref="D44:E45"/>
    <mergeCell ref="G44:M44"/>
    <mergeCell ref="G45:M45"/>
    <mergeCell ref="D46:E47"/>
    <mergeCell ref="G46:M46"/>
    <mergeCell ref="G47:M47"/>
    <mergeCell ref="D48:E49"/>
    <mergeCell ref="G48:M48"/>
    <mergeCell ref="G49:M49"/>
    <mergeCell ref="D51:E51"/>
    <mergeCell ref="G51:H51"/>
    <mergeCell ref="D59:E59"/>
    <mergeCell ref="F59:M59"/>
    <mergeCell ref="D60:E60"/>
    <mergeCell ref="F60:M60"/>
    <mergeCell ref="D82:E82"/>
    <mergeCell ref="D83:E83"/>
    <mergeCell ref="D61:E61"/>
    <mergeCell ref="F61:M61"/>
    <mergeCell ref="D67:E67"/>
    <mergeCell ref="D71:E71"/>
    <mergeCell ref="D73:E74"/>
    <mergeCell ref="F73:G73"/>
    <mergeCell ref="H73:I73"/>
    <mergeCell ref="J73:K73"/>
    <mergeCell ref="L73:M73"/>
    <mergeCell ref="D77:E77"/>
    <mergeCell ref="D78:E78"/>
    <mergeCell ref="D79:E79"/>
    <mergeCell ref="D80:E80"/>
    <mergeCell ref="D81:E81"/>
    <mergeCell ref="AR73:AS73"/>
    <mergeCell ref="D75:E75"/>
    <mergeCell ref="D76:E76"/>
    <mergeCell ref="AL73:AM73"/>
    <mergeCell ref="AN73:AO73"/>
    <mergeCell ref="AP73:AQ73"/>
    <mergeCell ref="D84:E84"/>
    <mergeCell ref="D85:E85"/>
    <mergeCell ref="D86:E86"/>
    <mergeCell ref="D88:E88"/>
    <mergeCell ref="F97:M97"/>
    <mergeCell ref="D96:E96"/>
    <mergeCell ref="D97:E97"/>
    <mergeCell ref="F88:M88"/>
    <mergeCell ref="D98:E98"/>
    <mergeCell ref="F98:M98"/>
    <mergeCell ref="D108:E110"/>
    <mergeCell ref="G108:M108"/>
    <mergeCell ref="G109:M109"/>
    <mergeCell ref="G110:M110"/>
    <mergeCell ref="D102:E104"/>
    <mergeCell ref="G104:M104"/>
    <mergeCell ref="D106:E106"/>
    <mergeCell ref="F106:M106"/>
    <mergeCell ref="D100:E100"/>
    <mergeCell ref="F100:M100"/>
  </mergeCells>
  <conditionalFormatting sqref="F44:M49">
    <cfRule type="expression" dxfId="38" priority="37">
      <formula>+IF($F$43="no",1,0)</formula>
    </cfRule>
  </conditionalFormatting>
  <conditionalFormatting sqref="F47:M47">
    <cfRule type="expression" dxfId="37" priority="34">
      <formula>+IF($Q$47=0,1,0)</formula>
    </cfRule>
  </conditionalFormatting>
  <conditionalFormatting sqref="Y75:Y78">
    <cfRule type="expression" dxfId="36" priority="30">
      <formula>+IF(Y$73=0,1,0)</formula>
    </cfRule>
  </conditionalFormatting>
  <conditionalFormatting sqref="AA75:AA78">
    <cfRule type="expression" dxfId="35" priority="29">
      <formula>+IF(AA$73=0,1,0)</formula>
    </cfRule>
  </conditionalFormatting>
  <conditionalFormatting sqref="AC75:AC78">
    <cfRule type="expression" dxfId="34" priority="28">
      <formula>+IF(AC$73=0,1,0)</formula>
    </cfRule>
  </conditionalFormatting>
  <conditionalFormatting sqref="Y81:Y84">
    <cfRule type="expression" dxfId="33" priority="24">
      <formula>+IF(Y$79=0,1,0)</formula>
    </cfRule>
  </conditionalFormatting>
  <conditionalFormatting sqref="AA81:AA84">
    <cfRule type="expression" dxfId="32" priority="23">
      <formula>+IF(AA$79=0,1,0)</formula>
    </cfRule>
  </conditionalFormatting>
  <conditionalFormatting sqref="AC81:AC84">
    <cfRule type="expression" dxfId="31" priority="22">
      <formula>+IF(AC$79=0,1,0)</formula>
    </cfRule>
  </conditionalFormatting>
  <conditionalFormatting sqref="F73:G73">
    <cfRule type="cellIs" dxfId="30" priority="20" operator="equal">
      <formula>"optimo"</formula>
    </cfRule>
    <cfRule type="cellIs" dxfId="29" priority="21" operator="equal">
      <formula>"critico"</formula>
    </cfRule>
  </conditionalFormatting>
  <conditionalFormatting sqref="H73:I73">
    <cfRule type="cellIs" dxfId="28" priority="18" operator="equal">
      <formula>"Adecuado"</formula>
    </cfRule>
    <cfRule type="cellIs" dxfId="27" priority="19" operator="equal">
      <formula>"en riesgo"</formula>
    </cfRule>
  </conditionalFormatting>
  <conditionalFormatting sqref="J73:K73">
    <cfRule type="cellIs" dxfId="26" priority="16" operator="equal">
      <formula>"Adecuado"</formula>
    </cfRule>
    <cfRule type="cellIs" dxfId="25" priority="17" operator="equal">
      <formula>"en riesgo"</formula>
    </cfRule>
  </conditionalFormatting>
  <conditionalFormatting sqref="L73:M73">
    <cfRule type="cellIs" dxfId="24" priority="14" operator="equal">
      <formula>"optimo"</formula>
    </cfRule>
    <cfRule type="cellIs" dxfId="23" priority="15" operator="equal">
      <formula>"critico"</formula>
    </cfRule>
  </conditionalFormatting>
  <conditionalFormatting sqref="F75:M76">
    <cfRule type="expression" dxfId="22" priority="13">
      <formula>+IF($AK75=0,1)</formula>
    </cfRule>
  </conditionalFormatting>
  <conditionalFormatting sqref="F103:G104">
    <cfRule type="expression" dxfId="21" priority="12">
      <formula>+IF($G$102="No",1,0)</formula>
    </cfRule>
  </conditionalFormatting>
  <conditionalFormatting sqref="F51">
    <cfRule type="expression" dxfId="20" priority="11">
      <formula>+IF($F$43="no",1,0)</formula>
    </cfRule>
  </conditionalFormatting>
  <conditionalFormatting sqref="I51">
    <cfRule type="expression" dxfId="19" priority="10">
      <formula>+IF($F$51="no",1,0)</formula>
    </cfRule>
  </conditionalFormatting>
  <conditionalFormatting sqref="F32:M33">
    <cfRule type="expression" dxfId="18" priority="6">
      <formula>+IF($Q$30="NA",1,0)</formula>
    </cfRule>
  </conditionalFormatting>
  <conditionalFormatting sqref="F33:M33">
    <cfRule type="expression" dxfId="17" priority="5">
      <formula>+IF($Q$33=0,1,0)</formula>
    </cfRule>
  </conditionalFormatting>
  <conditionalFormatting sqref="F77:M86">
    <cfRule type="expression" dxfId="16" priority="1">
      <formula>+IF($AK77=0,1)</formula>
    </cfRule>
  </conditionalFormatting>
  <dataValidations count="13">
    <dataValidation type="list" allowBlank="1" showInputMessage="1" showErrorMessage="1" sqref="G102 F43 F51">
      <formula1>$S$4:$S$5</formula1>
    </dataValidation>
    <dataValidation type="list" allowBlank="1" showInputMessage="1" showErrorMessage="1" sqref="F29:M29">
      <formula1>objetivos</formula1>
    </dataValidation>
    <dataValidation type="list" allowBlank="1" showInputMessage="1" showErrorMessage="1" sqref="F35:G35">
      <formula1>macroprocesos</formula1>
    </dataValidation>
    <dataValidation type="list" allowBlank="1" showInputMessage="1" showErrorMessage="1" sqref="G33:M33">
      <formula1>INDIRECT($Q$30)</formula1>
    </dataValidation>
    <dataValidation type="list" allowBlank="1" showInputMessage="1" showErrorMessage="1" sqref="G31:M31">
      <formula1>macroproceso</formula1>
    </dataValidation>
    <dataValidation type="list" allowBlank="1" showInputMessage="1" showErrorMessage="1" sqref="G45:M45">
      <formula1>lineas</formula1>
    </dataValidation>
    <dataValidation type="list" allowBlank="1" showInputMessage="1" showErrorMessage="1" sqref="G47:M47">
      <formula1>INDIRECT($Q$45)</formula1>
    </dataValidation>
    <dataValidation type="list" allowBlank="1" showInputMessage="1" showErrorMessage="1" sqref="F24">
      <formula1>tendencia</formula1>
    </dataValidation>
    <dataValidation type="list" allowBlank="1" showInputMessage="1" showErrorMessage="1" sqref="I23">
      <formula1>medidas</formula1>
    </dataValidation>
    <dataValidation type="list" allowBlank="1" showInputMessage="1" showErrorMessage="1" sqref="I24">
      <formula1>ambito</formula1>
    </dataValidation>
    <dataValidation type="list" allowBlank="1" showInputMessage="1" showErrorMessage="1" sqref="F71">
      <formula1>$D$75:$D$86</formula1>
    </dataValidation>
    <dataValidation type="list" allowBlank="1" showInputMessage="1" showErrorMessage="1" sqref="G49:M49">
      <formula1>proyectos</formula1>
    </dataValidation>
    <dataValidation type="list" allowBlank="1" showInputMessage="1" showErrorMessage="1" sqref="F25">
      <formula1>dimen</formula1>
    </dataValidation>
  </dataValidations>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[1]base!#REF!</xm:f>
          </x14:formula1>
          <xm:sqref>R75:R78 T75:T78 V75:V78 X75:X78 Z75:Z78 AB75:AB78 T81:T84 Z81:Z84 R81:R84 V81:V84 X81:X84 AB81:AB84 F23</xm:sqref>
        </x14:dataValidation>
        <x14:dataValidation type="list" allowBlank="1" showInputMessage="1" showErrorMessage="1">
          <x14:formula1>
            <xm:f>[1]Hoja1!#REF!</xm:f>
          </x14:formula1>
          <xm:sqref>S12</xm:sqref>
        </x14:dataValidation>
      </x14:dataValidations>
    </ext>
  </extLst>
</worksheet>
</file>

<file path=xl/worksheets/sheet2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8">
    <tabColor rgb="FF0070C0"/>
  </sheetPr>
  <dimension ref="B1:AV113"/>
  <sheetViews>
    <sheetView topLeftCell="A43" zoomScale="90" zoomScaleNormal="90" workbookViewId="0">
      <selection activeCell="F108" sqref="F108:M11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481</v>
      </c>
      <c r="O10" s="2"/>
    </row>
    <row r="11" spans="2:24" ht="3.95" customHeight="1" x14ac:dyDescent="0.25">
      <c r="B11" s="2"/>
      <c r="D11" s="6"/>
      <c r="O11" s="2"/>
    </row>
    <row r="12" spans="2:24" ht="36" customHeight="1" x14ac:dyDescent="0.25">
      <c r="B12" s="2"/>
      <c r="D12" s="338" t="s">
        <v>5</v>
      </c>
      <c r="E12" s="339"/>
      <c r="F12" s="340" t="s">
        <v>1533</v>
      </c>
      <c r="G12" s="341"/>
      <c r="H12" s="341"/>
      <c r="I12" s="341"/>
      <c r="J12" s="341"/>
      <c r="K12" s="341"/>
      <c r="L12" s="341"/>
      <c r="M12" s="342"/>
      <c r="O12" s="2"/>
      <c r="W12" s="3" t="str">
        <f>+F23</f>
        <v>Trimestral</v>
      </c>
      <c r="X12" s="3" t="str">
        <f>+F71</f>
        <v>Junio</v>
      </c>
    </row>
    <row r="13" spans="2:24" ht="3.95" customHeight="1" x14ac:dyDescent="0.25">
      <c r="B13" s="2"/>
      <c r="O13" s="2"/>
    </row>
    <row r="14" spans="2:24" ht="38.25" customHeight="1" x14ac:dyDescent="0.25">
      <c r="B14" s="2"/>
      <c r="D14" s="338" t="s">
        <v>6</v>
      </c>
      <c r="E14" s="339"/>
      <c r="F14" s="340" t="s">
        <v>1534</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8.75" customHeight="1" x14ac:dyDescent="0.25">
      <c r="B22" s="2"/>
      <c r="D22" s="337" t="s">
        <v>8</v>
      </c>
      <c r="E22" s="337"/>
      <c r="F22" s="8">
        <v>20</v>
      </c>
      <c r="G22" s="337" t="s">
        <v>9</v>
      </c>
      <c r="H22" s="337"/>
      <c r="I22" s="8">
        <v>10</v>
      </c>
      <c r="K22" s="337" t="s">
        <v>10</v>
      </c>
      <c r="L22" s="337"/>
      <c r="M22" s="9" t="s">
        <v>496</v>
      </c>
      <c r="O22" s="2"/>
    </row>
    <row r="23" spans="2:17" ht="19.5" customHeight="1" x14ac:dyDescent="0.25">
      <c r="B23" s="2"/>
      <c r="D23" s="337" t="s">
        <v>11</v>
      </c>
      <c r="E23" s="337"/>
      <c r="F23" s="4" t="s">
        <v>71</v>
      </c>
      <c r="G23" s="337" t="s">
        <v>12</v>
      </c>
      <c r="H23" s="337"/>
      <c r="I23" s="4" t="s">
        <v>647</v>
      </c>
      <c r="K23" s="337" t="s">
        <v>13</v>
      </c>
      <c r="L23" s="337"/>
      <c r="M23" s="9" t="s">
        <v>2</v>
      </c>
      <c r="O23" s="2"/>
    </row>
    <row r="24" spans="2:17" ht="20.100000000000001" customHeight="1" x14ac:dyDescent="0.25">
      <c r="B24" s="2"/>
      <c r="D24" s="337" t="s">
        <v>14</v>
      </c>
      <c r="E24" s="337"/>
      <c r="F24" s="4" t="s">
        <v>498</v>
      </c>
      <c r="G24" s="337" t="s">
        <v>15</v>
      </c>
      <c r="H24" s="337"/>
      <c r="I24" s="4" t="s">
        <v>519</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716</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calidad</v>
      </c>
    </row>
    <row r="31" spans="2:17" ht="24" customHeight="1" x14ac:dyDescent="0.25">
      <c r="B31" s="2"/>
      <c r="D31" s="347"/>
      <c r="E31" s="348"/>
      <c r="F31" s="4" t="s">
        <v>474</v>
      </c>
      <c r="G31" s="340" t="s">
        <v>475</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1535</v>
      </c>
      <c r="G33" s="340" t="s">
        <v>1525</v>
      </c>
      <c r="H33" s="341"/>
      <c r="I33" s="341"/>
      <c r="J33" s="341"/>
      <c r="K33" s="341"/>
      <c r="L33" s="341"/>
      <c r="M33" s="342"/>
      <c r="O33" s="2"/>
      <c r="Q33" s="3">
        <f>+IFERROR(IF(VLOOKUP(G33,base!$A$26:$C$40,3,FALSE)=F31,1,0),"")</f>
        <v>1</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1716</v>
      </c>
      <c r="G35" s="340" t="s">
        <v>1592</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501</v>
      </c>
      <c r="G45" s="340" t="s">
        <v>515</v>
      </c>
      <c r="H45" s="341"/>
      <c r="I45" s="341"/>
      <c r="J45" s="341"/>
      <c r="K45" s="341"/>
      <c r="L45" s="341"/>
      <c r="M45" s="342"/>
      <c r="O45" s="2"/>
      <c r="Q45" s="3" t="str">
        <f>+IFERROR(VLOOKUP(G45,base!$A$41:$C$45,3,FALSE),"")</f>
        <v>misional</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503</v>
      </c>
      <c r="G47" s="340" t="s">
        <v>995</v>
      </c>
      <c r="H47" s="341"/>
      <c r="I47" s="341"/>
      <c r="J47" s="341"/>
      <c r="K47" s="341"/>
      <c r="L47" s="341"/>
      <c r="M47" s="342"/>
      <c r="O47" s="2"/>
      <c r="Q47" s="3">
        <f>+IF(VLOOKUP(G47,base!$A$46:$C$66,3,FALSE)=F45,1,0)</f>
        <v>1</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920</v>
      </c>
      <c r="G49" s="340" t="s">
        <v>899</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496</v>
      </c>
      <c r="G51" s="337" t="s">
        <v>32</v>
      </c>
      <c r="H51" s="337"/>
      <c r="I51" s="29">
        <v>100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37" t="s">
        <v>34</v>
      </c>
      <c r="E59" s="337"/>
      <c r="F59" s="481" t="s">
        <v>1536</v>
      </c>
      <c r="G59" s="481"/>
      <c r="H59" s="481"/>
      <c r="I59" s="481"/>
      <c r="J59" s="481"/>
      <c r="K59" s="481"/>
      <c r="L59" s="481"/>
      <c r="M59" s="481"/>
      <c r="O59" s="2"/>
    </row>
    <row r="60" spans="2:15" ht="45" customHeight="1" x14ac:dyDescent="0.25">
      <c r="B60" s="2"/>
      <c r="D60" s="359" t="s">
        <v>35</v>
      </c>
      <c r="E60" s="359"/>
      <c r="F60" s="482" t="s">
        <v>1896</v>
      </c>
      <c r="G60" s="482"/>
      <c r="H60" s="482"/>
      <c r="I60" s="482"/>
      <c r="J60" s="482"/>
      <c r="K60" s="482"/>
      <c r="L60" s="482"/>
      <c r="M60" s="482"/>
      <c r="O60" s="2"/>
    </row>
    <row r="61" spans="2:15" ht="45" customHeight="1" x14ac:dyDescent="0.25">
      <c r="B61" s="2"/>
      <c r="D61" s="359" t="s">
        <v>36</v>
      </c>
      <c r="E61" s="359"/>
      <c r="F61" s="482" t="s">
        <v>1900</v>
      </c>
      <c r="G61" s="482"/>
      <c r="H61" s="482"/>
      <c r="I61" s="482"/>
      <c r="J61" s="482"/>
      <c r="K61" s="482"/>
      <c r="L61" s="482"/>
      <c r="M61" s="482"/>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43" t="s">
        <v>39</v>
      </c>
      <c r="E71" s="343"/>
      <c r="F71" s="4" t="s">
        <v>50</v>
      </c>
      <c r="G71" s="3">
        <v>6</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t="s">
        <v>500</v>
      </c>
      <c r="H77" s="16" t="s">
        <v>500</v>
      </c>
      <c r="I77" s="16" t="s">
        <v>500</v>
      </c>
      <c r="J77" s="16" t="s">
        <v>500</v>
      </c>
      <c r="K77" s="16" t="s">
        <v>500</v>
      </c>
      <c r="L77" s="16">
        <v>0.14000000000000001</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60" t="s">
        <v>50</v>
      </c>
      <c r="E80" s="360"/>
      <c r="F80" s="16" t="s">
        <v>500</v>
      </c>
      <c r="G80" s="16">
        <v>0.19900000000000001</v>
      </c>
      <c r="H80" s="16">
        <v>0.2</v>
      </c>
      <c r="I80" s="16">
        <v>0.29899999999999999</v>
      </c>
      <c r="J80" s="16">
        <v>0.3</v>
      </c>
      <c r="K80" s="16">
        <v>0.499</v>
      </c>
      <c r="L80" s="16">
        <v>0.5</v>
      </c>
      <c r="M80" s="16" t="s">
        <v>500</v>
      </c>
      <c r="O80" s="2"/>
      <c r="AE80" s="3" t="s">
        <v>50</v>
      </c>
      <c r="AF80" s="3">
        <v>6</v>
      </c>
      <c r="AG80" s="3">
        <f t="shared" si="0"/>
        <v>1</v>
      </c>
      <c r="AH80" s="3">
        <f>+IF(AG80=0,0,IF(AG80=1,(SUM($AG$75:AG80)-1),1))</f>
        <v>0</v>
      </c>
      <c r="AI80" s="3">
        <f t="shared" si="1"/>
        <v>0</v>
      </c>
      <c r="AJ80" s="3">
        <f t="shared" si="2"/>
        <v>1</v>
      </c>
      <c r="AK80" s="3">
        <f t="shared" si="3"/>
        <v>1</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1</v>
      </c>
      <c r="AI81" s="3">
        <f t="shared" si="1"/>
        <v>0</v>
      </c>
      <c r="AJ81" s="3">
        <f t="shared" si="2"/>
        <v>0</v>
      </c>
      <c r="AK81" s="3">
        <f t="shared" si="3"/>
        <v>0</v>
      </c>
    </row>
    <row r="82" spans="2:37" x14ac:dyDescent="0.25">
      <c r="B82" s="2"/>
      <c r="D82" s="360" t="s">
        <v>54</v>
      </c>
      <c r="E82" s="360"/>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2</v>
      </c>
      <c r="AI82" s="3">
        <f t="shared" si="1"/>
        <v>0</v>
      </c>
      <c r="AJ82" s="3">
        <f t="shared" si="2"/>
        <v>0</v>
      </c>
      <c r="AK82" s="3">
        <f t="shared" si="3"/>
        <v>0</v>
      </c>
    </row>
    <row r="83" spans="2:37" x14ac:dyDescent="0.25">
      <c r="B83" s="2"/>
      <c r="D83" s="360" t="s">
        <v>55</v>
      </c>
      <c r="E83" s="360"/>
      <c r="F83" s="16" t="s">
        <v>500</v>
      </c>
      <c r="G83" s="16">
        <v>0.499</v>
      </c>
      <c r="H83" s="16">
        <v>0.5</v>
      </c>
      <c r="I83" s="16">
        <v>0.59899999999999998</v>
      </c>
      <c r="J83" s="16">
        <v>0.6</v>
      </c>
      <c r="K83" s="16">
        <v>0.69899999999999995</v>
      </c>
      <c r="L83" s="16">
        <v>0.7</v>
      </c>
      <c r="M83" s="16" t="s">
        <v>500</v>
      </c>
      <c r="O83" s="2"/>
      <c r="AE83" s="3" t="s">
        <v>55</v>
      </c>
      <c r="AF83" s="3">
        <v>9</v>
      </c>
      <c r="AG83" s="3">
        <f t="shared" si="0"/>
        <v>1</v>
      </c>
      <c r="AH83" s="3">
        <f>+IF(AG83=0,0,IF(AG83=1,(SUM($AG$75:AG83)-1),1))</f>
        <v>3</v>
      </c>
      <c r="AI83" s="3">
        <f t="shared" si="1"/>
        <v>1</v>
      </c>
      <c r="AJ83" s="3">
        <f t="shared" si="2"/>
        <v>0</v>
      </c>
      <c r="AK83" s="3">
        <f t="shared" si="3"/>
        <v>1</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4</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5</v>
      </c>
      <c r="AI85" s="3">
        <f t="shared" si="1"/>
        <v>0</v>
      </c>
      <c r="AJ85" s="3">
        <f t="shared" si="2"/>
        <v>0</v>
      </c>
      <c r="AK85" s="3">
        <f t="shared" si="3"/>
        <v>0</v>
      </c>
    </row>
    <row r="86" spans="2:37" x14ac:dyDescent="0.25">
      <c r="B86" s="2"/>
      <c r="D86" s="360" t="s">
        <v>58</v>
      </c>
      <c r="E86" s="360"/>
      <c r="F86" s="16" t="s">
        <v>500</v>
      </c>
      <c r="G86" s="16">
        <v>0.69899999999999995</v>
      </c>
      <c r="H86" s="16">
        <v>0.7</v>
      </c>
      <c r="I86" s="16">
        <v>0.79900000000000004</v>
      </c>
      <c r="J86" s="16">
        <v>0.8</v>
      </c>
      <c r="K86" s="16">
        <v>0.999</v>
      </c>
      <c r="L86" s="16" t="s">
        <v>500</v>
      </c>
      <c r="M86" s="16">
        <v>1</v>
      </c>
      <c r="O86" s="2"/>
      <c r="AE86" s="3" t="s">
        <v>58</v>
      </c>
      <c r="AF86" s="65">
        <v>12</v>
      </c>
      <c r="AG86" s="3">
        <f t="shared" si="0"/>
        <v>1</v>
      </c>
      <c r="AH86" s="3">
        <f>+IF(AG86=0,0,IF(AG86=1,(SUM($AG$75:AG86)-1),1))</f>
        <v>6</v>
      </c>
      <c r="AI86" s="3">
        <f t="shared" si="1"/>
        <v>1</v>
      </c>
      <c r="AJ86" s="3">
        <f t="shared" si="2"/>
        <v>0</v>
      </c>
      <c r="AK86" s="3">
        <f t="shared" si="3"/>
        <v>1</v>
      </c>
    </row>
    <row r="87" spans="2:37" ht="3.75" customHeight="1" x14ac:dyDescent="0.25">
      <c r="B87" s="2"/>
      <c r="O87" s="2"/>
    </row>
    <row r="88" spans="2:37" ht="66" customHeight="1" x14ac:dyDescent="0.25">
      <c r="B88" s="2"/>
      <c r="D88" s="338" t="s">
        <v>59</v>
      </c>
      <c r="E88" s="339"/>
      <c r="F88" s="340" t="s">
        <v>1526</v>
      </c>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8" customHeight="1" x14ac:dyDescent="0.25">
      <c r="B97" s="2"/>
      <c r="D97" s="359" t="s">
        <v>35</v>
      </c>
      <c r="E97" s="359"/>
      <c r="F97" s="344" t="s">
        <v>1537</v>
      </c>
      <c r="G97" s="344"/>
      <c r="H97" s="344"/>
      <c r="I97" s="344"/>
      <c r="J97" s="344"/>
      <c r="K97" s="344"/>
      <c r="L97" s="344"/>
      <c r="M97" s="344"/>
      <c r="O97" s="2"/>
    </row>
    <row r="98" spans="2:15" ht="38.25" customHeight="1" x14ac:dyDescent="0.25">
      <c r="B98" s="2"/>
      <c r="D98" s="359" t="s">
        <v>36</v>
      </c>
      <c r="E98" s="359"/>
      <c r="F98" s="344" t="s">
        <v>1899</v>
      </c>
      <c r="G98" s="344"/>
      <c r="H98" s="344"/>
      <c r="I98" s="344"/>
      <c r="J98" s="344"/>
      <c r="K98" s="344"/>
      <c r="L98" s="344"/>
      <c r="M98" s="344"/>
      <c r="O98" s="2"/>
    </row>
    <row r="99" spans="2:15" ht="3.95" customHeight="1" x14ac:dyDescent="0.25">
      <c r="B99" s="2"/>
      <c r="O99" s="2"/>
    </row>
    <row r="100" spans="2:15" ht="113.25" customHeight="1" x14ac:dyDescent="0.25">
      <c r="B100" s="2"/>
      <c r="D100" s="338" t="s">
        <v>62</v>
      </c>
      <c r="E100" s="339"/>
      <c r="F100" s="340" t="s">
        <v>1527</v>
      </c>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1</v>
      </c>
      <c r="K102" s="20"/>
      <c r="O102" s="2"/>
    </row>
    <row r="103" spans="2:15" ht="19.5" customHeight="1" x14ac:dyDescent="0.25">
      <c r="B103" s="2"/>
      <c r="D103" s="331"/>
      <c r="E103" s="332"/>
      <c r="F103" s="19" t="s">
        <v>66</v>
      </c>
      <c r="G103" s="4" t="s">
        <v>1902</v>
      </c>
      <c r="K103" s="21"/>
      <c r="O103" s="2"/>
    </row>
    <row r="104" spans="2:15" ht="27.75" customHeight="1" x14ac:dyDescent="0.25">
      <c r="B104" s="2"/>
      <c r="D104" s="331"/>
      <c r="E104" s="332"/>
      <c r="F104" s="19" t="s">
        <v>67</v>
      </c>
      <c r="G104" s="365" t="s">
        <v>1901</v>
      </c>
      <c r="H104" s="366"/>
      <c r="I104" s="366"/>
      <c r="J104" s="366"/>
      <c r="K104" s="366"/>
      <c r="L104" s="366"/>
      <c r="M104" s="367"/>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65" t="str">
        <f>+VLOOKUP(H10,tablero!$P$5:$R$201,3,FALSE)</f>
        <v>Jefe Oficina de Aseguramiento a la calidad</v>
      </c>
      <c r="H108" s="366"/>
      <c r="I108" s="366"/>
      <c r="J108" s="366"/>
      <c r="K108" s="366"/>
      <c r="L108" s="366"/>
      <c r="M108" s="367"/>
      <c r="O108" s="2"/>
    </row>
    <row r="109" spans="2:15" ht="17.25" customHeight="1" x14ac:dyDescent="0.25">
      <c r="B109" s="2"/>
      <c r="D109" s="331"/>
      <c r="E109" s="332"/>
      <c r="F109" s="19" t="s">
        <v>2042</v>
      </c>
      <c r="G109" s="365" t="str">
        <f>+IF(M23="Si","Coordinador(a) Planeación y Sistemas","")</f>
        <v/>
      </c>
      <c r="H109" s="366"/>
      <c r="I109" s="366"/>
      <c r="J109" s="366"/>
      <c r="K109" s="366"/>
      <c r="L109" s="366"/>
      <c r="M109" s="367"/>
      <c r="O109" s="2"/>
    </row>
    <row r="110" spans="2:15" ht="17.25" customHeight="1" x14ac:dyDescent="0.25">
      <c r="B110" s="2"/>
      <c r="D110" s="331"/>
      <c r="E110" s="332"/>
      <c r="F110" s="19" t="s">
        <v>2043</v>
      </c>
      <c r="G110" s="365" t="str">
        <f>+IF(M24="Si","Coordinador(a) Centro Zonal","")</f>
        <v/>
      </c>
      <c r="H110" s="366"/>
      <c r="I110" s="366"/>
      <c r="J110" s="366"/>
      <c r="K110" s="366"/>
      <c r="L110" s="366"/>
      <c r="M110" s="367"/>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5" priority="31">
      <formula>+IF($F$43="no",1,0)</formula>
    </cfRule>
  </conditionalFormatting>
  <conditionalFormatting sqref="F32:M33">
    <cfRule type="expression" dxfId="14" priority="30">
      <formula>+IF($Q$30="NA",1,0)</formula>
    </cfRule>
  </conditionalFormatting>
  <conditionalFormatting sqref="F33:M33">
    <cfRule type="expression" dxfId="13" priority="29">
      <formula>+IF($Q$33=0,1,0)</formula>
    </cfRule>
  </conditionalFormatting>
  <conditionalFormatting sqref="F47:M47">
    <cfRule type="expression" dxfId="12" priority="28">
      <formula>+IF($Q$47=0,1,0)</formula>
    </cfRule>
  </conditionalFormatting>
  <conditionalFormatting sqref="F73:G73">
    <cfRule type="cellIs" dxfId="11" priority="14" operator="equal">
      <formula>"optimo"</formula>
    </cfRule>
    <cfRule type="cellIs" dxfId="10" priority="15" operator="equal">
      <formula>"critico"</formula>
    </cfRule>
  </conditionalFormatting>
  <conditionalFormatting sqref="H73:I73">
    <cfRule type="cellIs" dxfId="9" priority="12" operator="equal">
      <formula>"Adecuado"</formula>
    </cfRule>
    <cfRule type="cellIs" dxfId="8" priority="13" operator="equal">
      <formula>"en riesgo"</formula>
    </cfRule>
  </conditionalFormatting>
  <conditionalFormatting sqref="J73:K73">
    <cfRule type="cellIs" dxfId="7" priority="10" operator="equal">
      <formula>"Adecuado"</formula>
    </cfRule>
    <cfRule type="cellIs" dxfId="6" priority="11" operator="equal">
      <formula>"en riesgo"</formula>
    </cfRule>
  </conditionalFormatting>
  <conditionalFormatting sqref="L73:M73">
    <cfRule type="cellIs" dxfId="5" priority="8" operator="equal">
      <formula>"optimo"</formula>
    </cfRule>
    <cfRule type="cellIs" dxfId="4" priority="9" operator="equal">
      <formula>"critico"</formula>
    </cfRule>
  </conditionalFormatting>
  <conditionalFormatting sqref="F75:M86">
    <cfRule type="expression" dxfId="3" priority="7">
      <formula>+IF($AK75=0,1)</formula>
    </cfRule>
  </conditionalFormatting>
  <conditionalFormatting sqref="F103:G104">
    <cfRule type="expression" dxfId="2" priority="6">
      <formula>+IF($G$102="No",1,0)</formula>
    </cfRule>
  </conditionalFormatting>
  <conditionalFormatting sqref="F51">
    <cfRule type="expression" dxfId="1" priority="5">
      <formula>+IF($F$43="no",1,0)</formula>
    </cfRule>
  </conditionalFormatting>
  <conditionalFormatting sqref="I51">
    <cfRule type="expression" dxfId="0"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tabColor rgb="FF0070C0"/>
  </sheetPr>
  <dimension ref="B1:AV113"/>
  <sheetViews>
    <sheetView topLeftCell="A55" zoomScaleNormal="100" workbookViewId="0">
      <selection activeCell="A82" sqref="A82:XFD86"/>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136</v>
      </c>
      <c r="O10" s="2"/>
    </row>
    <row r="11" spans="2:24" ht="3.95" customHeight="1" x14ac:dyDescent="0.25">
      <c r="B11" s="2"/>
      <c r="D11" s="6"/>
      <c r="O11" s="2"/>
    </row>
    <row r="12" spans="2:24" ht="36" customHeight="1" x14ac:dyDescent="0.25">
      <c r="B12" s="2"/>
      <c r="D12" s="338" t="s">
        <v>5</v>
      </c>
      <c r="E12" s="339"/>
      <c r="F12" s="340" t="s">
        <v>137</v>
      </c>
      <c r="G12" s="341"/>
      <c r="H12" s="341"/>
      <c r="I12" s="341"/>
      <c r="J12" s="341"/>
      <c r="K12" s="341"/>
      <c r="L12" s="341"/>
      <c r="M12" s="342"/>
      <c r="O12" s="2"/>
      <c r="W12" s="3" t="str">
        <f>+F23</f>
        <v>Mensual</v>
      </c>
      <c r="X12" s="3" t="str">
        <f>+F71</f>
        <v>Junio</v>
      </c>
    </row>
    <row r="13" spans="2:24" ht="3.95" customHeight="1" x14ac:dyDescent="0.25">
      <c r="B13" s="2"/>
      <c r="O13" s="2"/>
    </row>
    <row r="14" spans="2:24" ht="36" customHeight="1" x14ac:dyDescent="0.25">
      <c r="B14" s="2"/>
      <c r="D14" s="338" t="s">
        <v>6</v>
      </c>
      <c r="E14" s="339"/>
      <c r="F14" s="340" t="s">
        <v>1727</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8">
        <v>547608</v>
      </c>
      <c r="G22" s="337" t="s">
        <v>9</v>
      </c>
      <c r="H22" s="337"/>
      <c r="I22" s="8">
        <v>426000</v>
      </c>
      <c r="K22" s="337" t="s">
        <v>10</v>
      </c>
      <c r="L22" s="337"/>
      <c r="M22" s="9" t="s">
        <v>496</v>
      </c>
      <c r="O22" s="2"/>
    </row>
    <row r="23" spans="2:17" ht="19.5" customHeight="1" x14ac:dyDescent="0.25">
      <c r="B23" s="2"/>
      <c r="D23" s="337" t="s">
        <v>11</v>
      </c>
      <c r="E23" s="337"/>
      <c r="F23" s="4" t="s">
        <v>84</v>
      </c>
      <c r="G23" s="337" t="s">
        <v>12</v>
      </c>
      <c r="H23" s="337"/>
      <c r="I23" s="4" t="s">
        <v>553</v>
      </c>
      <c r="K23" s="337" t="s">
        <v>13</v>
      </c>
      <c r="L23" s="337"/>
      <c r="M23" s="9" t="s">
        <v>496</v>
      </c>
      <c r="O23" s="2"/>
    </row>
    <row r="24" spans="2:17" ht="20.100000000000001" customHeight="1" x14ac:dyDescent="0.25">
      <c r="B24" s="2"/>
      <c r="D24" s="337" t="s">
        <v>14</v>
      </c>
      <c r="E24" s="337"/>
      <c r="F24" s="4" t="s">
        <v>498</v>
      </c>
      <c r="G24" s="337" t="s">
        <v>15</v>
      </c>
      <c r="H24" s="337"/>
      <c r="I24" s="4" t="s">
        <v>519</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20</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NA</v>
      </c>
    </row>
    <row r="31" spans="2:17" ht="24" customHeight="1" x14ac:dyDescent="0.25">
      <c r="B31" s="2"/>
      <c r="D31" s="347"/>
      <c r="E31" s="348"/>
      <c r="F31" s="4" t="s">
        <v>109</v>
      </c>
      <c r="G31" s="340" t="s">
        <v>110</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500</v>
      </c>
      <c r="G33" s="340"/>
      <c r="H33" s="341"/>
      <c r="I33" s="341"/>
      <c r="J33" s="341"/>
      <c r="K33" s="341"/>
      <c r="L33" s="341"/>
      <c r="M33" s="342"/>
      <c r="O33" s="2"/>
      <c r="Q33" s="3" t="str">
        <f>+IFERROR(IF(VLOOKUP(G33,base!$A$26:$C$40,3,FALSE)=F31,1,0),"")</f>
        <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1711</v>
      </c>
      <c r="G35" s="340" t="s">
        <v>1587</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2</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500</v>
      </c>
      <c r="G45" s="340" t="s">
        <v>512</v>
      </c>
      <c r="H45" s="341"/>
      <c r="I45" s="341"/>
      <c r="J45" s="341"/>
      <c r="K45" s="341"/>
      <c r="L45" s="341"/>
      <c r="M45" s="342"/>
      <c r="O45" s="2"/>
      <c r="Q45" s="3" t="str">
        <f>+IFERROR(VLOOKUP(G45,base!$A$41:$C$45,3,FALSE),"")</f>
        <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500</v>
      </c>
      <c r="G47" s="340" t="s">
        <v>512</v>
      </c>
      <c r="H47" s="341"/>
      <c r="I47" s="341"/>
      <c r="J47" s="341"/>
      <c r="K47" s="341"/>
      <c r="L47" s="341"/>
      <c r="M47" s="342"/>
      <c r="O47" s="2"/>
      <c r="Q47" s="3" t="e">
        <f>+IF(VLOOKUP(G47,base!$A$46:$C$66,3,FALSE)=F45,1,0)</f>
        <v>#N/A</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535</v>
      </c>
      <c r="G49" s="340" t="s">
        <v>30</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8"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75" customHeight="1" x14ac:dyDescent="0.25">
      <c r="B59" s="2"/>
      <c r="D59" s="337" t="s">
        <v>34</v>
      </c>
      <c r="E59" s="337"/>
      <c r="F59" s="344" t="s">
        <v>592</v>
      </c>
      <c r="G59" s="344"/>
      <c r="H59" s="344"/>
      <c r="I59" s="344"/>
      <c r="J59" s="344"/>
      <c r="K59" s="344"/>
      <c r="L59" s="344"/>
      <c r="M59" s="344"/>
      <c r="O59" s="2"/>
    </row>
    <row r="60" spans="2:15" ht="27" customHeight="1" x14ac:dyDescent="0.25">
      <c r="B60" s="2"/>
      <c r="D60" s="359" t="s">
        <v>35</v>
      </c>
      <c r="E60" s="359"/>
      <c r="F60" s="344" t="s">
        <v>593</v>
      </c>
      <c r="G60" s="344"/>
      <c r="H60" s="344"/>
      <c r="I60" s="344"/>
      <c r="J60" s="344"/>
      <c r="K60" s="344"/>
      <c r="L60" s="344"/>
      <c r="M60" s="344"/>
      <c r="O60" s="2"/>
    </row>
    <row r="61" spans="2:15" ht="27" customHeight="1" x14ac:dyDescent="0.25">
      <c r="B61" s="2"/>
      <c r="D61" s="359" t="s">
        <v>36</v>
      </c>
      <c r="E61" s="359"/>
      <c r="F61" s="344" t="s">
        <v>594</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43" t="s">
        <v>39</v>
      </c>
      <c r="E71" s="343"/>
      <c r="F71" s="4" t="s">
        <v>50</v>
      </c>
      <c r="G71" s="3">
        <v>4</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c r="H77" s="16"/>
      <c r="I77" s="16"/>
      <c r="J77" s="16"/>
      <c r="K77" s="16"/>
      <c r="L77" s="16"/>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60" t="s">
        <v>48</v>
      </c>
      <c r="E78" s="360"/>
      <c r="F78" s="16" t="s">
        <v>500</v>
      </c>
      <c r="G78" s="16"/>
      <c r="H78" s="16"/>
      <c r="I78" s="16"/>
      <c r="J78" s="16"/>
      <c r="K78" s="16"/>
      <c r="L78" s="16"/>
      <c r="M78" s="16" t="s">
        <v>500</v>
      </c>
      <c r="O78" s="2"/>
      <c r="AE78" s="3" t="s">
        <v>48</v>
      </c>
      <c r="AF78" s="3">
        <v>4</v>
      </c>
      <c r="AG78" s="3">
        <f t="shared" si="0"/>
        <v>1</v>
      </c>
      <c r="AH78" s="3">
        <f>+IF(AG78=0,0,IF(AG78=1,(SUM($AG$75:AG78)-1),1))</f>
        <v>0</v>
      </c>
      <c r="AI78" s="3">
        <f t="shared" si="1"/>
        <v>0</v>
      </c>
      <c r="AJ78" s="3">
        <f t="shared" si="2"/>
        <v>0</v>
      </c>
      <c r="AK78" s="3">
        <f t="shared" si="3"/>
        <v>0</v>
      </c>
    </row>
    <row r="79" spans="2:37" x14ac:dyDescent="0.25">
      <c r="B79" s="2"/>
      <c r="D79" s="360" t="s">
        <v>49</v>
      </c>
      <c r="E79" s="360"/>
      <c r="F79" s="35"/>
      <c r="G79" s="35"/>
      <c r="H79" s="35"/>
      <c r="I79" s="35"/>
      <c r="J79" s="35"/>
      <c r="K79" s="35"/>
      <c r="L79" s="35"/>
      <c r="M79" s="35"/>
      <c r="O79" s="2"/>
      <c r="AE79" s="3" t="s">
        <v>49</v>
      </c>
      <c r="AF79" s="3">
        <v>5</v>
      </c>
      <c r="AG79" s="3">
        <f t="shared" si="0"/>
        <v>1</v>
      </c>
      <c r="AH79" s="3">
        <f>+IF(AG79=0,0,IF(AG79=1,(SUM($AG$75:AG79)-1),1))</f>
        <v>1</v>
      </c>
      <c r="AI79" s="3">
        <f t="shared" si="1"/>
        <v>1</v>
      </c>
      <c r="AJ79" s="3">
        <f t="shared" si="2"/>
        <v>0</v>
      </c>
      <c r="AK79" s="3">
        <f t="shared" si="3"/>
        <v>1</v>
      </c>
    </row>
    <row r="80" spans="2:37" x14ac:dyDescent="0.25">
      <c r="B80" s="2"/>
      <c r="D80" s="360" t="s">
        <v>50</v>
      </c>
      <c r="E80" s="360"/>
      <c r="F80" s="16" t="s">
        <v>500</v>
      </c>
      <c r="G80" s="16">
        <v>0.29899999999999999</v>
      </c>
      <c r="H80" s="16">
        <v>0.3</v>
      </c>
      <c r="I80" s="16">
        <v>0.69899999999999995</v>
      </c>
      <c r="J80" s="16">
        <v>0.7</v>
      </c>
      <c r="K80" s="16">
        <v>0.89900000000000002</v>
      </c>
      <c r="L80" s="16">
        <v>0.9</v>
      </c>
      <c r="M80" s="16" t="s">
        <v>500</v>
      </c>
      <c r="O80" s="2"/>
      <c r="AE80" s="3" t="s">
        <v>50</v>
      </c>
      <c r="AF80" s="3">
        <v>6</v>
      </c>
      <c r="AG80" s="3">
        <f t="shared" si="0"/>
        <v>1</v>
      </c>
      <c r="AH80" s="3">
        <f>+IF(AG80=0,0,IF(AG80=1,(SUM($AG$75:AG80)-1),1))</f>
        <v>2</v>
      </c>
      <c r="AI80" s="3">
        <f t="shared" si="1"/>
        <v>1</v>
      </c>
      <c r="AJ80" s="3">
        <f t="shared" si="2"/>
        <v>1</v>
      </c>
      <c r="AK80" s="3">
        <f t="shared" si="3"/>
        <v>1</v>
      </c>
    </row>
    <row r="81" spans="2:37" x14ac:dyDescent="0.25">
      <c r="B81" s="2"/>
      <c r="D81" s="360" t="s">
        <v>53</v>
      </c>
      <c r="E81" s="360"/>
      <c r="F81" s="16" t="s">
        <v>500</v>
      </c>
      <c r="G81" s="16">
        <v>0.29899999999999999</v>
      </c>
      <c r="H81" s="16">
        <v>0.3</v>
      </c>
      <c r="I81" s="16">
        <v>0.69899999999999995</v>
      </c>
      <c r="J81" s="16">
        <v>0.7</v>
      </c>
      <c r="K81" s="16">
        <v>0.89900000000000002</v>
      </c>
      <c r="L81" s="16">
        <v>0.9</v>
      </c>
      <c r="M81" s="16" t="s">
        <v>500</v>
      </c>
      <c r="O81" s="2"/>
      <c r="AE81" s="3" t="s">
        <v>53</v>
      </c>
      <c r="AF81" s="3">
        <v>7</v>
      </c>
      <c r="AG81" s="3">
        <f t="shared" si="0"/>
        <v>1</v>
      </c>
      <c r="AH81" s="3">
        <f>+IF(AG81=0,0,IF(AG81=1,(SUM($AG$75:AG81)-1),1))</f>
        <v>3</v>
      </c>
      <c r="AI81" s="3">
        <f t="shared" si="1"/>
        <v>1</v>
      </c>
      <c r="AJ81" s="3">
        <f t="shared" si="2"/>
        <v>0</v>
      </c>
      <c r="AK81" s="3">
        <f t="shared" si="3"/>
        <v>1</v>
      </c>
    </row>
    <row r="82" spans="2:37" x14ac:dyDescent="0.25">
      <c r="B82" s="2"/>
      <c r="D82" s="360" t="s">
        <v>54</v>
      </c>
      <c r="E82" s="360"/>
      <c r="F82" s="16" t="s">
        <v>500</v>
      </c>
      <c r="G82" s="16">
        <v>0.29899999999999999</v>
      </c>
      <c r="H82" s="16">
        <v>0.3</v>
      </c>
      <c r="I82" s="16">
        <v>0.69899999999999995</v>
      </c>
      <c r="J82" s="16">
        <v>0.7</v>
      </c>
      <c r="K82" s="16">
        <v>0.89900000000000002</v>
      </c>
      <c r="L82" s="16" t="s">
        <v>500</v>
      </c>
      <c r="M82" s="16">
        <v>1</v>
      </c>
      <c r="O82" s="2"/>
      <c r="AE82" s="3" t="s">
        <v>54</v>
      </c>
      <c r="AF82" s="3">
        <v>8</v>
      </c>
      <c r="AG82" s="3">
        <f t="shared" si="0"/>
        <v>1</v>
      </c>
      <c r="AH82" s="3">
        <f>+IF(AG82=0,0,IF(AG82=1,(SUM($AG$75:AG82)-1),1))</f>
        <v>4</v>
      </c>
      <c r="AI82" s="3">
        <f t="shared" si="1"/>
        <v>1</v>
      </c>
      <c r="AJ82" s="3">
        <f t="shared" si="2"/>
        <v>0</v>
      </c>
      <c r="AK82" s="3">
        <f t="shared" si="3"/>
        <v>1</v>
      </c>
    </row>
    <row r="83" spans="2:37" x14ac:dyDescent="0.25">
      <c r="B83" s="2"/>
      <c r="D83" s="360" t="s">
        <v>55</v>
      </c>
      <c r="E83" s="360"/>
      <c r="F83" s="16" t="s">
        <v>500</v>
      </c>
      <c r="G83" s="16">
        <v>0.29899999999999999</v>
      </c>
      <c r="H83" s="16">
        <v>0.3</v>
      </c>
      <c r="I83" s="16">
        <v>0.69899999999999995</v>
      </c>
      <c r="J83" s="16">
        <v>0.7</v>
      </c>
      <c r="K83" s="16">
        <v>0.89900000000000002</v>
      </c>
      <c r="L83" s="16" t="s">
        <v>500</v>
      </c>
      <c r="M83" s="16">
        <v>1</v>
      </c>
      <c r="O83" s="2"/>
      <c r="AE83" s="3" t="s">
        <v>55</v>
      </c>
      <c r="AF83" s="3">
        <v>9</v>
      </c>
      <c r="AG83" s="3">
        <f t="shared" si="0"/>
        <v>1</v>
      </c>
      <c r="AH83" s="3">
        <f>+IF(AG83=0,0,IF(AG83=1,(SUM($AG$75:AG83)-1),1))</f>
        <v>5</v>
      </c>
      <c r="AI83" s="3">
        <f t="shared" si="1"/>
        <v>1</v>
      </c>
      <c r="AJ83" s="3">
        <f t="shared" si="2"/>
        <v>0</v>
      </c>
      <c r="AK83" s="3">
        <f t="shared" si="3"/>
        <v>1</v>
      </c>
    </row>
    <row r="84" spans="2:37" x14ac:dyDescent="0.25">
      <c r="B84" s="2"/>
      <c r="D84" s="360" t="s">
        <v>56</v>
      </c>
      <c r="E84" s="360"/>
      <c r="F84" s="16" t="s">
        <v>500</v>
      </c>
      <c r="G84" s="16">
        <v>0.29899999999999999</v>
      </c>
      <c r="H84" s="16">
        <v>0.3</v>
      </c>
      <c r="I84" s="16">
        <v>0.69899999999999995</v>
      </c>
      <c r="J84" s="16">
        <v>0.7</v>
      </c>
      <c r="K84" s="16">
        <v>0.89900000000000002</v>
      </c>
      <c r="L84" s="16" t="s">
        <v>500</v>
      </c>
      <c r="M84" s="16">
        <v>1</v>
      </c>
      <c r="O84" s="2"/>
      <c r="AE84" s="3" t="s">
        <v>56</v>
      </c>
      <c r="AF84" s="3">
        <v>10</v>
      </c>
      <c r="AG84" s="3">
        <f t="shared" si="0"/>
        <v>1</v>
      </c>
      <c r="AH84" s="3">
        <f>+IF(AG84=0,0,IF(AG84=1,(SUM($AG$75:AG84)-1),1))</f>
        <v>6</v>
      </c>
      <c r="AI84" s="3">
        <f t="shared" si="1"/>
        <v>1</v>
      </c>
      <c r="AJ84" s="3">
        <f t="shared" si="2"/>
        <v>0</v>
      </c>
      <c r="AK84" s="3">
        <f t="shared" si="3"/>
        <v>1</v>
      </c>
    </row>
    <row r="85" spans="2:37" x14ac:dyDescent="0.25">
      <c r="B85" s="2"/>
      <c r="D85" s="360" t="s">
        <v>57</v>
      </c>
      <c r="E85" s="360"/>
      <c r="F85" s="16" t="s">
        <v>500</v>
      </c>
      <c r="G85" s="16">
        <v>0.29899999999999999</v>
      </c>
      <c r="H85" s="16">
        <v>0.3</v>
      </c>
      <c r="I85" s="16">
        <v>0.69899999999999995</v>
      </c>
      <c r="J85" s="16">
        <v>0.7</v>
      </c>
      <c r="K85" s="16">
        <v>0.89900000000000002</v>
      </c>
      <c r="L85" s="16" t="s">
        <v>500</v>
      </c>
      <c r="M85" s="16">
        <v>1</v>
      </c>
      <c r="O85" s="2"/>
      <c r="AE85" s="3" t="s">
        <v>57</v>
      </c>
      <c r="AF85" s="3">
        <v>11</v>
      </c>
      <c r="AG85" s="3">
        <f t="shared" si="0"/>
        <v>1</v>
      </c>
      <c r="AH85" s="3">
        <f>+IF(AG85=0,0,IF(AG85=1,(SUM($AG$75:AG85)-1),1))</f>
        <v>7</v>
      </c>
      <c r="AI85" s="3">
        <f t="shared" si="1"/>
        <v>1</v>
      </c>
      <c r="AJ85" s="3">
        <f t="shared" si="2"/>
        <v>0</v>
      </c>
      <c r="AK85" s="3">
        <f t="shared" si="3"/>
        <v>1</v>
      </c>
    </row>
    <row r="86" spans="2:37" x14ac:dyDescent="0.25">
      <c r="B86" s="2"/>
      <c r="D86" s="360" t="s">
        <v>58</v>
      </c>
      <c r="E86" s="360"/>
      <c r="F86" s="16" t="s">
        <v>500</v>
      </c>
      <c r="G86" s="16">
        <v>0.29899999999999999</v>
      </c>
      <c r="H86" s="16">
        <v>0.3</v>
      </c>
      <c r="I86" s="16">
        <v>0.69899999999999995</v>
      </c>
      <c r="J86" s="16">
        <v>0.7</v>
      </c>
      <c r="K86" s="16">
        <v>0.89900000000000002</v>
      </c>
      <c r="L86" s="16" t="s">
        <v>500</v>
      </c>
      <c r="M86" s="16">
        <v>1</v>
      </c>
      <c r="O86" s="2"/>
      <c r="AE86" s="3" t="s">
        <v>58</v>
      </c>
      <c r="AF86" s="65">
        <v>12</v>
      </c>
      <c r="AG86" s="3">
        <f t="shared" si="0"/>
        <v>1</v>
      </c>
      <c r="AH86" s="3">
        <f>+IF(AG86=0,0,IF(AG86=1,(SUM($AG$75:AG86)-1),1))</f>
        <v>8</v>
      </c>
      <c r="AI86" s="3">
        <f t="shared" si="1"/>
        <v>1</v>
      </c>
      <c r="AJ86" s="3">
        <f t="shared" si="2"/>
        <v>0</v>
      </c>
      <c r="AK86" s="3">
        <f t="shared" si="3"/>
        <v>1</v>
      </c>
    </row>
    <row r="87" spans="2:37" ht="3.75" customHeight="1" x14ac:dyDescent="0.25">
      <c r="B87" s="2"/>
      <c r="O87" s="2"/>
    </row>
    <row r="88" spans="2:37" ht="66" customHeight="1" x14ac:dyDescent="0.25">
      <c r="B88" s="2"/>
      <c r="D88" s="338" t="s">
        <v>59</v>
      </c>
      <c r="E88" s="339"/>
      <c r="F88" s="340" t="s">
        <v>88</v>
      </c>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28.5" customHeight="1" x14ac:dyDescent="0.25">
      <c r="B97" s="2"/>
      <c r="D97" s="359" t="s">
        <v>35</v>
      </c>
      <c r="E97" s="359"/>
      <c r="F97" s="344" t="s">
        <v>595</v>
      </c>
      <c r="G97" s="344"/>
      <c r="H97" s="344"/>
      <c r="I97" s="344"/>
      <c r="J97" s="344"/>
      <c r="K97" s="344"/>
      <c r="L97" s="344"/>
      <c r="M97" s="344"/>
      <c r="O97" s="2"/>
    </row>
    <row r="98" spans="2:15" ht="28.5" customHeight="1" x14ac:dyDescent="0.25">
      <c r="B98" s="2"/>
      <c r="D98" s="359" t="s">
        <v>36</v>
      </c>
      <c r="E98" s="359"/>
      <c r="F98" s="344" t="s">
        <v>596</v>
      </c>
      <c r="G98" s="344"/>
      <c r="H98" s="344"/>
      <c r="I98" s="344"/>
      <c r="J98" s="344"/>
      <c r="K98" s="344"/>
      <c r="L98" s="344"/>
      <c r="M98" s="344"/>
      <c r="O98" s="2"/>
    </row>
    <row r="99" spans="2:15" ht="3.95" customHeight="1" x14ac:dyDescent="0.25">
      <c r="B99" s="2"/>
      <c r="O99" s="2"/>
    </row>
    <row r="100" spans="2:15" ht="191.25" customHeight="1" x14ac:dyDescent="0.25">
      <c r="B100" s="2"/>
      <c r="D100" s="338" t="s">
        <v>62</v>
      </c>
      <c r="E100" s="339"/>
      <c r="F100" s="340" t="s">
        <v>92</v>
      </c>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496</v>
      </c>
      <c r="K102" s="20"/>
      <c r="O102" s="2"/>
    </row>
    <row r="103" spans="2:15" ht="19.5" customHeight="1" x14ac:dyDescent="0.25">
      <c r="B103" s="2"/>
      <c r="D103" s="331"/>
      <c r="E103" s="332"/>
      <c r="F103" s="19" t="s">
        <v>66</v>
      </c>
      <c r="G103" s="4" t="s">
        <v>127</v>
      </c>
      <c r="K103" s="21"/>
      <c r="O103" s="2"/>
    </row>
    <row r="104" spans="2:15" ht="27.75" customHeight="1" x14ac:dyDescent="0.25">
      <c r="B104" s="2"/>
      <c r="D104" s="331"/>
      <c r="E104" s="332"/>
      <c r="F104" s="19" t="s">
        <v>67</v>
      </c>
      <c r="G104" s="333" t="s">
        <v>1726</v>
      </c>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69</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 xml:space="preserve">Director(a) Primera Infancia </v>
      </c>
      <c r="H108" s="334"/>
      <c r="I108" s="334"/>
      <c r="J108" s="334"/>
      <c r="K108" s="334"/>
      <c r="L108" s="334"/>
      <c r="M108" s="335"/>
      <c r="O108" s="2"/>
    </row>
    <row r="109" spans="2:15" ht="17.25" customHeight="1" x14ac:dyDescent="0.25">
      <c r="B109" s="2"/>
      <c r="D109" s="331"/>
      <c r="E109" s="332"/>
      <c r="F109" s="19" t="s">
        <v>2042</v>
      </c>
      <c r="G109" s="333" t="str">
        <f>+IF(M23="Si","Coordinador(a) Planeación y Sistemas","")</f>
        <v>Coordinador(a) Planeación y Sistemas</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3232" priority="35">
      <formula>+IF($F$43="no",1,0)</formula>
    </cfRule>
  </conditionalFormatting>
  <conditionalFormatting sqref="F32:M33">
    <cfRule type="expression" dxfId="3231" priority="34">
      <formula>+IF($Q$30="NA",1,0)</formula>
    </cfRule>
  </conditionalFormatting>
  <conditionalFormatting sqref="F33:M33">
    <cfRule type="expression" dxfId="3230" priority="33">
      <formula>+IF($Q$33=0,1,0)</formula>
    </cfRule>
  </conditionalFormatting>
  <conditionalFormatting sqref="F47:M47">
    <cfRule type="expression" dxfId="3229" priority="32">
      <formula>+IF($Q$47=0,1,0)</formula>
    </cfRule>
  </conditionalFormatting>
  <conditionalFormatting sqref="F73:G73">
    <cfRule type="cellIs" dxfId="3228" priority="30" operator="equal">
      <formula>"optimo"</formula>
    </cfRule>
    <cfRule type="cellIs" dxfId="3227" priority="31" operator="equal">
      <formula>"critico"</formula>
    </cfRule>
  </conditionalFormatting>
  <conditionalFormatting sqref="H73:I73">
    <cfRule type="cellIs" dxfId="3226" priority="28" operator="equal">
      <formula>"Adecuado"</formula>
    </cfRule>
    <cfRule type="cellIs" dxfId="3225" priority="29" operator="equal">
      <formula>"en riesgo"</formula>
    </cfRule>
  </conditionalFormatting>
  <conditionalFormatting sqref="J73:K73">
    <cfRule type="cellIs" dxfId="3224" priority="26" operator="equal">
      <formula>"Adecuado"</formula>
    </cfRule>
    <cfRule type="cellIs" dxfId="3223" priority="27" operator="equal">
      <formula>"en riesgo"</formula>
    </cfRule>
  </conditionalFormatting>
  <conditionalFormatting sqref="L73:M73">
    <cfRule type="cellIs" dxfId="3222" priority="24" operator="equal">
      <formula>"optimo"</formula>
    </cfRule>
    <cfRule type="cellIs" dxfId="3221" priority="25" operator="equal">
      <formula>"critico"</formula>
    </cfRule>
  </conditionalFormatting>
  <conditionalFormatting sqref="F75:M86">
    <cfRule type="expression" dxfId="3220" priority="23">
      <formula>+IF($AK75=0,1)</formula>
    </cfRule>
  </conditionalFormatting>
  <conditionalFormatting sqref="F103:G104">
    <cfRule type="expression" dxfId="3219" priority="22">
      <formula>+IF($G$102="No",1,0)</formula>
    </cfRule>
  </conditionalFormatting>
  <conditionalFormatting sqref="F51">
    <cfRule type="expression" dxfId="3218" priority="21">
      <formula>+IF($F$43="no",1,0)</formula>
    </cfRule>
  </conditionalFormatting>
  <conditionalFormatting sqref="I51">
    <cfRule type="expression" dxfId="3217" priority="20">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
    <tabColor rgb="FF0070C0"/>
  </sheetPr>
  <dimension ref="B1:AV113"/>
  <sheetViews>
    <sheetView zoomScaleNormal="100" workbookViewId="0">
      <selection activeCell="P1" sqref="P1"/>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138</v>
      </c>
      <c r="O10" s="2"/>
    </row>
    <row r="11" spans="2:24" ht="3.95" customHeight="1" x14ac:dyDescent="0.25">
      <c r="B11" s="2"/>
      <c r="D11" s="6"/>
      <c r="O11" s="2"/>
    </row>
    <row r="12" spans="2:24" ht="36" customHeight="1" x14ac:dyDescent="0.25">
      <c r="B12" s="2"/>
      <c r="D12" s="338" t="s">
        <v>5</v>
      </c>
      <c r="E12" s="339"/>
      <c r="F12" s="340" t="s">
        <v>139</v>
      </c>
      <c r="G12" s="341"/>
      <c r="H12" s="341"/>
      <c r="I12" s="341"/>
      <c r="J12" s="341"/>
      <c r="K12" s="341"/>
      <c r="L12" s="341"/>
      <c r="M12" s="342"/>
      <c r="O12" s="2"/>
      <c r="W12" s="3" t="str">
        <f>+F23</f>
        <v>Mensual</v>
      </c>
      <c r="X12" s="3" t="str">
        <f>+F71</f>
        <v>Junio</v>
      </c>
    </row>
    <row r="13" spans="2:24" ht="3.95" customHeight="1" x14ac:dyDescent="0.25">
      <c r="B13" s="2"/>
      <c r="O13" s="2"/>
    </row>
    <row r="14" spans="2:24" ht="36" customHeight="1" x14ac:dyDescent="0.25">
      <c r="B14" s="2"/>
      <c r="D14" s="338" t="s">
        <v>6</v>
      </c>
      <c r="E14" s="339"/>
      <c r="F14" s="340" t="s">
        <v>587</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8">
        <v>915459</v>
      </c>
      <c r="G22" s="337" t="s">
        <v>9</v>
      </c>
      <c r="H22" s="337"/>
      <c r="I22" s="8">
        <v>1100000</v>
      </c>
      <c r="K22" s="337" t="s">
        <v>10</v>
      </c>
      <c r="L22" s="337"/>
      <c r="M22" s="9" t="s">
        <v>496</v>
      </c>
      <c r="O22" s="2"/>
    </row>
    <row r="23" spans="2:17" ht="19.5" customHeight="1" x14ac:dyDescent="0.25">
      <c r="B23" s="2"/>
      <c r="D23" s="337" t="s">
        <v>11</v>
      </c>
      <c r="E23" s="337"/>
      <c r="F23" s="4" t="s">
        <v>84</v>
      </c>
      <c r="G23" s="337" t="s">
        <v>12</v>
      </c>
      <c r="H23" s="337"/>
      <c r="I23" s="4" t="s">
        <v>553</v>
      </c>
      <c r="K23" s="337" t="s">
        <v>13</v>
      </c>
      <c r="L23" s="337"/>
      <c r="M23" s="9" t="s">
        <v>496</v>
      </c>
      <c r="O23" s="2"/>
    </row>
    <row r="24" spans="2:17" ht="20.100000000000001" customHeight="1" x14ac:dyDescent="0.25">
      <c r="B24" s="2"/>
      <c r="D24" s="337" t="s">
        <v>14</v>
      </c>
      <c r="E24" s="337"/>
      <c r="F24" s="4" t="s">
        <v>498</v>
      </c>
      <c r="G24" s="337" t="s">
        <v>15</v>
      </c>
      <c r="H24" s="337"/>
      <c r="I24" s="4" t="s">
        <v>519</v>
      </c>
      <c r="K24" s="337" t="s">
        <v>16</v>
      </c>
      <c r="L24" s="337"/>
      <c r="M24" s="9" t="s">
        <v>496</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20</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NA</v>
      </c>
    </row>
    <row r="31" spans="2:17" ht="24" customHeight="1" x14ac:dyDescent="0.25">
      <c r="B31" s="2"/>
      <c r="D31" s="347"/>
      <c r="E31" s="348"/>
      <c r="F31" s="4" t="s">
        <v>109</v>
      </c>
      <c r="G31" s="340" t="s">
        <v>110</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500</v>
      </c>
      <c r="G33" s="340"/>
      <c r="H33" s="341"/>
      <c r="I33" s="341"/>
      <c r="J33" s="341"/>
      <c r="K33" s="341"/>
      <c r="L33" s="341"/>
      <c r="M33" s="342"/>
      <c r="O33" s="2"/>
      <c r="Q33" s="3" t="str">
        <f>+IFERROR(IF(VLOOKUP(G33,base!$A$26:$C$40,3,FALSE)=F31,1,0),"")</f>
        <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1711</v>
      </c>
      <c r="G35" s="340" t="s">
        <v>1587</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2</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500</v>
      </c>
      <c r="G45" s="340" t="s">
        <v>512</v>
      </c>
      <c r="H45" s="341"/>
      <c r="I45" s="341"/>
      <c r="J45" s="341"/>
      <c r="K45" s="341"/>
      <c r="L45" s="341"/>
      <c r="M45" s="342"/>
      <c r="O45" s="2"/>
      <c r="Q45" s="3" t="str">
        <f>+IFERROR(VLOOKUP(G45,base!$A$41:$C$45,3,FALSE),"")</f>
        <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500</v>
      </c>
      <c r="G47" s="340" t="s">
        <v>512</v>
      </c>
      <c r="H47" s="341"/>
      <c r="I47" s="341"/>
      <c r="J47" s="341"/>
      <c r="K47" s="341"/>
      <c r="L47" s="341"/>
      <c r="M47" s="342"/>
      <c r="O47" s="2"/>
      <c r="Q47" s="3" t="e">
        <f>+IF(VLOOKUP(G47,base!$A$46:$C$66,3,FALSE)=F45,1,0)</f>
        <v>#N/A</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535</v>
      </c>
      <c r="G49" s="340" t="s">
        <v>30</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8"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75" customHeight="1" x14ac:dyDescent="0.25">
      <c r="B59" s="2"/>
      <c r="D59" s="337" t="s">
        <v>34</v>
      </c>
      <c r="E59" s="337"/>
      <c r="F59" s="344" t="s">
        <v>588</v>
      </c>
      <c r="G59" s="344"/>
      <c r="H59" s="344"/>
      <c r="I59" s="344"/>
      <c r="J59" s="344"/>
      <c r="K59" s="344"/>
      <c r="L59" s="344"/>
      <c r="M59" s="344"/>
      <c r="O59" s="2"/>
    </row>
    <row r="60" spans="2:15" ht="27" customHeight="1" x14ac:dyDescent="0.25">
      <c r="B60" s="2"/>
      <c r="D60" s="359" t="s">
        <v>35</v>
      </c>
      <c r="E60" s="359"/>
      <c r="F60" s="344" t="s">
        <v>589</v>
      </c>
      <c r="G60" s="344"/>
      <c r="H60" s="344"/>
      <c r="I60" s="344"/>
      <c r="J60" s="344"/>
      <c r="K60" s="344"/>
      <c r="L60" s="344"/>
      <c r="M60" s="344"/>
      <c r="O60" s="2"/>
    </row>
    <row r="61" spans="2:15" ht="27" customHeight="1" x14ac:dyDescent="0.25">
      <c r="B61" s="2"/>
      <c r="D61" s="359" t="s">
        <v>36</v>
      </c>
      <c r="E61" s="359"/>
      <c r="F61" s="344" t="s">
        <v>590</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43" t="s">
        <v>39</v>
      </c>
      <c r="E71" s="343"/>
      <c r="F71" s="4" t="s">
        <v>50</v>
      </c>
      <c r="G71" s="3">
        <v>4</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60" t="s">
        <v>48</v>
      </c>
      <c r="E78" s="360"/>
      <c r="F78" s="16" t="s">
        <v>500</v>
      </c>
      <c r="G78" s="16">
        <v>0.39900000000000002</v>
      </c>
      <c r="H78" s="16">
        <v>0.4</v>
      </c>
      <c r="I78" s="16">
        <v>0.59899999999999998</v>
      </c>
      <c r="J78" s="16">
        <v>0.6</v>
      </c>
      <c r="K78" s="16">
        <v>0.69899999999999995</v>
      </c>
      <c r="L78" s="16">
        <v>0.7</v>
      </c>
      <c r="M78" s="16" t="s">
        <v>500</v>
      </c>
      <c r="O78" s="2"/>
      <c r="AE78" s="3" t="s">
        <v>48</v>
      </c>
      <c r="AF78" s="3">
        <v>4</v>
      </c>
      <c r="AG78" s="3">
        <f t="shared" si="0"/>
        <v>1</v>
      </c>
      <c r="AH78" s="3">
        <f>+IF(AG78=0,0,IF(AG78=1,(SUM($AG$75:AG78)-1),1))</f>
        <v>0</v>
      </c>
      <c r="AI78" s="3">
        <f t="shared" si="1"/>
        <v>0</v>
      </c>
      <c r="AJ78" s="3">
        <f t="shared" si="2"/>
        <v>0</v>
      </c>
      <c r="AK78" s="3">
        <f t="shared" si="3"/>
        <v>0</v>
      </c>
    </row>
    <row r="79" spans="2:37" x14ac:dyDescent="0.25">
      <c r="B79" s="2"/>
      <c r="D79" s="360" t="s">
        <v>49</v>
      </c>
      <c r="E79" s="360"/>
      <c r="F79" s="35" t="s">
        <v>500</v>
      </c>
      <c r="G79" s="35" t="s">
        <v>500</v>
      </c>
      <c r="H79" s="35" t="s">
        <v>500</v>
      </c>
      <c r="I79" s="35" t="s">
        <v>500</v>
      </c>
      <c r="J79" s="35" t="s">
        <v>500</v>
      </c>
      <c r="K79" s="35" t="s">
        <v>500</v>
      </c>
      <c r="L79" s="35" t="s">
        <v>500</v>
      </c>
      <c r="M79" s="35" t="s">
        <v>500</v>
      </c>
      <c r="O79" s="2"/>
      <c r="AE79" s="3" t="s">
        <v>49</v>
      </c>
      <c r="AF79" s="3">
        <v>5</v>
      </c>
      <c r="AG79" s="3">
        <f t="shared" si="0"/>
        <v>1</v>
      </c>
      <c r="AH79" s="3">
        <f>+IF(AG79=0,0,IF(AG79=1,(SUM($AG$75:AG79)-1),1))</f>
        <v>1</v>
      </c>
      <c r="AI79" s="3">
        <f t="shared" si="1"/>
        <v>1</v>
      </c>
      <c r="AJ79" s="3">
        <f t="shared" si="2"/>
        <v>0</v>
      </c>
      <c r="AK79" s="3">
        <f t="shared" si="3"/>
        <v>1</v>
      </c>
    </row>
    <row r="80" spans="2:37" x14ac:dyDescent="0.25">
      <c r="B80" s="2"/>
      <c r="D80" s="360" t="s">
        <v>50</v>
      </c>
      <c r="E80" s="360"/>
      <c r="F80" s="16" t="s">
        <v>500</v>
      </c>
      <c r="G80" s="16">
        <v>0.39900000000000002</v>
      </c>
      <c r="H80" s="16">
        <v>0.4</v>
      </c>
      <c r="I80" s="16">
        <v>0.59899999999999998</v>
      </c>
      <c r="J80" s="16">
        <v>0.6</v>
      </c>
      <c r="K80" s="16">
        <v>0.69899999999999995</v>
      </c>
      <c r="L80" s="16">
        <v>0.7</v>
      </c>
      <c r="M80" s="16" t="s">
        <v>500</v>
      </c>
      <c r="O80" s="2"/>
      <c r="AE80" s="3" t="s">
        <v>50</v>
      </c>
      <c r="AF80" s="3">
        <v>6</v>
      </c>
      <c r="AG80" s="3">
        <f t="shared" si="0"/>
        <v>1</v>
      </c>
      <c r="AH80" s="3">
        <f>+IF(AG80=0,0,IF(AG80=1,(SUM($AG$75:AG80)-1),1))</f>
        <v>2</v>
      </c>
      <c r="AI80" s="3">
        <f t="shared" si="1"/>
        <v>1</v>
      </c>
      <c r="AJ80" s="3">
        <f t="shared" si="2"/>
        <v>1</v>
      </c>
      <c r="AK80" s="3">
        <f t="shared" si="3"/>
        <v>1</v>
      </c>
    </row>
    <row r="81" spans="2:37" x14ac:dyDescent="0.25">
      <c r="B81" s="2"/>
      <c r="D81" s="360" t="s">
        <v>53</v>
      </c>
      <c r="E81" s="360"/>
      <c r="F81" s="16" t="s">
        <v>500</v>
      </c>
      <c r="G81" s="16">
        <v>0.39900000000000002</v>
      </c>
      <c r="H81" s="16">
        <v>0.4</v>
      </c>
      <c r="I81" s="16">
        <v>0.59899999999999998</v>
      </c>
      <c r="J81" s="16">
        <v>0.6</v>
      </c>
      <c r="K81" s="16">
        <v>0.69899999999999995</v>
      </c>
      <c r="L81" s="16">
        <v>0.7</v>
      </c>
      <c r="M81" s="16" t="s">
        <v>500</v>
      </c>
      <c r="O81" s="2"/>
      <c r="AE81" s="3" t="s">
        <v>53</v>
      </c>
      <c r="AF81" s="3">
        <v>7</v>
      </c>
      <c r="AG81" s="3">
        <f t="shared" si="0"/>
        <v>1</v>
      </c>
      <c r="AH81" s="3">
        <f>+IF(AG81=0,0,IF(AG81=1,(SUM($AG$75:AG81)-1),1))</f>
        <v>3</v>
      </c>
      <c r="AI81" s="3">
        <f t="shared" si="1"/>
        <v>1</v>
      </c>
      <c r="AJ81" s="3">
        <f t="shared" si="2"/>
        <v>0</v>
      </c>
      <c r="AK81" s="3">
        <f t="shared" si="3"/>
        <v>1</v>
      </c>
    </row>
    <row r="82" spans="2:37" x14ac:dyDescent="0.25">
      <c r="B82" s="2"/>
      <c r="D82" s="360" t="s">
        <v>54</v>
      </c>
      <c r="E82" s="360"/>
      <c r="F82" s="16" t="s">
        <v>500</v>
      </c>
      <c r="G82" s="16">
        <v>0.499</v>
      </c>
      <c r="H82" s="16">
        <v>0.5</v>
      </c>
      <c r="I82" s="16">
        <v>0.69899999999999995</v>
      </c>
      <c r="J82" s="16">
        <v>0.7</v>
      </c>
      <c r="K82" s="16">
        <v>0.89900000000000002</v>
      </c>
      <c r="L82" s="16">
        <v>0.9</v>
      </c>
      <c r="M82" s="16" t="s">
        <v>500</v>
      </c>
      <c r="O82" s="2"/>
      <c r="AE82" s="3" t="s">
        <v>54</v>
      </c>
      <c r="AF82" s="3">
        <v>8</v>
      </c>
      <c r="AG82" s="3">
        <f t="shared" si="0"/>
        <v>1</v>
      </c>
      <c r="AH82" s="3">
        <f>+IF(AG82=0,0,IF(AG82=1,(SUM($AG$75:AG82)-1),1))</f>
        <v>4</v>
      </c>
      <c r="AI82" s="3">
        <f t="shared" si="1"/>
        <v>1</v>
      </c>
      <c r="AJ82" s="3">
        <f t="shared" si="2"/>
        <v>0</v>
      </c>
      <c r="AK82" s="3">
        <f t="shared" si="3"/>
        <v>1</v>
      </c>
    </row>
    <row r="83" spans="2:37" x14ac:dyDescent="0.25">
      <c r="B83" s="2"/>
      <c r="D83" s="360" t="s">
        <v>55</v>
      </c>
      <c r="E83" s="360"/>
      <c r="F83" s="16" t="s">
        <v>500</v>
      </c>
      <c r="G83" s="16">
        <v>0.499</v>
      </c>
      <c r="H83" s="16">
        <v>0.5</v>
      </c>
      <c r="I83" s="16">
        <v>0.69899999999999995</v>
      </c>
      <c r="J83" s="16">
        <v>0.7</v>
      </c>
      <c r="K83" s="16">
        <v>0.89900000000000002</v>
      </c>
      <c r="L83" s="16">
        <v>0.9</v>
      </c>
      <c r="M83" s="16" t="s">
        <v>500</v>
      </c>
      <c r="O83" s="2"/>
      <c r="AE83" s="3" t="s">
        <v>55</v>
      </c>
      <c r="AF83" s="3">
        <v>9</v>
      </c>
      <c r="AG83" s="3">
        <f t="shared" si="0"/>
        <v>1</v>
      </c>
      <c r="AH83" s="3">
        <f>+IF(AG83=0,0,IF(AG83=1,(SUM($AG$75:AG83)-1),1))</f>
        <v>5</v>
      </c>
      <c r="AI83" s="3">
        <f t="shared" si="1"/>
        <v>1</v>
      </c>
      <c r="AJ83" s="3">
        <f t="shared" si="2"/>
        <v>0</v>
      </c>
      <c r="AK83" s="3">
        <f t="shared" si="3"/>
        <v>1</v>
      </c>
    </row>
    <row r="84" spans="2:37" x14ac:dyDescent="0.25">
      <c r="B84" s="2"/>
      <c r="D84" s="360" t="s">
        <v>56</v>
      </c>
      <c r="E84" s="360"/>
      <c r="F84" s="16" t="s">
        <v>500</v>
      </c>
      <c r="G84" s="16">
        <v>0.69899999999999995</v>
      </c>
      <c r="H84" s="16">
        <v>0.7</v>
      </c>
      <c r="I84" s="16">
        <v>0.79900000000000004</v>
      </c>
      <c r="J84" s="16">
        <v>0.8</v>
      </c>
      <c r="K84" s="16">
        <v>0.999</v>
      </c>
      <c r="L84" s="16" t="s">
        <v>500</v>
      </c>
      <c r="M84" s="16">
        <v>1</v>
      </c>
      <c r="O84" s="2"/>
      <c r="AE84" s="3" t="s">
        <v>56</v>
      </c>
      <c r="AF84" s="3">
        <v>10</v>
      </c>
      <c r="AG84" s="3">
        <f t="shared" si="0"/>
        <v>1</v>
      </c>
      <c r="AH84" s="3">
        <f>+IF(AG84=0,0,IF(AG84=1,(SUM($AG$75:AG84)-1),1))</f>
        <v>6</v>
      </c>
      <c r="AI84" s="3">
        <f t="shared" si="1"/>
        <v>1</v>
      </c>
      <c r="AJ84" s="3">
        <f t="shared" si="2"/>
        <v>0</v>
      </c>
      <c r="AK84" s="3">
        <f t="shared" si="3"/>
        <v>1</v>
      </c>
    </row>
    <row r="85" spans="2:37" x14ac:dyDescent="0.25">
      <c r="B85" s="2"/>
      <c r="D85" s="360" t="s">
        <v>57</v>
      </c>
      <c r="E85" s="360"/>
      <c r="F85" s="16" t="s">
        <v>500</v>
      </c>
      <c r="G85" s="16">
        <v>0.69899999999999995</v>
      </c>
      <c r="H85" s="16">
        <v>0.7</v>
      </c>
      <c r="I85" s="16">
        <v>0.79900000000000004</v>
      </c>
      <c r="J85" s="16">
        <v>0.8</v>
      </c>
      <c r="K85" s="16">
        <v>0.999</v>
      </c>
      <c r="L85" s="16" t="s">
        <v>500</v>
      </c>
      <c r="M85" s="16">
        <v>1</v>
      </c>
      <c r="O85" s="2"/>
      <c r="AE85" s="3" t="s">
        <v>57</v>
      </c>
      <c r="AF85" s="3">
        <v>11</v>
      </c>
      <c r="AG85" s="3">
        <f t="shared" si="0"/>
        <v>1</v>
      </c>
      <c r="AH85" s="3">
        <f>+IF(AG85=0,0,IF(AG85=1,(SUM($AG$75:AG85)-1),1))</f>
        <v>7</v>
      </c>
      <c r="AI85" s="3">
        <f t="shared" si="1"/>
        <v>1</v>
      </c>
      <c r="AJ85" s="3">
        <f t="shared" si="2"/>
        <v>0</v>
      </c>
      <c r="AK85" s="3">
        <f t="shared" si="3"/>
        <v>1</v>
      </c>
    </row>
    <row r="86" spans="2:37" x14ac:dyDescent="0.25">
      <c r="B86" s="2"/>
      <c r="D86" s="360" t="s">
        <v>58</v>
      </c>
      <c r="E86" s="360"/>
      <c r="F86" s="16" t="s">
        <v>500</v>
      </c>
      <c r="G86" s="16">
        <v>0.69899999999999995</v>
      </c>
      <c r="H86" s="16">
        <v>0.7</v>
      </c>
      <c r="I86" s="16">
        <v>0.79900000000000004</v>
      </c>
      <c r="J86" s="16">
        <v>0.8</v>
      </c>
      <c r="K86" s="16">
        <v>0.999</v>
      </c>
      <c r="L86" s="16" t="s">
        <v>500</v>
      </c>
      <c r="M86" s="16">
        <v>1</v>
      </c>
      <c r="O86" s="2"/>
      <c r="AE86" s="3" t="s">
        <v>58</v>
      </c>
      <c r="AF86" s="65">
        <v>12</v>
      </c>
      <c r="AG86" s="3">
        <f t="shared" si="0"/>
        <v>1</v>
      </c>
      <c r="AH86" s="3">
        <f>+IF(AG86=0,0,IF(AG86=1,(SUM($AG$75:AG86)-1),1))</f>
        <v>8</v>
      </c>
      <c r="AI86" s="3">
        <f t="shared" si="1"/>
        <v>1</v>
      </c>
      <c r="AJ86" s="3">
        <f t="shared" si="2"/>
        <v>0</v>
      </c>
      <c r="AK86" s="3">
        <f t="shared" si="3"/>
        <v>1</v>
      </c>
    </row>
    <row r="87" spans="2:37" ht="3.75" customHeight="1" x14ac:dyDescent="0.25">
      <c r="B87" s="2"/>
      <c r="O87" s="2"/>
    </row>
    <row r="88" spans="2:37" ht="66" customHeight="1" x14ac:dyDescent="0.25">
      <c r="B88" s="2"/>
      <c r="D88" s="338" t="s">
        <v>59</v>
      </c>
      <c r="E88" s="339"/>
      <c r="F88" s="340" t="s">
        <v>88</v>
      </c>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28.5" customHeight="1" x14ac:dyDescent="0.25">
      <c r="B97" s="2"/>
      <c r="D97" s="359" t="s">
        <v>35</v>
      </c>
      <c r="E97" s="359"/>
      <c r="F97" s="344" t="s">
        <v>591</v>
      </c>
      <c r="G97" s="344"/>
      <c r="H97" s="344"/>
      <c r="I97" s="344"/>
      <c r="J97" s="344"/>
      <c r="K97" s="344"/>
      <c r="L97" s="344"/>
      <c r="M97" s="344"/>
      <c r="O97" s="2"/>
    </row>
    <row r="98" spans="2:15" ht="28.5" customHeight="1" x14ac:dyDescent="0.25">
      <c r="B98" s="2"/>
      <c r="D98" s="359" t="s">
        <v>36</v>
      </c>
      <c r="E98" s="359"/>
      <c r="F98" s="344" t="s">
        <v>605</v>
      </c>
      <c r="G98" s="344"/>
      <c r="H98" s="344"/>
      <c r="I98" s="344"/>
      <c r="J98" s="344"/>
      <c r="K98" s="344"/>
      <c r="L98" s="344"/>
      <c r="M98" s="344"/>
      <c r="O98" s="2"/>
    </row>
    <row r="99" spans="2:15" ht="3.95" customHeight="1" x14ac:dyDescent="0.25">
      <c r="B99" s="2"/>
      <c r="O99" s="2"/>
    </row>
    <row r="100" spans="2:15" ht="198" customHeight="1" x14ac:dyDescent="0.25">
      <c r="B100" s="2"/>
      <c r="D100" s="338" t="s">
        <v>62</v>
      </c>
      <c r="E100" s="339"/>
      <c r="F100" s="340" t="s">
        <v>93</v>
      </c>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1</v>
      </c>
      <c r="K102" s="20"/>
      <c r="O102" s="2"/>
    </row>
    <row r="103" spans="2:15" ht="19.5" customHeight="1" x14ac:dyDescent="0.25">
      <c r="B103" s="2"/>
      <c r="D103" s="331"/>
      <c r="E103" s="332"/>
      <c r="F103" s="19" t="s">
        <v>66</v>
      </c>
      <c r="G103" s="4" t="s">
        <v>130</v>
      </c>
      <c r="K103" s="21"/>
      <c r="O103" s="2"/>
    </row>
    <row r="104" spans="2:15" ht="27.75" customHeight="1" x14ac:dyDescent="0.25">
      <c r="B104" s="2"/>
      <c r="D104" s="331"/>
      <c r="E104" s="332"/>
      <c r="F104" s="19" t="s">
        <v>67</v>
      </c>
      <c r="G104" s="333" t="s">
        <v>1728</v>
      </c>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69</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 xml:space="preserve">Director(a) Primera Infancia </v>
      </c>
      <c r="H108" s="334"/>
      <c r="I108" s="334"/>
      <c r="J108" s="334"/>
      <c r="K108" s="334"/>
      <c r="L108" s="334"/>
      <c r="M108" s="335"/>
      <c r="O108" s="2"/>
    </row>
    <row r="109" spans="2:15" ht="17.25" customHeight="1" x14ac:dyDescent="0.25">
      <c r="B109" s="2"/>
      <c r="D109" s="331"/>
      <c r="E109" s="332"/>
      <c r="F109" s="19" t="s">
        <v>2042</v>
      </c>
      <c r="G109" s="333" t="str">
        <f>+IF(M23="Si","Coordinador(a) Planeación y Sistemas","")</f>
        <v>Coordinador(a) Planeación y Sistemas</v>
      </c>
      <c r="H109" s="334"/>
      <c r="I109" s="334"/>
      <c r="J109" s="334"/>
      <c r="K109" s="334"/>
      <c r="L109" s="334"/>
      <c r="M109" s="335"/>
      <c r="O109" s="2"/>
    </row>
    <row r="110" spans="2:15" ht="17.25" customHeight="1" x14ac:dyDescent="0.25">
      <c r="B110" s="2"/>
      <c r="D110" s="331"/>
      <c r="E110" s="332"/>
      <c r="F110" s="19" t="s">
        <v>2043</v>
      </c>
      <c r="G110" s="333" t="str">
        <f>+IF(M24="Si","Coordinador(a) Centro Zonal","")</f>
        <v>Coordinador(a) Centro Zonal</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3216" priority="33">
      <formula>+IF($F$43="no",1,0)</formula>
    </cfRule>
  </conditionalFormatting>
  <conditionalFormatting sqref="F32:M33">
    <cfRule type="expression" dxfId="3215" priority="32">
      <formula>+IF($Q$30="NA",1,0)</formula>
    </cfRule>
  </conditionalFormatting>
  <conditionalFormatting sqref="F33:M33">
    <cfRule type="expression" dxfId="3214" priority="31">
      <formula>+IF($Q$33=0,1,0)</formula>
    </cfRule>
  </conditionalFormatting>
  <conditionalFormatting sqref="F47:M47">
    <cfRule type="expression" dxfId="3213" priority="30">
      <formula>+IF($Q$47=0,1,0)</formula>
    </cfRule>
  </conditionalFormatting>
  <conditionalFormatting sqref="F73:G73">
    <cfRule type="cellIs" dxfId="3212" priority="28" operator="equal">
      <formula>"optimo"</formula>
    </cfRule>
    <cfRule type="cellIs" dxfId="3211" priority="29" operator="equal">
      <formula>"critico"</formula>
    </cfRule>
  </conditionalFormatting>
  <conditionalFormatting sqref="H73:I73">
    <cfRule type="cellIs" dxfId="3210" priority="26" operator="equal">
      <formula>"Adecuado"</formula>
    </cfRule>
    <cfRule type="cellIs" dxfId="3209" priority="27" operator="equal">
      <formula>"en riesgo"</formula>
    </cfRule>
  </conditionalFormatting>
  <conditionalFormatting sqref="J73:K73">
    <cfRule type="cellIs" dxfId="3208" priority="24" operator="equal">
      <formula>"Adecuado"</formula>
    </cfRule>
    <cfRule type="cellIs" dxfId="3207" priority="25" operator="equal">
      <formula>"en riesgo"</formula>
    </cfRule>
  </conditionalFormatting>
  <conditionalFormatting sqref="L73:M73">
    <cfRule type="cellIs" dxfId="3206" priority="22" operator="equal">
      <formula>"optimo"</formula>
    </cfRule>
    <cfRule type="cellIs" dxfId="3205" priority="23" operator="equal">
      <formula>"critico"</formula>
    </cfRule>
  </conditionalFormatting>
  <conditionalFormatting sqref="F75:M78 F80:M86">
    <cfRule type="expression" dxfId="3204" priority="21">
      <formula>+IF($AK75=0,1)</formula>
    </cfRule>
  </conditionalFormatting>
  <conditionalFormatting sqref="F103:G104">
    <cfRule type="expression" dxfId="3203" priority="20">
      <formula>+IF($G$102="No",1,0)</formula>
    </cfRule>
  </conditionalFormatting>
  <conditionalFormatting sqref="F51">
    <cfRule type="expression" dxfId="3202" priority="19">
      <formula>+IF($F$43="no",1,0)</formula>
    </cfRule>
  </conditionalFormatting>
  <conditionalFormatting sqref="I51">
    <cfRule type="expression" dxfId="3201" priority="18">
      <formula>+IF($F$51="no",1,0)</formula>
    </cfRule>
  </conditionalFormatting>
  <conditionalFormatting sqref="F79:M79">
    <cfRule type="expression" dxfId="3200" priority="1">
      <formula>+IF($AK79=0,1)</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tabColor rgb="FF0070C0"/>
  </sheetPr>
  <dimension ref="B1:AV113"/>
  <sheetViews>
    <sheetView zoomScaleNormal="100" workbookViewId="0">
      <selection activeCell="P1" sqref="P1"/>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140</v>
      </c>
      <c r="O10" s="2"/>
    </row>
    <row r="11" spans="2:24" ht="3.95" customHeight="1" x14ac:dyDescent="0.25">
      <c r="B11" s="2"/>
      <c r="D11" s="6"/>
      <c r="O11" s="2"/>
    </row>
    <row r="12" spans="2:24" ht="36" customHeight="1" x14ac:dyDescent="0.25">
      <c r="B12" s="2"/>
      <c r="D12" s="338" t="s">
        <v>5</v>
      </c>
      <c r="E12" s="339"/>
      <c r="F12" s="340" t="s">
        <v>141</v>
      </c>
      <c r="G12" s="341"/>
      <c r="H12" s="341"/>
      <c r="I12" s="341"/>
      <c r="J12" s="341"/>
      <c r="K12" s="341"/>
      <c r="L12" s="341"/>
      <c r="M12" s="342"/>
      <c r="O12" s="2"/>
      <c r="W12" s="3" t="str">
        <f>+F23</f>
        <v>Bimestral</v>
      </c>
      <c r="X12" s="3" t="str">
        <f>+F71</f>
        <v>Abril</v>
      </c>
    </row>
    <row r="13" spans="2:24" ht="3.95" customHeight="1" x14ac:dyDescent="0.25">
      <c r="B13" s="2"/>
      <c r="O13" s="2"/>
    </row>
    <row r="14" spans="2:24" ht="36" customHeight="1" x14ac:dyDescent="0.25">
      <c r="B14" s="2"/>
      <c r="D14" s="338" t="s">
        <v>6</v>
      </c>
      <c r="E14" s="339"/>
      <c r="F14" s="340" t="s">
        <v>582</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8">
        <v>108098</v>
      </c>
      <c r="G22" s="337" t="s">
        <v>9</v>
      </c>
      <c r="H22" s="337"/>
      <c r="I22" s="8">
        <v>117698</v>
      </c>
      <c r="K22" s="337" t="s">
        <v>10</v>
      </c>
      <c r="L22" s="337"/>
      <c r="M22" s="9" t="s">
        <v>496</v>
      </c>
      <c r="O22" s="2"/>
    </row>
    <row r="23" spans="2:17" ht="19.5" customHeight="1" x14ac:dyDescent="0.25">
      <c r="B23" s="2"/>
      <c r="D23" s="337" t="s">
        <v>11</v>
      </c>
      <c r="E23" s="337"/>
      <c r="F23" s="4" t="s">
        <v>513</v>
      </c>
      <c r="G23" s="337" t="s">
        <v>12</v>
      </c>
      <c r="H23" s="337"/>
      <c r="I23" s="4" t="s">
        <v>553</v>
      </c>
      <c r="K23" s="337" t="s">
        <v>13</v>
      </c>
      <c r="L23" s="337"/>
      <c r="M23" s="9" t="s">
        <v>496</v>
      </c>
      <c r="O23" s="2"/>
    </row>
    <row r="24" spans="2:17" ht="20.100000000000001" customHeight="1" x14ac:dyDescent="0.25">
      <c r="B24" s="2"/>
      <c r="D24" s="337" t="s">
        <v>14</v>
      </c>
      <c r="E24" s="337"/>
      <c r="F24" s="4" t="s">
        <v>498</v>
      </c>
      <c r="G24" s="337" t="s">
        <v>15</v>
      </c>
      <c r="H24" s="337"/>
      <c r="I24" s="4" t="s">
        <v>519</v>
      </c>
      <c r="K24" s="337" t="s">
        <v>16</v>
      </c>
      <c r="L24" s="337"/>
      <c r="M24" s="9" t="s">
        <v>496</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20</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NA</v>
      </c>
    </row>
    <row r="31" spans="2:17" ht="24" customHeight="1" x14ac:dyDescent="0.25">
      <c r="B31" s="2"/>
      <c r="D31" s="347"/>
      <c r="E31" s="348"/>
      <c r="F31" s="4" t="s">
        <v>109</v>
      </c>
      <c r="G31" s="340" t="s">
        <v>110</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500</v>
      </c>
      <c r="G33" s="340"/>
      <c r="H33" s="341"/>
      <c r="I33" s="341"/>
      <c r="J33" s="341"/>
      <c r="K33" s="341"/>
      <c r="L33" s="341"/>
      <c r="M33" s="342"/>
      <c r="O33" s="2"/>
      <c r="Q33" s="3" t="str">
        <f>+IFERROR(IF(VLOOKUP(G33,base!$A$26:$C$40,3,FALSE)=F31,1,0),"")</f>
        <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1711</v>
      </c>
      <c r="G35" s="340" t="s">
        <v>1587</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2</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500</v>
      </c>
      <c r="G45" s="340" t="s">
        <v>512</v>
      </c>
      <c r="H45" s="341"/>
      <c r="I45" s="341"/>
      <c r="J45" s="341"/>
      <c r="K45" s="341"/>
      <c r="L45" s="341"/>
      <c r="M45" s="342"/>
      <c r="O45" s="2"/>
      <c r="Q45" s="3" t="str">
        <f>+IFERROR(VLOOKUP(G45,base!$A$41:$C$45,3,FALSE),"")</f>
        <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500</v>
      </c>
      <c r="G47" s="340" t="s">
        <v>512</v>
      </c>
      <c r="H47" s="341"/>
      <c r="I47" s="341"/>
      <c r="J47" s="341"/>
      <c r="K47" s="341"/>
      <c r="L47" s="341"/>
      <c r="M47" s="342"/>
      <c r="O47" s="2"/>
      <c r="Q47" s="3" t="e">
        <f>+IF(VLOOKUP(G47,base!$A$46:$C$66,3,FALSE)=F45,1,0)</f>
        <v>#N/A</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535</v>
      </c>
      <c r="G49" s="340" t="s">
        <v>30</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8"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75" customHeight="1" x14ac:dyDescent="0.25">
      <c r="B59" s="2"/>
      <c r="D59" s="337" t="s">
        <v>34</v>
      </c>
      <c r="E59" s="337"/>
      <c r="F59" s="344" t="s">
        <v>583</v>
      </c>
      <c r="G59" s="344"/>
      <c r="H59" s="344"/>
      <c r="I59" s="344"/>
      <c r="J59" s="344"/>
      <c r="K59" s="344"/>
      <c r="L59" s="344"/>
      <c r="M59" s="344"/>
      <c r="O59" s="2"/>
    </row>
    <row r="60" spans="2:15" ht="27" customHeight="1" x14ac:dyDescent="0.25">
      <c r="B60" s="2"/>
      <c r="D60" s="359" t="s">
        <v>35</v>
      </c>
      <c r="E60" s="359"/>
      <c r="F60" s="344" t="s">
        <v>584</v>
      </c>
      <c r="G60" s="344"/>
      <c r="H60" s="344"/>
      <c r="I60" s="344"/>
      <c r="J60" s="344"/>
      <c r="K60" s="344"/>
      <c r="L60" s="344"/>
      <c r="M60" s="344"/>
      <c r="O60" s="2"/>
    </row>
    <row r="61" spans="2:15" ht="27" customHeight="1" x14ac:dyDescent="0.25">
      <c r="B61" s="2"/>
      <c r="D61" s="359" t="s">
        <v>36</v>
      </c>
      <c r="E61" s="359"/>
      <c r="F61" s="344" t="s">
        <v>585</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2</v>
      </c>
    </row>
    <row r="70" spans="2:37" ht="3.95" customHeight="1" x14ac:dyDescent="0.25">
      <c r="B70" s="2"/>
      <c r="D70" s="7"/>
      <c r="E70" s="7"/>
      <c r="O70" s="2"/>
    </row>
    <row r="71" spans="2:37" ht="18.75" customHeight="1" x14ac:dyDescent="0.25">
      <c r="B71" s="2"/>
      <c r="D71" s="343" t="s">
        <v>39</v>
      </c>
      <c r="E71" s="343"/>
      <c r="F71" s="4" t="s">
        <v>48</v>
      </c>
      <c r="G71" s="3">
        <v>3</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c r="G76" s="16"/>
      <c r="H76" s="16"/>
      <c r="I76" s="16"/>
      <c r="J76" s="16"/>
      <c r="K76" s="16"/>
      <c r="L76" s="16"/>
      <c r="M76" s="16"/>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c r="G77" s="16"/>
      <c r="H77" s="16"/>
      <c r="I77" s="16"/>
      <c r="J77" s="16"/>
      <c r="K77" s="16"/>
      <c r="L77" s="16"/>
      <c r="M77" s="16"/>
      <c r="O77" s="2"/>
      <c r="AE77" s="3" t="s">
        <v>47</v>
      </c>
      <c r="AF77" s="3">
        <v>3</v>
      </c>
      <c r="AG77" s="3">
        <f t="shared" si="0"/>
        <v>1</v>
      </c>
      <c r="AH77" s="3">
        <f>+IF(AG77=0,0,IF(AG77=1,(SUM($AG$75:AG77)-1),1))</f>
        <v>0</v>
      </c>
      <c r="AI77" s="3">
        <f t="shared" si="1"/>
        <v>0</v>
      </c>
      <c r="AJ77" s="3">
        <f t="shared" si="2"/>
        <v>0</v>
      </c>
      <c r="AK77" s="3">
        <f t="shared" si="3"/>
        <v>0</v>
      </c>
    </row>
    <row r="78" spans="2:37" x14ac:dyDescent="0.25">
      <c r="B78" s="2"/>
      <c r="D78" s="360" t="s">
        <v>48</v>
      </c>
      <c r="E78" s="360"/>
      <c r="F78" s="16"/>
      <c r="G78" s="16">
        <f>+H78-0.001</f>
        <v>0.499</v>
      </c>
      <c r="H78" s="16">
        <v>0.5</v>
      </c>
      <c r="I78" s="16">
        <f>+J78-0.001</f>
        <v>0.59899999999999998</v>
      </c>
      <c r="J78" s="16">
        <v>0.6</v>
      </c>
      <c r="K78" s="16">
        <f>+L78-0.001</f>
        <v>0.79900000000000004</v>
      </c>
      <c r="L78" s="16">
        <v>0.8</v>
      </c>
      <c r="M78" s="16"/>
      <c r="O78" s="2"/>
      <c r="AE78" s="3" t="s">
        <v>48</v>
      </c>
      <c r="AF78" s="3">
        <v>4</v>
      </c>
      <c r="AG78" s="3">
        <f t="shared" si="0"/>
        <v>1</v>
      </c>
      <c r="AH78" s="3">
        <f>+IF(AG78=0,0,IF(AG78=1,(SUM($AG$75:AG78)-1),1))</f>
        <v>1</v>
      </c>
      <c r="AI78" s="3">
        <f t="shared" si="1"/>
        <v>0</v>
      </c>
      <c r="AJ78" s="3">
        <f t="shared" si="2"/>
        <v>1</v>
      </c>
      <c r="AK78" s="3">
        <f t="shared" si="3"/>
        <v>1</v>
      </c>
    </row>
    <row r="79" spans="2:37" x14ac:dyDescent="0.25">
      <c r="B79" s="2"/>
      <c r="D79" s="360" t="s">
        <v>49</v>
      </c>
      <c r="E79" s="360"/>
      <c r="F79" s="35"/>
      <c r="G79" s="35"/>
      <c r="H79" s="35"/>
      <c r="I79" s="35"/>
      <c r="J79" s="35"/>
      <c r="K79" s="35"/>
      <c r="L79" s="35"/>
      <c r="M79" s="35"/>
      <c r="O79" s="2"/>
      <c r="AE79" s="3" t="s">
        <v>49</v>
      </c>
      <c r="AF79" s="3">
        <v>5</v>
      </c>
      <c r="AG79" s="3">
        <f t="shared" si="0"/>
        <v>1</v>
      </c>
      <c r="AH79" s="3">
        <f>+IF(AG79=0,0,IF(AG79=1,(SUM($AG$75:AG79)-1),1))</f>
        <v>2</v>
      </c>
      <c r="AI79" s="3">
        <f t="shared" si="1"/>
        <v>1</v>
      </c>
      <c r="AJ79" s="3">
        <f t="shared" si="2"/>
        <v>0</v>
      </c>
      <c r="AK79" s="3">
        <f t="shared" si="3"/>
        <v>1</v>
      </c>
    </row>
    <row r="80" spans="2:37" x14ac:dyDescent="0.25">
      <c r="B80" s="2"/>
      <c r="D80" s="360" t="s">
        <v>50</v>
      </c>
      <c r="E80" s="360"/>
      <c r="F80" s="16"/>
      <c r="G80" s="16">
        <f>+H80-0.001</f>
        <v>0.59899999999999998</v>
      </c>
      <c r="H80" s="16">
        <v>0.6</v>
      </c>
      <c r="I80" s="16">
        <f>+J80-0.001</f>
        <v>0.79900000000000004</v>
      </c>
      <c r="J80" s="16">
        <v>0.8</v>
      </c>
      <c r="K80" s="16">
        <f>+L80-0.001</f>
        <v>0.89900000000000002</v>
      </c>
      <c r="L80" s="16">
        <v>0.9</v>
      </c>
      <c r="M80" s="16"/>
      <c r="O80" s="2"/>
      <c r="AE80" s="3" t="s">
        <v>50</v>
      </c>
      <c r="AF80" s="3">
        <v>6</v>
      </c>
      <c r="AG80" s="3">
        <f t="shared" si="0"/>
        <v>1</v>
      </c>
      <c r="AH80" s="3">
        <f>+IF(AG80=0,0,IF(AG80=1,(SUM($AG$75:AG80)-1),1))</f>
        <v>3</v>
      </c>
      <c r="AI80" s="3">
        <f t="shared" si="1"/>
        <v>0</v>
      </c>
      <c r="AJ80" s="3">
        <f t="shared" si="2"/>
        <v>0</v>
      </c>
      <c r="AK80" s="3">
        <f t="shared" si="3"/>
        <v>0</v>
      </c>
    </row>
    <row r="81" spans="2:37" x14ac:dyDescent="0.25">
      <c r="B81" s="2"/>
      <c r="D81" s="360" t="s">
        <v>53</v>
      </c>
      <c r="E81" s="360"/>
      <c r="F81" s="35"/>
      <c r="G81" s="35"/>
      <c r="H81" s="35"/>
      <c r="I81" s="35"/>
      <c r="J81" s="35"/>
      <c r="K81" s="35"/>
      <c r="L81" s="35"/>
      <c r="M81" s="35"/>
      <c r="O81" s="2"/>
      <c r="AE81" s="3" t="s">
        <v>53</v>
      </c>
      <c r="AF81" s="3">
        <v>7</v>
      </c>
      <c r="AG81" s="3">
        <f t="shared" si="0"/>
        <v>1</v>
      </c>
      <c r="AH81" s="3">
        <f>+IF(AG81=0,0,IF(AG81=1,(SUM($AG$75:AG81)-1),1))</f>
        <v>4</v>
      </c>
      <c r="AI81" s="3">
        <f t="shared" si="1"/>
        <v>1</v>
      </c>
      <c r="AJ81" s="3">
        <f t="shared" si="2"/>
        <v>0</v>
      </c>
      <c r="AK81" s="3">
        <f t="shared" si="3"/>
        <v>1</v>
      </c>
    </row>
    <row r="82" spans="2:37" x14ac:dyDescent="0.25">
      <c r="B82" s="2"/>
      <c r="D82" s="360" t="s">
        <v>54</v>
      </c>
      <c r="E82" s="360"/>
      <c r="F82" s="16"/>
      <c r="G82" s="16">
        <f>+H82-0.001</f>
        <v>0.59899999999999998</v>
      </c>
      <c r="H82" s="16">
        <v>0.6</v>
      </c>
      <c r="I82" s="16">
        <f>+J82-0.001</f>
        <v>0.79900000000000004</v>
      </c>
      <c r="J82" s="16">
        <v>0.8</v>
      </c>
      <c r="K82" s="16">
        <f>+M82-0.001</f>
        <v>0.999</v>
      </c>
      <c r="L82" s="16"/>
      <c r="M82" s="16">
        <v>1</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60" t="s">
        <v>55</v>
      </c>
      <c r="E83" s="360"/>
      <c r="F83" s="35"/>
      <c r="G83" s="35"/>
      <c r="H83" s="35"/>
      <c r="I83" s="35"/>
      <c r="J83" s="35"/>
      <c r="K83" s="35"/>
      <c r="L83" s="35"/>
      <c r="M83" s="35"/>
      <c r="O83" s="2"/>
      <c r="AE83" s="3" t="s">
        <v>55</v>
      </c>
      <c r="AF83" s="3">
        <v>9</v>
      </c>
      <c r="AG83" s="3">
        <f t="shared" si="0"/>
        <v>1</v>
      </c>
      <c r="AH83" s="3">
        <f>+IF(AG83=0,0,IF(AG83=1,(SUM($AG$75:AG83)-1),1))</f>
        <v>6</v>
      </c>
      <c r="AI83" s="3">
        <f t="shared" si="1"/>
        <v>1</v>
      </c>
      <c r="AJ83" s="3">
        <f t="shared" si="2"/>
        <v>0</v>
      </c>
      <c r="AK83" s="3">
        <f t="shared" si="3"/>
        <v>1</v>
      </c>
    </row>
    <row r="84" spans="2:37" x14ac:dyDescent="0.25">
      <c r="B84" s="2"/>
      <c r="D84" s="360" t="s">
        <v>56</v>
      </c>
      <c r="E84" s="360"/>
      <c r="F84" s="16"/>
      <c r="G84" s="16">
        <f>+H84-0.001</f>
        <v>0.69899999999999995</v>
      </c>
      <c r="H84" s="16">
        <v>0.7</v>
      </c>
      <c r="I84" s="16">
        <f>+J84-0.001</f>
        <v>0.79900000000000004</v>
      </c>
      <c r="J84" s="16">
        <v>0.8</v>
      </c>
      <c r="K84" s="16">
        <f>+M84-0.001</f>
        <v>0.999</v>
      </c>
      <c r="L84" s="16"/>
      <c r="M84" s="16">
        <v>1</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60" t="s">
        <v>57</v>
      </c>
      <c r="E85" s="360"/>
      <c r="F85" s="35"/>
      <c r="G85" s="35"/>
      <c r="H85" s="35"/>
      <c r="I85" s="35"/>
      <c r="J85" s="35"/>
      <c r="K85" s="35"/>
      <c r="L85" s="35"/>
      <c r="M85" s="35"/>
      <c r="O85" s="2"/>
      <c r="AE85" s="3" t="s">
        <v>57</v>
      </c>
      <c r="AF85" s="3">
        <v>11</v>
      </c>
      <c r="AG85" s="3">
        <f t="shared" si="0"/>
        <v>1</v>
      </c>
      <c r="AH85" s="3">
        <f>+IF(AG85=0,0,IF(AG85=1,(SUM($AG$75:AG85)-1),1))</f>
        <v>8</v>
      </c>
      <c r="AI85" s="3">
        <f t="shared" si="1"/>
        <v>1</v>
      </c>
      <c r="AJ85" s="3">
        <f t="shared" si="2"/>
        <v>0</v>
      </c>
      <c r="AK85" s="3">
        <f t="shared" si="3"/>
        <v>1</v>
      </c>
    </row>
    <row r="86" spans="2:37" x14ac:dyDescent="0.25">
      <c r="B86" s="2"/>
      <c r="D86" s="360" t="s">
        <v>58</v>
      </c>
      <c r="E86" s="360"/>
      <c r="F86" s="16"/>
      <c r="G86" s="16">
        <f>+H86-0.001</f>
        <v>0.69899999999999995</v>
      </c>
      <c r="H86" s="16">
        <v>0.7</v>
      </c>
      <c r="I86" s="16">
        <f>+J86-0.001</f>
        <v>0.79900000000000004</v>
      </c>
      <c r="J86" s="16">
        <v>0.8</v>
      </c>
      <c r="K86" s="16">
        <f>+M86-0.001</f>
        <v>0.999</v>
      </c>
      <c r="L86" s="16"/>
      <c r="M86" s="16">
        <v>1</v>
      </c>
      <c r="O86" s="2"/>
      <c r="AE86" s="3" t="s">
        <v>58</v>
      </c>
      <c r="AF86" s="65">
        <v>12</v>
      </c>
      <c r="AG86" s="3">
        <f t="shared" si="0"/>
        <v>1</v>
      </c>
      <c r="AH86" s="3">
        <f>+IF(AG86=0,0,IF(AG86=1,(SUM($AG$75:AG86)-1),1))</f>
        <v>9</v>
      </c>
      <c r="AI86" s="3">
        <f t="shared" si="1"/>
        <v>0</v>
      </c>
      <c r="AJ86" s="3">
        <f t="shared" si="2"/>
        <v>0</v>
      </c>
      <c r="AK86" s="3">
        <f t="shared" si="3"/>
        <v>0</v>
      </c>
    </row>
    <row r="87" spans="2:37" ht="3.75" customHeight="1" x14ac:dyDescent="0.25">
      <c r="B87" s="2"/>
      <c r="O87" s="2"/>
    </row>
    <row r="88" spans="2:37" ht="66" customHeight="1" x14ac:dyDescent="0.25">
      <c r="B88" s="2"/>
      <c r="D88" s="338" t="s">
        <v>59</v>
      </c>
      <c r="E88" s="339"/>
      <c r="F88" s="340" t="s">
        <v>94</v>
      </c>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28.5" customHeight="1" x14ac:dyDescent="0.25">
      <c r="B97" s="2"/>
      <c r="D97" s="359" t="s">
        <v>35</v>
      </c>
      <c r="E97" s="359"/>
      <c r="F97" s="344" t="s">
        <v>581</v>
      </c>
      <c r="G97" s="344"/>
      <c r="H97" s="344"/>
      <c r="I97" s="344"/>
      <c r="J97" s="344"/>
      <c r="K97" s="344"/>
      <c r="L97" s="344"/>
      <c r="M97" s="344"/>
      <c r="O97" s="2"/>
    </row>
    <row r="98" spans="2:15" ht="28.5" customHeight="1" x14ac:dyDescent="0.25">
      <c r="B98" s="2"/>
      <c r="D98" s="359" t="s">
        <v>36</v>
      </c>
      <c r="E98" s="359"/>
      <c r="F98" s="344" t="s">
        <v>586</v>
      </c>
      <c r="G98" s="344"/>
      <c r="H98" s="344"/>
      <c r="I98" s="344"/>
      <c r="J98" s="344"/>
      <c r="K98" s="344"/>
      <c r="L98" s="344"/>
      <c r="M98" s="344"/>
      <c r="O98" s="2"/>
    </row>
    <row r="99" spans="2:15" ht="3.95" customHeight="1" x14ac:dyDescent="0.25">
      <c r="B99" s="2"/>
      <c r="O99" s="2"/>
    </row>
    <row r="100" spans="2:15" ht="126.75" customHeight="1" x14ac:dyDescent="0.25">
      <c r="B100" s="2"/>
      <c r="D100" s="338" t="s">
        <v>62</v>
      </c>
      <c r="E100" s="339"/>
      <c r="F100" s="340" t="s">
        <v>95</v>
      </c>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1</v>
      </c>
      <c r="K102" s="20"/>
      <c r="O102" s="2"/>
    </row>
    <row r="103" spans="2:15" ht="19.5" customHeight="1" x14ac:dyDescent="0.25">
      <c r="B103" s="2"/>
      <c r="D103" s="331"/>
      <c r="E103" s="332"/>
      <c r="F103" s="19" t="s">
        <v>66</v>
      </c>
      <c r="G103" s="4" t="s">
        <v>134</v>
      </c>
      <c r="K103" s="21"/>
      <c r="O103" s="2"/>
    </row>
    <row r="104" spans="2:15" ht="27.75" customHeight="1" x14ac:dyDescent="0.25">
      <c r="B104" s="2"/>
      <c r="D104" s="331"/>
      <c r="E104" s="332"/>
      <c r="F104" s="19" t="s">
        <v>67</v>
      </c>
      <c r="G104" s="365" t="s">
        <v>1729</v>
      </c>
      <c r="H104" s="366"/>
      <c r="I104" s="366"/>
      <c r="J104" s="366"/>
      <c r="K104" s="366"/>
      <c r="L104" s="366"/>
      <c r="M104" s="367"/>
      <c r="O104" s="2"/>
    </row>
    <row r="105" spans="2:15" ht="3.95" customHeight="1" x14ac:dyDescent="0.25">
      <c r="B105" s="2"/>
      <c r="O105" s="2"/>
    </row>
    <row r="106" spans="2:15" ht="197.25" customHeight="1" x14ac:dyDescent="0.25">
      <c r="B106" s="2"/>
      <c r="D106" s="338" t="s">
        <v>68</v>
      </c>
      <c r="E106" s="339"/>
      <c r="F106" s="340" t="s">
        <v>69</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65" t="str">
        <f>+VLOOKUP(H10,tablero!$P$5:$R$201,3,FALSE)</f>
        <v xml:space="preserve">Director(a) Primera Infancia </v>
      </c>
      <c r="H108" s="366"/>
      <c r="I108" s="366"/>
      <c r="J108" s="366"/>
      <c r="K108" s="366"/>
      <c r="L108" s="366"/>
      <c r="M108" s="367"/>
      <c r="O108" s="2"/>
    </row>
    <row r="109" spans="2:15" ht="17.25" customHeight="1" x14ac:dyDescent="0.25">
      <c r="B109" s="2"/>
      <c r="D109" s="331"/>
      <c r="E109" s="332"/>
      <c r="F109" s="19" t="s">
        <v>2042</v>
      </c>
      <c r="G109" s="365" t="str">
        <f>+IF(M23="Si","Coordinador(a) Planeación y Sistemas","")</f>
        <v>Coordinador(a) Planeación y Sistemas</v>
      </c>
      <c r="H109" s="366"/>
      <c r="I109" s="366"/>
      <c r="J109" s="366"/>
      <c r="K109" s="366"/>
      <c r="L109" s="366"/>
      <c r="M109" s="367"/>
      <c r="O109" s="2"/>
    </row>
    <row r="110" spans="2:15" ht="17.25" customHeight="1" x14ac:dyDescent="0.25">
      <c r="B110" s="2"/>
      <c r="D110" s="331"/>
      <c r="E110" s="332"/>
      <c r="F110" s="19" t="s">
        <v>2043</v>
      </c>
      <c r="G110" s="365" t="str">
        <f>+IF(M24="Si","Coordinador(a) Centro Zonal","")</f>
        <v>Coordinador(a) Centro Zonal</v>
      </c>
      <c r="H110" s="366"/>
      <c r="I110" s="366"/>
      <c r="J110" s="366"/>
      <c r="K110" s="366"/>
      <c r="L110" s="366"/>
      <c r="M110" s="367"/>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3199" priority="33">
      <formula>+IF($F$43="no",1,0)</formula>
    </cfRule>
  </conditionalFormatting>
  <conditionalFormatting sqref="F32:M33">
    <cfRule type="expression" dxfId="3198" priority="32">
      <formula>+IF($Q$30="NA",1,0)</formula>
    </cfRule>
  </conditionalFormatting>
  <conditionalFormatting sqref="F33:M33">
    <cfRule type="expression" dxfId="3197" priority="31">
      <formula>+IF($Q$33=0,1,0)</formula>
    </cfRule>
  </conditionalFormatting>
  <conditionalFormatting sqref="F47:M47">
    <cfRule type="expression" dxfId="3196" priority="30">
      <formula>+IF($Q$47=0,1,0)</formula>
    </cfRule>
  </conditionalFormatting>
  <conditionalFormatting sqref="F73:G73">
    <cfRule type="cellIs" dxfId="3195" priority="18" operator="equal">
      <formula>"optimo"</formula>
    </cfRule>
    <cfRule type="cellIs" dxfId="3194" priority="19" operator="equal">
      <formula>"critico"</formula>
    </cfRule>
  </conditionalFormatting>
  <conditionalFormatting sqref="H73:I73">
    <cfRule type="cellIs" dxfId="3193" priority="16" operator="equal">
      <formula>"Adecuado"</formula>
    </cfRule>
    <cfRule type="cellIs" dxfId="3192" priority="17" operator="equal">
      <formula>"en riesgo"</formula>
    </cfRule>
  </conditionalFormatting>
  <conditionalFormatting sqref="J73:K73">
    <cfRule type="cellIs" dxfId="3191" priority="14" operator="equal">
      <formula>"Adecuado"</formula>
    </cfRule>
    <cfRule type="cellIs" dxfId="3190" priority="15" operator="equal">
      <formula>"en riesgo"</formula>
    </cfRule>
  </conditionalFormatting>
  <conditionalFormatting sqref="L73:M73">
    <cfRule type="cellIs" dxfId="3189" priority="12" operator="equal">
      <formula>"optimo"</formula>
    </cfRule>
    <cfRule type="cellIs" dxfId="3188" priority="13" operator="equal">
      <formula>"critico"</formula>
    </cfRule>
  </conditionalFormatting>
  <conditionalFormatting sqref="F75:M79">
    <cfRule type="expression" dxfId="3187" priority="11">
      <formula>+IF($AK75=0,1)</formula>
    </cfRule>
  </conditionalFormatting>
  <conditionalFormatting sqref="F103:G104">
    <cfRule type="expression" dxfId="3186" priority="10">
      <formula>+IF($G$102="No",1,0)</formula>
    </cfRule>
  </conditionalFormatting>
  <conditionalFormatting sqref="F51">
    <cfRule type="expression" dxfId="3185" priority="9">
      <formula>+IF($F$43="no",1,0)</formula>
    </cfRule>
  </conditionalFormatting>
  <conditionalFormatting sqref="I51">
    <cfRule type="expression" dxfId="3184" priority="8">
      <formula>+IF($F$51="no",1,0)</formula>
    </cfRule>
  </conditionalFormatting>
  <conditionalFormatting sqref="F81:M81 F83:M83 F85:M85">
    <cfRule type="expression" dxfId="3183" priority="2">
      <formula>+IF($AK81=0,1)</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tabColor rgb="FF0070C0"/>
  </sheetPr>
  <dimension ref="B1:AV113"/>
  <sheetViews>
    <sheetView topLeftCell="A49" zoomScaleNormal="100" workbookViewId="0">
      <selection activeCell="A86" sqref="A86:XFD86"/>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142</v>
      </c>
      <c r="O10" s="2"/>
    </row>
    <row r="11" spans="2:24" ht="3.95" customHeight="1" x14ac:dyDescent="0.25">
      <c r="B11" s="2"/>
      <c r="D11" s="6"/>
      <c r="O11" s="2"/>
    </row>
    <row r="12" spans="2:24" ht="36" customHeight="1" x14ac:dyDescent="0.25">
      <c r="B12" s="2"/>
      <c r="D12" s="338" t="s">
        <v>5</v>
      </c>
      <c r="E12" s="339"/>
      <c r="F12" s="340" t="s">
        <v>143</v>
      </c>
      <c r="G12" s="341"/>
      <c r="H12" s="341"/>
      <c r="I12" s="341"/>
      <c r="J12" s="341"/>
      <c r="K12" s="341"/>
      <c r="L12" s="341"/>
      <c r="M12" s="342"/>
      <c r="O12" s="2"/>
      <c r="W12" s="3" t="str">
        <f>+F23</f>
        <v>Bimestral</v>
      </c>
      <c r="X12" s="3" t="str">
        <f>+F71</f>
        <v>Abril</v>
      </c>
    </row>
    <row r="13" spans="2:24" ht="3.95" customHeight="1" x14ac:dyDescent="0.25">
      <c r="B13" s="2"/>
      <c r="O13" s="2"/>
    </row>
    <row r="14" spans="2:24" ht="36" customHeight="1" x14ac:dyDescent="0.25">
      <c r="B14" s="2"/>
      <c r="D14" s="338" t="s">
        <v>6</v>
      </c>
      <c r="E14" s="339"/>
      <c r="F14" s="340" t="s">
        <v>577</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8">
        <v>286243</v>
      </c>
      <c r="G22" s="337" t="s">
        <v>9</v>
      </c>
      <c r="H22" s="337"/>
      <c r="I22" s="8">
        <v>221734</v>
      </c>
      <c r="K22" s="337" t="s">
        <v>10</v>
      </c>
      <c r="L22" s="337"/>
      <c r="M22" s="9" t="s">
        <v>496</v>
      </c>
      <c r="O22" s="2"/>
    </row>
    <row r="23" spans="2:17" ht="19.5" customHeight="1" x14ac:dyDescent="0.25">
      <c r="B23" s="2"/>
      <c r="D23" s="337" t="s">
        <v>11</v>
      </c>
      <c r="E23" s="337"/>
      <c r="F23" s="4" t="s">
        <v>513</v>
      </c>
      <c r="G23" s="337" t="s">
        <v>12</v>
      </c>
      <c r="H23" s="337"/>
      <c r="I23" s="4" t="s">
        <v>553</v>
      </c>
      <c r="K23" s="337" t="s">
        <v>13</v>
      </c>
      <c r="L23" s="337"/>
      <c r="M23" s="9" t="s">
        <v>496</v>
      </c>
      <c r="O23" s="2"/>
    </row>
    <row r="24" spans="2:17" ht="20.100000000000001" customHeight="1" x14ac:dyDescent="0.25">
      <c r="B24" s="2"/>
      <c r="D24" s="337" t="s">
        <v>14</v>
      </c>
      <c r="E24" s="337"/>
      <c r="F24" s="4" t="s">
        <v>498</v>
      </c>
      <c r="G24" s="337" t="s">
        <v>15</v>
      </c>
      <c r="H24" s="337"/>
      <c r="I24" s="4" t="s">
        <v>519</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20</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NA</v>
      </c>
    </row>
    <row r="31" spans="2:17" ht="24" customHeight="1" x14ac:dyDescent="0.25">
      <c r="B31" s="2"/>
      <c r="D31" s="347"/>
      <c r="E31" s="348"/>
      <c r="F31" s="4" t="s">
        <v>109</v>
      </c>
      <c r="G31" s="340" t="s">
        <v>110</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500</v>
      </c>
      <c r="G33" s="340"/>
      <c r="H33" s="341"/>
      <c r="I33" s="341"/>
      <c r="J33" s="341"/>
      <c r="K33" s="341"/>
      <c r="L33" s="341"/>
      <c r="M33" s="342"/>
      <c r="O33" s="2"/>
      <c r="Q33" s="3" t="str">
        <f>+IFERROR(IF(VLOOKUP(G33,base!$A$26:$C$40,3,FALSE)=F31,1,0),"")</f>
        <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1711</v>
      </c>
      <c r="G35" s="340" t="s">
        <v>1587</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2</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500</v>
      </c>
      <c r="G45" s="340" t="s">
        <v>512</v>
      </c>
      <c r="H45" s="341"/>
      <c r="I45" s="341"/>
      <c r="J45" s="341"/>
      <c r="K45" s="341"/>
      <c r="L45" s="341"/>
      <c r="M45" s="342"/>
      <c r="O45" s="2"/>
      <c r="Q45" s="3" t="str">
        <f>+IFERROR(VLOOKUP(G45,base!$A$41:$C$45,3,FALSE),"")</f>
        <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500</v>
      </c>
      <c r="G47" s="340" t="s">
        <v>512</v>
      </c>
      <c r="H47" s="341"/>
      <c r="I47" s="341"/>
      <c r="J47" s="341"/>
      <c r="K47" s="341"/>
      <c r="L47" s="341"/>
      <c r="M47" s="342"/>
      <c r="O47" s="2"/>
      <c r="Q47" s="3" t="e">
        <f>+IF(VLOOKUP(G47,base!$A$46:$C$66,3,FALSE)=F45,1,0)</f>
        <v>#N/A</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535</v>
      </c>
      <c r="G49" s="340" t="s">
        <v>30</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8"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75" customHeight="1" x14ac:dyDescent="0.25">
      <c r="B59" s="2"/>
      <c r="D59" s="337" t="s">
        <v>34</v>
      </c>
      <c r="E59" s="337"/>
      <c r="F59" s="344" t="s">
        <v>578</v>
      </c>
      <c r="G59" s="344"/>
      <c r="H59" s="344"/>
      <c r="I59" s="344"/>
      <c r="J59" s="344"/>
      <c r="K59" s="344"/>
      <c r="L59" s="344"/>
      <c r="M59" s="344"/>
      <c r="O59" s="2"/>
    </row>
    <row r="60" spans="2:15" ht="27" customHeight="1" x14ac:dyDescent="0.25">
      <c r="B60" s="2"/>
      <c r="D60" s="359" t="s">
        <v>35</v>
      </c>
      <c r="E60" s="359"/>
      <c r="F60" s="344" t="s">
        <v>579</v>
      </c>
      <c r="G60" s="344"/>
      <c r="H60" s="344"/>
      <c r="I60" s="344"/>
      <c r="J60" s="344"/>
      <c r="K60" s="344"/>
      <c r="L60" s="344"/>
      <c r="M60" s="344"/>
      <c r="O60" s="2"/>
    </row>
    <row r="61" spans="2:15" ht="27" customHeight="1" x14ac:dyDescent="0.25">
      <c r="B61" s="2"/>
      <c r="D61" s="359" t="s">
        <v>36</v>
      </c>
      <c r="E61" s="359"/>
      <c r="F61" s="344" t="s">
        <v>580</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2</v>
      </c>
    </row>
    <row r="70" spans="2:37" ht="3.95" customHeight="1" x14ac:dyDescent="0.25">
      <c r="B70" s="2"/>
      <c r="D70" s="7"/>
      <c r="E70" s="7"/>
      <c r="O70" s="2"/>
    </row>
    <row r="71" spans="2:37" ht="18.75" customHeight="1" x14ac:dyDescent="0.25">
      <c r="B71" s="2"/>
      <c r="D71" s="343" t="s">
        <v>39</v>
      </c>
      <c r="E71" s="343"/>
      <c r="F71" s="4" t="s">
        <v>48</v>
      </c>
      <c r="G71" s="3">
        <v>3</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c r="G76" s="16"/>
      <c r="H76" s="16"/>
      <c r="I76" s="16"/>
      <c r="J76" s="16"/>
      <c r="K76" s="16"/>
      <c r="L76" s="16"/>
      <c r="M76" s="16"/>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c r="G77" s="16"/>
      <c r="H77" s="16"/>
      <c r="I77" s="16"/>
      <c r="J77" s="16"/>
      <c r="K77" s="16"/>
      <c r="L77" s="16"/>
      <c r="M77" s="16"/>
      <c r="O77" s="2"/>
      <c r="AE77" s="3" t="s">
        <v>47</v>
      </c>
      <c r="AF77" s="3">
        <v>3</v>
      </c>
      <c r="AG77" s="3">
        <f t="shared" si="0"/>
        <v>1</v>
      </c>
      <c r="AH77" s="3">
        <f>+IF(AG77=0,0,IF(AG77=1,(SUM($AG$75:AG77)-1),1))</f>
        <v>0</v>
      </c>
      <c r="AI77" s="3">
        <f t="shared" si="1"/>
        <v>0</v>
      </c>
      <c r="AJ77" s="3">
        <f t="shared" si="2"/>
        <v>0</v>
      </c>
      <c r="AK77" s="3">
        <f t="shared" si="3"/>
        <v>0</v>
      </c>
    </row>
    <row r="78" spans="2:37" x14ac:dyDescent="0.25">
      <c r="B78" s="2"/>
      <c r="D78" s="360" t="s">
        <v>48</v>
      </c>
      <c r="E78" s="360"/>
      <c r="F78" s="16"/>
      <c r="G78" s="16">
        <f>+H78-0.001</f>
        <v>0.499</v>
      </c>
      <c r="H78" s="16">
        <v>0.5</v>
      </c>
      <c r="I78" s="16">
        <f>+J78-0.001</f>
        <v>0.59899999999999998</v>
      </c>
      <c r="J78" s="16">
        <v>0.6</v>
      </c>
      <c r="K78" s="16">
        <f>+L78-0.001</f>
        <v>0.79900000000000004</v>
      </c>
      <c r="L78" s="16">
        <v>0.8</v>
      </c>
      <c r="M78" s="16"/>
      <c r="O78" s="2"/>
      <c r="AE78" s="3" t="s">
        <v>48</v>
      </c>
      <c r="AF78" s="3">
        <v>4</v>
      </c>
      <c r="AG78" s="3">
        <f t="shared" si="0"/>
        <v>1</v>
      </c>
      <c r="AH78" s="3">
        <f>+IF(AG78=0,0,IF(AG78=1,(SUM($AG$75:AG78)-1),1))</f>
        <v>1</v>
      </c>
      <c r="AI78" s="3">
        <f t="shared" si="1"/>
        <v>0</v>
      </c>
      <c r="AJ78" s="3">
        <f t="shared" si="2"/>
        <v>1</v>
      </c>
      <c r="AK78" s="3">
        <f t="shared" si="3"/>
        <v>1</v>
      </c>
    </row>
    <row r="79" spans="2:37" x14ac:dyDescent="0.25">
      <c r="B79" s="2"/>
      <c r="D79" s="360" t="s">
        <v>49</v>
      </c>
      <c r="E79" s="360"/>
      <c r="F79" s="35"/>
      <c r="G79" s="35"/>
      <c r="H79" s="35"/>
      <c r="I79" s="35"/>
      <c r="J79" s="35"/>
      <c r="K79" s="35"/>
      <c r="L79" s="35"/>
      <c r="M79" s="35"/>
      <c r="O79" s="2"/>
      <c r="AE79" s="3" t="s">
        <v>49</v>
      </c>
      <c r="AF79" s="3">
        <v>5</v>
      </c>
      <c r="AG79" s="3">
        <f t="shared" si="0"/>
        <v>1</v>
      </c>
      <c r="AH79" s="3">
        <f>+IF(AG79=0,0,IF(AG79=1,(SUM($AG$75:AG79)-1),1))</f>
        <v>2</v>
      </c>
      <c r="AI79" s="3">
        <f t="shared" si="1"/>
        <v>1</v>
      </c>
      <c r="AJ79" s="3">
        <f t="shared" si="2"/>
        <v>0</v>
      </c>
      <c r="AK79" s="3">
        <f t="shared" si="3"/>
        <v>1</v>
      </c>
    </row>
    <row r="80" spans="2:37" x14ac:dyDescent="0.25">
      <c r="B80" s="2"/>
      <c r="D80" s="360" t="s">
        <v>50</v>
      </c>
      <c r="E80" s="360"/>
      <c r="F80" s="16"/>
      <c r="G80" s="16">
        <f>+H80-0.001</f>
        <v>0.59899999999999998</v>
      </c>
      <c r="H80" s="16">
        <v>0.6</v>
      </c>
      <c r="I80" s="16">
        <f>+J80-0.001</f>
        <v>0.79900000000000004</v>
      </c>
      <c r="J80" s="16">
        <v>0.8</v>
      </c>
      <c r="K80" s="16">
        <f>+L80-0.001</f>
        <v>0.89900000000000002</v>
      </c>
      <c r="L80" s="16">
        <v>0.9</v>
      </c>
      <c r="M80" s="16"/>
      <c r="O80" s="2"/>
      <c r="AE80" s="3" t="s">
        <v>50</v>
      </c>
      <c r="AF80" s="3">
        <v>6</v>
      </c>
      <c r="AG80" s="3">
        <f t="shared" si="0"/>
        <v>1</v>
      </c>
      <c r="AH80" s="3">
        <f>+IF(AG80=0,0,IF(AG80=1,(SUM($AG$75:AG80)-1),1))</f>
        <v>3</v>
      </c>
      <c r="AI80" s="3">
        <f t="shared" si="1"/>
        <v>0</v>
      </c>
      <c r="AJ80" s="3">
        <f t="shared" si="2"/>
        <v>0</v>
      </c>
      <c r="AK80" s="3">
        <f t="shared" si="3"/>
        <v>0</v>
      </c>
    </row>
    <row r="81" spans="2:37" x14ac:dyDescent="0.25">
      <c r="B81" s="2"/>
      <c r="D81" s="360" t="s">
        <v>53</v>
      </c>
      <c r="E81" s="360"/>
      <c r="F81" s="35"/>
      <c r="G81" s="35"/>
      <c r="H81" s="35"/>
      <c r="I81" s="35"/>
      <c r="J81" s="35"/>
      <c r="K81" s="35"/>
      <c r="L81" s="35"/>
      <c r="M81" s="35"/>
      <c r="O81" s="2"/>
      <c r="AE81" s="3" t="s">
        <v>53</v>
      </c>
      <c r="AF81" s="3">
        <v>7</v>
      </c>
      <c r="AG81" s="3">
        <f t="shared" si="0"/>
        <v>1</v>
      </c>
      <c r="AH81" s="3">
        <f>+IF(AG81=0,0,IF(AG81=1,(SUM($AG$75:AG81)-1),1))</f>
        <v>4</v>
      </c>
      <c r="AI81" s="3">
        <f t="shared" si="1"/>
        <v>1</v>
      </c>
      <c r="AJ81" s="3">
        <f t="shared" si="2"/>
        <v>0</v>
      </c>
      <c r="AK81" s="3">
        <f t="shared" si="3"/>
        <v>1</v>
      </c>
    </row>
    <row r="82" spans="2:37" x14ac:dyDescent="0.25">
      <c r="B82" s="2"/>
      <c r="D82" s="360" t="s">
        <v>54</v>
      </c>
      <c r="E82" s="360"/>
      <c r="F82" s="16"/>
      <c r="G82" s="16">
        <f>+H82-0.001</f>
        <v>0.59899999999999998</v>
      </c>
      <c r="H82" s="16">
        <v>0.6</v>
      </c>
      <c r="I82" s="16">
        <f>+J82-0.001</f>
        <v>0.79900000000000004</v>
      </c>
      <c r="J82" s="16">
        <v>0.8</v>
      </c>
      <c r="K82" s="16">
        <f>+M82-0.001</f>
        <v>0.999</v>
      </c>
      <c r="L82" s="16"/>
      <c r="M82" s="16">
        <v>1</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60" t="s">
        <v>55</v>
      </c>
      <c r="E83" s="360"/>
      <c r="F83" s="35"/>
      <c r="G83" s="35"/>
      <c r="H83" s="35"/>
      <c r="I83" s="35"/>
      <c r="J83" s="35"/>
      <c r="K83" s="35"/>
      <c r="L83" s="35"/>
      <c r="M83" s="35"/>
      <c r="O83" s="2"/>
      <c r="AE83" s="3" t="s">
        <v>55</v>
      </c>
      <c r="AF83" s="3">
        <v>9</v>
      </c>
      <c r="AG83" s="3">
        <f t="shared" si="0"/>
        <v>1</v>
      </c>
      <c r="AH83" s="3">
        <f>+IF(AG83=0,0,IF(AG83=1,(SUM($AG$75:AG83)-1),1))</f>
        <v>6</v>
      </c>
      <c r="AI83" s="3">
        <f t="shared" si="1"/>
        <v>1</v>
      </c>
      <c r="AJ83" s="3">
        <f t="shared" si="2"/>
        <v>0</v>
      </c>
      <c r="AK83" s="3">
        <f t="shared" si="3"/>
        <v>1</v>
      </c>
    </row>
    <row r="84" spans="2:37" x14ac:dyDescent="0.25">
      <c r="B84" s="2"/>
      <c r="D84" s="360" t="s">
        <v>56</v>
      </c>
      <c r="E84" s="360"/>
      <c r="F84" s="16"/>
      <c r="G84" s="16">
        <f>+H84-0.001</f>
        <v>0.69899999999999995</v>
      </c>
      <c r="H84" s="16">
        <v>0.7</v>
      </c>
      <c r="I84" s="16">
        <f>+J84-0.001</f>
        <v>0.79900000000000004</v>
      </c>
      <c r="J84" s="16">
        <v>0.8</v>
      </c>
      <c r="K84" s="16">
        <f>+M84-0.001</f>
        <v>0.999</v>
      </c>
      <c r="L84" s="16"/>
      <c r="M84" s="16">
        <v>1</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60" t="s">
        <v>57</v>
      </c>
      <c r="E85" s="360"/>
      <c r="F85" s="35"/>
      <c r="G85" s="35"/>
      <c r="H85" s="35"/>
      <c r="I85" s="35"/>
      <c r="J85" s="35"/>
      <c r="K85" s="35"/>
      <c r="L85" s="35"/>
      <c r="M85" s="35"/>
      <c r="O85" s="2"/>
      <c r="AE85" s="3" t="s">
        <v>57</v>
      </c>
      <c r="AF85" s="3">
        <v>11</v>
      </c>
      <c r="AG85" s="3">
        <f t="shared" si="0"/>
        <v>1</v>
      </c>
      <c r="AH85" s="3">
        <f>+IF(AG85=0,0,IF(AG85=1,(SUM($AG$75:AG85)-1),1))</f>
        <v>8</v>
      </c>
      <c r="AI85" s="3">
        <f t="shared" si="1"/>
        <v>1</v>
      </c>
      <c r="AJ85" s="3">
        <f t="shared" si="2"/>
        <v>0</v>
      </c>
      <c r="AK85" s="3">
        <f t="shared" si="3"/>
        <v>1</v>
      </c>
    </row>
    <row r="86" spans="2:37" x14ac:dyDescent="0.25">
      <c r="B86" s="2"/>
      <c r="D86" s="360" t="s">
        <v>58</v>
      </c>
      <c r="E86" s="360"/>
      <c r="F86" s="16"/>
      <c r="G86" s="16">
        <f>+H86-0.001</f>
        <v>0.69899999999999995</v>
      </c>
      <c r="H86" s="16">
        <v>0.7</v>
      </c>
      <c r="I86" s="16">
        <f>+J86-0.001</f>
        <v>0.79900000000000004</v>
      </c>
      <c r="J86" s="16">
        <v>0.8</v>
      </c>
      <c r="K86" s="16">
        <f>+M86-0.001</f>
        <v>0.999</v>
      </c>
      <c r="L86" s="16"/>
      <c r="M86" s="16">
        <v>1</v>
      </c>
      <c r="O86" s="2"/>
      <c r="AE86" s="3" t="s">
        <v>58</v>
      </c>
      <c r="AF86" s="65">
        <v>12</v>
      </c>
      <c r="AG86" s="3">
        <f t="shared" si="0"/>
        <v>1</v>
      </c>
      <c r="AH86" s="3">
        <f>+IF(AG86=0,0,IF(AG86=1,(SUM($AG$75:AG86)-1),1))</f>
        <v>9</v>
      </c>
      <c r="AI86" s="3">
        <f t="shared" si="1"/>
        <v>0</v>
      </c>
      <c r="AJ86" s="3">
        <f t="shared" si="2"/>
        <v>0</v>
      </c>
      <c r="AK86" s="3">
        <f t="shared" si="3"/>
        <v>0</v>
      </c>
    </row>
    <row r="87" spans="2:37" ht="3.75" customHeight="1" x14ac:dyDescent="0.25">
      <c r="B87" s="2"/>
      <c r="O87" s="2"/>
    </row>
    <row r="88" spans="2:37" ht="66" customHeight="1" x14ac:dyDescent="0.25">
      <c r="B88" s="2"/>
      <c r="D88" s="338" t="s">
        <v>59</v>
      </c>
      <c r="E88" s="339"/>
      <c r="F88" s="340" t="s">
        <v>96</v>
      </c>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28.5" customHeight="1" x14ac:dyDescent="0.25">
      <c r="B97" s="2"/>
      <c r="D97" s="359" t="s">
        <v>35</v>
      </c>
      <c r="E97" s="359"/>
      <c r="F97" s="344" t="s">
        <v>2076</v>
      </c>
      <c r="G97" s="344"/>
      <c r="H97" s="344"/>
      <c r="I97" s="344"/>
      <c r="J97" s="344"/>
      <c r="K97" s="344"/>
      <c r="L97" s="344"/>
      <c r="M97" s="344"/>
      <c r="O97" s="2"/>
    </row>
    <row r="98" spans="2:15" ht="28.5" customHeight="1" x14ac:dyDescent="0.25">
      <c r="B98" s="2"/>
      <c r="D98" s="359" t="s">
        <v>36</v>
      </c>
      <c r="E98" s="359"/>
      <c r="F98" s="344" t="s">
        <v>2077</v>
      </c>
      <c r="G98" s="344"/>
      <c r="H98" s="344"/>
      <c r="I98" s="344"/>
      <c r="J98" s="344"/>
      <c r="K98" s="344"/>
      <c r="L98" s="344"/>
      <c r="M98" s="344"/>
      <c r="O98" s="2"/>
    </row>
    <row r="99" spans="2:15" ht="3.95" customHeight="1" x14ac:dyDescent="0.25">
      <c r="B99" s="2"/>
      <c r="O99" s="2"/>
    </row>
    <row r="100" spans="2:15" ht="58.5" customHeight="1" x14ac:dyDescent="0.25">
      <c r="B100" s="2"/>
      <c r="D100" s="338" t="s">
        <v>62</v>
      </c>
      <c r="E100" s="339"/>
      <c r="F100" s="340" t="s">
        <v>97</v>
      </c>
      <c r="G100" s="341"/>
      <c r="H100" s="341"/>
      <c r="I100" s="341"/>
      <c r="J100" s="341"/>
      <c r="K100" s="341"/>
      <c r="L100" s="341"/>
      <c r="M100" s="342"/>
      <c r="O100" s="2"/>
    </row>
    <row r="101" spans="2:15" ht="3.95" customHeight="1" x14ac:dyDescent="0.25">
      <c r="B101" s="2"/>
      <c r="O101" s="2"/>
    </row>
    <row r="102" spans="2:15" ht="19.5" customHeight="1" x14ac:dyDescent="0.25">
      <c r="B102" s="2"/>
      <c r="D102" s="329" t="s">
        <v>64</v>
      </c>
      <c r="E102" s="330"/>
      <c r="F102" s="19" t="s">
        <v>65</v>
      </c>
      <c r="G102" s="4" t="s">
        <v>1</v>
      </c>
      <c r="K102" s="20"/>
      <c r="O102" s="2"/>
    </row>
    <row r="103" spans="2:15" ht="19.5" customHeight="1" x14ac:dyDescent="0.25">
      <c r="B103" s="2"/>
      <c r="D103" s="331"/>
      <c r="E103" s="332"/>
      <c r="F103" s="19" t="s">
        <v>66</v>
      </c>
      <c r="G103" s="4" t="s">
        <v>138</v>
      </c>
      <c r="K103" s="21"/>
      <c r="O103" s="2"/>
    </row>
    <row r="104" spans="2:15" ht="27.75" customHeight="1" x14ac:dyDescent="0.25">
      <c r="B104" s="2"/>
      <c r="D104" s="331"/>
      <c r="E104" s="332"/>
      <c r="F104" s="19" t="s">
        <v>67</v>
      </c>
      <c r="G104" s="365" t="s">
        <v>1730</v>
      </c>
      <c r="H104" s="366"/>
      <c r="I104" s="366"/>
      <c r="J104" s="366"/>
      <c r="K104" s="366"/>
      <c r="L104" s="366"/>
      <c r="M104" s="367"/>
      <c r="O104" s="2"/>
    </row>
    <row r="105" spans="2:15" ht="3.95" customHeight="1" x14ac:dyDescent="0.25">
      <c r="B105" s="2"/>
      <c r="O105" s="2"/>
    </row>
    <row r="106" spans="2:15" ht="197.25" customHeight="1" x14ac:dyDescent="0.25">
      <c r="B106" s="2"/>
      <c r="D106" s="338" t="s">
        <v>68</v>
      </c>
      <c r="E106" s="339"/>
      <c r="F106" s="340" t="s">
        <v>69</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65" t="str">
        <f>+VLOOKUP(H10,tablero!$P$5:$R$201,3,FALSE)</f>
        <v xml:space="preserve">Director(a) Primera Infancia </v>
      </c>
      <c r="H108" s="366"/>
      <c r="I108" s="366"/>
      <c r="J108" s="366"/>
      <c r="K108" s="366"/>
      <c r="L108" s="366"/>
      <c r="M108" s="367"/>
      <c r="O108" s="2"/>
    </row>
    <row r="109" spans="2:15" ht="17.25" customHeight="1" x14ac:dyDescent="0.25">
      <c r="B109" s="2"/>
      <c r="D109" s="331"/>
      <c r="E109" s="332"/>
      <c r="F109" s="19" t="s">
        <v>2042</v>
      </c>
      <c r="G109" s="365" t="str">
        <f>+IF(M23="Si","Coordinador(a) Planeación y Sistemas","")</f>
        <v>Coordinador(a) Planeación y Sistemas</v>
      </c>
      <c r="H109" s="366"/>
      <c r="I109" s="366"/>
      <c r="J109" s="366"/>
      <c r="K109" s="366"/>
      <c r="L109" s="366"/>
      <c r="M109" s="367"/>
      <c r="O109" s="2"/>
    </row>
    <row r="110" spans="2:15" ht="17.25" customHeight="1" x14ac:dyDescent="0.25">
      <c r="B110" s="2"/>
      <c r="D110" s="331"/>
      <c r="E110" s="332"/>
      <c r="F110" s="19" t="s">
        <v>2043</v>
      </c>
      <c r="G110" s="365" t="str">
        <f>+IF(M24="Si","Coordinador(a) Centro Zonal","")</f>
        <v/>
      </c>
      <c r="H110" s="366"/>
      <c r="I110" s="366"/>
      <c r="J110" s="366"/>
      <c r="K110" s="366"/>
      <c r="L110" s="366"/>
      <c r="M110" s="367"/>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3182" priority="33">
      <formula>+IF($F$43="no",1,0)</formula>
    </cfRule>
  </conditionalFormatting>
  <conditionalFormatting sqref="F32:M33">
    <cfRule type="expression" dxfId="3181" priority="32">
      <formula>+IF($Q$30="NA",1,0)</formula>
    </cfRule>
  </conditionalFormatting>
  <conditionalFormatting sqref="F33:M33">
    <cfRule type="expression" dxfId="3180" priority="31">
      <formula>+IF($Q$33=0,1,0)</formula>
    </cfRule>
  </conditionalFormatting>
  <conditionalFormatting sqref="F47:M47">
    <cfRule type="expression" dxfId="3179" priority="30">
      <formula>+IF($Q$47=0,1,0)</formula>
    </cfRule>
  </conditionalFormatting>
  <conditionalFormatting sqref="F73:G73">
    <cfRule type="cellIs" dxfId="3178" priority="28" operator="equal">
      <formula>"optimo"</formula>
    </cfRule>
    <cfRule type="cellIs" dxfId="3177" priority="29" operator="equal">
      <formula>"critico"</formula>
    </cfRule>
  </conditionalFormatting>
  <conditionalFormatting sqref="H73:I73">
    <cfRule type="cellIs" dxfId="3176" priority="26" operator="equal">
      <formula>"Adecuado"</formula>
    </cfRule>
    <cfRule type="cellIs" dxfId="3175" priority="27" operator="equal">
      <formula>"en riesgo"</formula>
    </cfRule>
  </conditionalFormatting>
  <conditionalFormatting sqref="J73:K73">
    <cfRule type="cellIs" dxfId="3174" priority="24" operator="equal">
      <formula>"Adecuado"</formula>
    </cfRule>
    <cfRule type="cellIs" dxfId="3173" priority="25" operator="equal">
      <formula>"en riesgo"</formula>
    </cfRule>
  </conditionalFormatting>
  <conditionalFormatting sqref="L73:M73">
    <cfRule type="cellIs" dxfId="3172" priority="22" operator="equal">
      <formula>"optimo"</formula>
    </cfRule>
    <cfRule type="cellIs" dxfId="3171" priority="23" operator="equal">
      <formula>"critico"</formula>
    </cfRule>
  </conditionalFormatting>
  <conditionalFormatting sqref="F103:G104">
    <cfRule type="expression" dxfId="3170" priority="20">
      <formula>+IF($G$102="No",1,0)</formula>
    </cfRule>
  </conditionalFormatting>
  <conditionalFormatting sqref="F51">
    <cfRule type="expression" dxfId="3169" priority="19">
      <formula>+IF($F$43="no",1,0)</formula>
    </cfRule>
  </conditionalFormatting>
  <conditionalFormatting sqref="I51">
    <cfRule type="expression" dxfId="3168" priority="18">
      <formula>+IF($F$51="no",1,0)</formula>
    </cfRule>
  </conditionalFormatting>
  <conditionalFormatting sqref="F75:M79">
    <cfRule type="expression" dxfId="3167" priority="2">
      <formula>+IF($AK75=0,1)</formula>
    </cfRule>
  </conditionalFormatting>
  <conditionalFormatting sqref="F81:M81 F83:M83 F85:M85">
    <cfRule type="expression" dxfId="3166" priority="1">
      <formula>+IF($AK81=0,1)</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0">
    <tabColor rgb="FF0070C0"/>
  </sheetPr>
  <dimension ref="B1:AV113"/>
  <sheetViews>
    <sheetView zoomScaleNormal="100" workbookViewId="0"/>
  </sheetViews>
  <sheetFormatPr baseColWidth="10" defaultRowHeight="12.75" x14ac:dyDescent="0.25"/>
  <cols>
    <col min="1" max="1" width="1.140625" style="104" customWidth="1"/>
    <col min="2" max="2" width="0.5703125" style="104" customWidth="1"/>
    <col min="3" max="3" width="1.42578125" style="104" customWidth="1"/>
    <col min="4" max="4" width="11" style="104" customWidth="1"/>
    <col min="5" max="13" width="11.42578125" style="104" customWidth="1"/>
    <col min="14" max="14" width="1.42578125" style="104" customWidth="1"/>
    <col min="15" max="15" width="0.5703125" style="104" customWidth="1"/>
    <col min="16" max="16" width="11.42578125" style="105"/>
    <col min="17" max="18" width="11.42578125" style="105" customWidth="1"/>
    <col min="19" max="19" width="11.42578125" style="105"/>
    <col min="20" max="20" width="2.7109375" style="105" customWidth="1"/>
    <col min="21" max="21" width="11.42578125" style="105"/>
    <col min="22" max="22" width="2.7109375" style="105" customWidth="1"/>
    <col min="23" max="23" width="11.42578125" style="105"/>
    <col min="24" max="24" width="2.7109375" style="105" customWidth="1"/>
    <col min="25" max="25" width="11.42578125" style="105"/>
    <col min="26" max="26" width="2.7109375" style="105" customWidth="1"/>
    <col min="27" max="27" width="11.42578125" style="105"/>
    <col min="28" max="28" width="2.7109375" style="105" customWidth="1"/>
    <col min="29" max="31" width="11.42578125" style="105"/>
    <col min="32" max="37" width="3.140625" style="105" customWidth="1"/>
    <col min="38" max="45" width="7.42578125" style="105" customWidth="1"/>
    <col min="46" max="48" width="11.42578125" style="105"/>
    <col min="49" max="16384" width="11.42578125" style="104"/>
  </cols>
  <sheetData>
    <row r="1" spans="2:19" ht="3.95" customHeight="1" x14ac:dyDescent="0.25"/>
    <row r="2" spans="2:19" ht="3.95" customHeight="1" x14ac:dyDescent="0.25">
      <c r="B2" s="106"/>
      <c r="C2" s="106"/>
      <c r="D2" s="106"/>
      <c r="E2" s="106"/>
      <c r="F2" s="106"/>
      <c r="G2" s="106"/>
      <c r="H2" s="106"/>
      <c r="I2" s="106"/>
      <c r="J2" s="106"/>
      <c r="K2" s="106"/>
      <c r="L2" s="106"/>
      <c r="M2" s="106"/>
      <c r="N2" s="106"/>
      <c r="O2" s="106"/>
    </row>
    <row r="3" spans="2:19" ht="20.25" customHeight="1" x14ac:dyDescent="0.25">
      <c r="B3" s="106"/>
      <c r="C3" s="411" t="s">
        <v>0</v>
      </c>
      <c r="D3" s="411"/>
      <c r="E3" s="411"/>
      <c r="F3" s="411"/>
      <c r="G3" s="411"/>
      <c r="H3" s="411"/>
      <c r="I3" s="411"/>
      <c r="J3" s="411"/>
      <c r="K3" s="411"/>
      <c r="L3" s="411"/>
      <c r="M3" s="411"/>
      <c r="N3" s="411"/>
      <c r="O3" s="106"/>
    </row>
    <row r="4" spans="2:19" ht="20.25" customHeight="1" x14ac:dyDescent="0.25">
      <c r="B4" s="106"/>
      <c r="C4" s="411"/>
      <c r="D4" s="411"/>
      <c r="E4" s="411"/>
      <c r="F4" s="411"/>
      <c r="G4" s="411"/>
      <c r="H4" s="411"/>
      <c r="I4" s="411"/>
      <c r="J4" s="411"/>
      <c r="K4" s="411"/>
      <c r="L4" s="411"/>
      <c r="M4" s="411"/>
      <c r="N4" s="411"/>
      <c r="O4" s="106"/>
      <c r="Q4" s="3"/>
      <c r="R4" s="3"/>
      <c r="S4" s="105" t="s">
        <v>1</v>
      </c>
    </row>
    <row r="5" spans="2:19" ht="20.25" customHeight="1" x14ac:dyDescent="0.25">
      <c r="B5" s="106"/>
      <c r="C5" s="411"/>
      <c r="D5" s="411"/>
      <c r="E5" s="411"/>
      <c r="F5" s="411"/>
      <c r="G5" s="411"/>
      <c r="H5" s="411"/>
      <c r="I5" s="411"/>
      <c r="J5" s="411"/>
      <c r="K5" s="411"/>
      <c r="L5" s="411"/>
      <c r="M5" s="411"/>
      <c r="N5" s="411"/>
      <c r="O5" s="106"/>
      <c r="S5" s="105" t="s">
        <v>2</v>
      </c>
    </row>
    <row r="6" spans="2:19" ht="3" customHeight="1" x14ac:dyDescent="0.25">
      <c r="B6" s="106"/>
      <c r="C6" s="106"/>
      <c r="D6" s="106"/>
      <c r="E6" s="106"/>
      <c r="F6" s="106"/>
      <c r="G6" s="106"/>
      <c r="H6" s="106"/>
      <c r="I6" s="106"/>
      <c r="J6" s="106"/>
      <c r="K6" s="106"/>
      <c r="L6" s="106"/>
      <c r="M6" s="106"/>
      <c r="N6" s="106"/>
      <c r="O6" s="106"/>
    </row>
    <row r="7" spans="2:19" ht="3" customHeight="1" x14ac:dyDescent="0.25"/>
    <row r="8" spans="2:19" ht="3.95" customHeight="1" x14ac:dyDescent="0.25">
      <c r="B8" s="106"/>
      <c r="C8" s="106"/>
      <c r="D8" s="106"/>
      <c r="E8" s="106"/>
      <c r="F8" s="106"/>
      <c r="G8" s="106"/>
      <c r="H8" s="106"/>
      <c r="I8" s="106"/>
      <c r="J8" s="106"/>
      <c r="K8" s="106"/>
      <c r="L8" s="106"/>
      <c r="M8" s="106"/>
      <c r="N8" s="106"/>
      <c r="O8" s="106"/>
    </row>
    <row r="9" spans="2:19" ht="3.95" customHeight="1" x14ac:dyDescent="0.25">
      <c r="B9" s="106"/>
      <c r="O9" s="106"/>
    </row>
    <row r="10" spans="2:19" ht="15.75" customHeight="1" x14ac:dyDescent="0.25">
      <c r="B10" s="106"/>
      <c r="D10" s="387" t="s">
        <v>3</v>
      </c>
      <c r="E10" s="387"/>
      <c r="F10" s="107">
        <v>2015</v>
      </c>
      <c r="G10" s="108" t="s">
        <v>4</v>
      </c>
      <c r="H10" s="107" t="s">
        <v>1326</v>
      </c>
      <c r="O10" s="106"/>
    </row>
    <row r="11" spans="2:19" ht="3.95" customHeight="1" x14ac:dyDescent="0.25">
      <c r="B11" s="106"/>
      <c r="D11" s="109"/>
      <c r="O11" s="106"/>
    </row>
    <row r="12" spans="2:19" ht="36" customHeight="1" x14ac:dyDescent="0.25">
      <c r="B12" s="106"/>
      <c r="D12" s="378" t="s">
        <v>5</v>
      </c>
      <c r="E12" s="379"/>
      <c r="F12" s="389" t="s">
        <v>1355</v>
      </c>
      <c r="G12" s="390"/>
      <c r="H12" s="390"/>
      <c r="I12" s="390"/>
      <c r="J12" s="390"/>
      <c r="K12" s="390"/>
      <c r="L12" s="390"/>
      <c r="M12" s="391"/>
      <c r="O12" s="106"/>
      <c r="Q12" s="110" t="s">
        <v>1977</v>
      </c>
      <c r="S12" s="111">
        <v>154</v>
      </c>
    </row>
    <row r="13" spans="2:19" ht="3.95" customHeight="1" x14ac:dyDescent="0.25">
      <c r="B13" s="106"/>
      <c r="O13" s="106"/>
    </row>
    <row r="14" spans="2:19" ht="38.25" customHeight="1" x14ac:dyDescent="0.25">
      <c r="B14" s="106"/>
      <c r="D14" s="378" t="s">
        <v>6</v>
      </c>
      <c r="E14" s="379"/>
      <c r="F14" s="389" t="s">
        <v>1327</v>
      </c>
      <c r="G14" s="390"/>
      <c r="H14" s="390"/>
      <c r="I14" s="390"/>
      <c r="J14" s="390"/>
      <c r="K14" s="390"/>
      <c r="L14" s="390"/>
      <c r="M14" s="391"/>
      <c r="O14" s="106"/>
    </row>
    <row r="15" spans="2:19" ht="3.95" customHeight="1" x14ac:dyDescent="0.25">
      <c r="B15" s="106"/>
      <c r="O15" s="106"/>
    </row>
    <row r="16" spans="2:19" ht="3" customHeight="1" x14ac:dyDescent="0.25">
      <c r="B16" s="106"/>
      <c r="C16" s="106"/>
      <c r="D16" s="106"/>
      <c r="E16" s="106"/>
      <c r="F16" s="106"/>
      <c r="G16" s="106"/>
      <c r="H16" s="106"/>
      <c r="I16" s="106"/>
      <c r="J16" s="106"/>
      <c r="K16" s="106"/>
      <c r="L16" s="106"/>
      <c r="M16" s="106"/>
      <c r="N16" s="106"/>
      <c r="O16" s="106"/>
    </row>
    <row r="17" spans="2:17" ht="3" customHeight="1" x14ac:dyDescent="0.25"/>
    <row r="18" spans="2:17" ht="3" customHeight="1" x14ac:dyDescent="0.25">
      <c r="B18" s="106"/>
      <c r="C18" s="106"/>
      <c r="D18" s="106"/>
      <c r="E18" s="106"/>
      <c r="F18" s="106"/>
      <c r="G18" s="106"/>
      <c r="H18" s="106"/>
      <c r="I18" s="106"/>
      <c r="J18" s="106"/>
      <c r="K18" s="106"/>
      <c r="L18" s="106"/>
      <c r="M18" s="106"/>
      <c r="N18" s="106"/>
      <c r="O18" s="106"/>
    </row>
    <row r="19" spans="2:17" ht="3.95" customHeight="1" x14ac:dyDescent="0.25">
      <c r="B19" s="106"/>
      <c r="O19" s="106"/>
    </row>
    <row r="20" spans="2:17" x14ac:dyDescent="0.25">
      <c r="B20" s="106"/>
      <c r="D20" s="112" t="s">
        <v>7</v>
      </c>
      <c r="O20" s="106"/>
    </row>
    <row r="21" spans="2:17" ht="3.95" customHeight="1" x14ac:dyDescent="0.25">
      <c r="B21" s="106"/>
      <c r="O21" s="106"/>
    </row>
    <row r="22" spans="2:17" ht="18.75" customHeight="1" x14ac:dyDescent="0.25">
      <c r="B22" s="106"/>
      <c r="D22" s="387" t="s">
        <v>8</v>
      </c>
      <c r="E22" s="387"/>
      <c r="F22" s="113" t="s">
        <v>1978</v>
      </c>
      <c r="G22" s="387" t="s">
        <v>9</v>
      </c>
      <c r="H22" s="387"/>
      <c r="I22" s="114">
        <f>+IFERROR(VLOOKUP($S$12,[1]Hoja1!$B$5:$AT$190,19,FALSE),"")</f>
        <v>1</v>
      </c>
      <c r="K22" s="387" t="s">
        <v>10</v>
      </c>
      <c r="L22" s="387"/>
      <c r="M22" s="115" t="str">
        <f>+IFERROR(VLOOKUP($S$12,[1]Hoja1!$B$5:$AT$190,22,FALSE),"")</f>
        <v>Si</v>
      </c>
      <c r="O22" s="106"/>
    </row>
    <row r="23" spans="2:17" ht="19.5" customHeight="1" x14ac:dyDescent="0.25">
      <c r="B23" s="106"/>
      <c r="D23" s="387" t="s">
        <v>11</v>
      </c>
      <c r="E23" s="387"/>
      <c r="F23" s="107" t="str">
        <f>+IFERROR(VLOOKUP($S$12,[1]Hoja1!$B$5:$AT$190,33,FALSE),"")</f>
        <v>Mensual</v>
      </c>
      <c r="G23" s="387" t="s">
        <v>12</v>
      </c>
      <c r="H23" s="387"/>
      <c r="I23" s="107" t="str">
        <f>+IFERROR(VLOOKUP($S$12,[1]Hoja1!$B$5:$AT$190,21,FALSE),"")</f>
        <v>Porcentaje</v>
      </c>
      <c r="K23" s="387" t="s">
        <v>13</v>
      </c>
      <c r="L23" s="387"/>
      <c r="M23" s="115" t="str">
        <f>+IFERROR(VLOOKUP($S$12,[1]Hoja1!$B$5:$AT$190,23,FALSE),"")</f>
        <v>No</v>
      </c>
      <c r="O23" s="106"/>
    </row>
    <row r="24" spans="2:17" ht="20.100000000000001" customHeight="1" x14ac:dyDescent="0.25">
      <c r="B24" s="106"/>
      <c r="D24" s="387" t="s">
        <v>14</v>
      </c>
      <c r="E24" s="387"/>
      <c r="F24" s="107" t="s">
        <v>498</v>
      </c>
      <c r="G24" s="387" t="s">
        <v>15</v>
      </c>
      <c r="H24" s="387"/>
      <c r="I24" s="107" t="s">
        <v>533</v>
      </c>
      <c r="K24" s="387" t="s">
        <v>16</v>
      </c>
      <c r="L24" s="387"/>
      <c r="M24" s="115" t="str">
        <f>+IFERROR(VLOOKUP($S$12,[1]Hoja1!$B$5:$AT$190,24,FALSE),"")</f>
        <v>No</v>
      </c>
      <c r="O24" s="106"/>
    </row>
    <row r="25" spans="2:17" ht="20.100000000000001" customHeight="1" x14ac:dyDescent="0.25">
      <c r="B25" s="106"/>
      <c r="D25" s="387" t="s">
        <v>17</v>
      </c>
      <c r="E25" s="387"/>
      <c r="F25" s="107" t="str">
        <f>+IFERROR(VLOOKUP($S$12,[1]Hoja1!$B$5:$AT$190,18,FALSE),"")</f>
        <v>Eficiencia</v>
      </c>
      <c r="O25" s="106"/>
    </row>
    <row r="26" spans="2:17" ht="3.95" customHeight="1" x14ac:dyDescent="0.25">
      <c r="B26" s="106"/>
      <c r="O26" s="106"/>
    </row>
    <row r="27" spans="2:17" x14ac:dyDescent="0.25">
      <c r="B27" s="106"/>
      <c r="D27" s="112" t="s">
        <v>18</v>
      </c>
      <c r="O27" s="106"/>
    </row>
    <row r="28" spans="2:17" ht="3.95" customHeight="1" x14ac:dyDescent="0.25">
      <c r="B28" s="106"/>
      <c r="O28" s="106"/>
    </row>
    <row r="29" spans="2:17" ht="36" customHeight="1" x14ac:dyDescent="0.25">
      <c r="B29" s="106"/>
      <c r="D29" s="393" t="s">
        <v>19</v>
      </c>
      <c r="E29" s="393"/>
      <c r="F29" s="344" t="s">
        <v>20</v>
      </c>
      <c r="G29" s="344"/>
      <c r="H29" s="344"/>
      <c r="I29" s="344"/>
      <c r="J29" s="344"/>
      <c r="K29" s="344"/>
      <c r="L29" s="344"/>
      <c r="M29" s="344"/>
      <c r="O29" s="106"/>
      <c r="P29" s="105" t="s">
        <v>1979</v>
      </c>
    </row>
    <row r="30" spans="2:17" ht="18" customHeight="1" x14ac:dyDescent="0.25">
      <c r="B30" s="106"/>
      <c r="D30" s="404" t="s">
        <v>21</v>
      </c>
      <c r="E30" s="405"/>
      <c r="F30" s="116" t="s">
        <v>22</v>
      </c>
      <c r="G30" s="408" t="s">
        <v>5</v>
      </c>
      <c r="H30" s="409"/>
      <c r="I30" s="409"/>
      <c r="J30" s="409"/>
      <c r="K30" s="409"/>
      <c r="L30" s="409"/>
      <c r="M30" s="410"/>
      <c r="O30" s="106"/>
      <c r="Q30" s="105" t="str">
        <f>+IFERROR(VLOOKUP(G31,[1]base!$A$9:$C$25,3,FALSE),"")</f>
        <v>NA</v>
      </c>
    </row>
    <row r="31" spans="2:17" ht="24" customHeight="1" x14ac:dyDescent="0.25">
      <c r="B31" s="106"/>
      <c r="D31" s="406"/>
      <c r="E31" s="407"/>
      <c r="F31" s="4" t="s">
        <v>109</v>
      </c>
      <c r="G31" s="340" t="s">
        <v>110</v>
      </c>
      <c r="H31" s="341"/>
      <c r="I31" s="341"/>
      <c r="J31" s="341"/>
      <c r="K31" s="341"/>
      <c r="L31" s="341"/>
      <c r="M31" s="342"/>
      <c r="O31" s="106"/>
    </row>
    <row r="32" spans="2:17" ht="18" customHeight="1" x14ac:dyDescent="0.25">
      <c r="B32" s="106"/>
      <c r="D32" s="404" t="s">
        <v>23</v>
      </c>
      <c r="E32" s="405"/>
      <c r="F32" s="116" t="s">
        <v>22</v>
      </c>
      <c r="G32" s="408" t="s">
        <v>5</v>
      </c>
      <c r="H32" s="409"/>
      <c r="I32" s="409"/>
      <c r="J32" s="409"/>
      <c r="K32" s="409"/>
      <c r="L32" s="409"/>
      <c r="M32" s="410"/>
      <c r="O32" s="106"/>
    </row>
    <row r="33" spans="2:17" ht="24" customHeight="1" x14ac:dyDescent="0.25">
      <c r="B33" s="106"/>
      <c r="D33" s="406"/>
      <c r="E33" s="407"/>
      <c r="F33" s="117" t="str">
        <f>+IFERROR(VLOOKUP(G33,[1]base!$A$26:$B$40,2,FALSE),"")</f>
        <v/>
      </c>
      <c r="G33" s="389"/>
      <c r="H33" s="390"/>
      <c r="I33" s="390"/>
      <c r="J33" s="390"/>
      <c r="K33" s="390"/>
      <c r="L33" s="390"/>
      <c r="M33" s="391"/>
      <c r="O33" s="106"/>
      <c r="Q33" s="105" t="str">
        <f>+IFERROR(IF(VLOOKUP(G33,[1]base!$A$26:$C$40,3,FALSE)=F31,1,0),"")</f>
        <v/>
      </c>
    </row>
    <row r="34" spans="2:17" ht="18" customHeight="1" x14ac:dyDescent="0.25">
      <c r="B34" s="106"/>
      <c r="D34" s="404" t="s">
        <v>24</v>
      </c>
      <c r="E34" s="405"/>
      <c r="F34" s="116" t="s">
        <v>22</v>
      </c>
      <c r="G34" s="408" t="s">
        <v>5</v>
      </c>
      <c r="H34" s="409"/>
      <c r="I34" s="409"/>
      <c r="J34" s="409"/>
      <c r="K34" s="409"/>
      <c r="L34" s="409"/>
      <c r="M34" s="410"/>
      <c r="O34" s="106"/>
    </row>
    <row r="35" spans="2:17" ht="24" customHeight="1" x14ac:dyDescent="0.25">
      <c r="B35" s="106"/>
      <c r="D35" s="406"/>
      <c r="E35" s="407"/>
      <c r="F35" s="4" t="s">
        <v>1711</v>
      </c>
      <c r="G35" s="340" t="s">
        <v>1587</v>
      </c>
      <c r="H35" s="341"/>
      <c r="I35" s="341"/>
      <c r="J35" s="341"/>
      <c r="K35" s="341"/>
      <c r="L35" s="341"/>
      <c r="M35" s="342"/>
      <c r="O35" s="106"/>
    </row>
    <row r="36" spans="2:17" ht="3.95" customHeight="1" x14ac:dyDescent="0.25">
      <c r="B36" s="106"/>
      <c r="O36" s="106"/>
    </row>
    <row r="37" spans="2:17" ht="3" customHeight="1" x14ac:dyDescent="0.25">
      <c r="B37" s="106"/>
      <c r="C37" s="106"/>
      <c r="D37" s="106"/>
      <c r="E37" s="106"/>
      <c r="F37" s="106"/>
      <c r="G37" s="106"/>
      <c r="H37" s="106"/>
      <c r="I37" s="106"/>
      <c r="J37" s="106"/>
      <c r="K37" s="106"/>
      <c r="L37" s="106"/>
      <c r="M37" s="106"/>
      <c r="N37" s="106"/>
      <c r="O37" s="106"/>
    </row>
    <row r="38" spans="2:17" ht="3" customHeight="1" x14ac:dyDescent="0.25"/>
    <row r="39" spans="2:17" ht="3" customHeight="1" x14ac:dyDescent="0.25">
      <c r="B39" s="106"/>
      <c r="C39" s="106"/>
      <c r="D39" s="106"/>
      <c r="E39" s="106"/>
      <c r="F39" s="106"/>
      <c r="G39" s="106"/>
      <c r="H39" s="106"/>
      <c r="I39" s="106"/>
      <c r="J39" s="106"/>
      <c r="K39" s="106"/>
      <c r="L39" s="106"/>
      <c r="M39" s="106"/>
      <c r="N39" s="106"/>
      <c r="O39" s="106"/>
    </row>
    <row r="40" spans="2:17" ht="3.95" customHeight="1" x14ac:dyDescent="0.25">
      <c r="B40" s="106"/>
      <c r="D40" s="112"/>
      <c r="O40" s="106"/>
    </row>
    <row r="41" spans="2:17" x14ac:dyDescent="0.25">
      <c r="B41" s="106"/>
      <c r="D41" s="112" t="s">
        <v>25</v>
      </c>
      <c r="O41" s="106"/>
    </row>
    <row r="42" spans="2:17" ht="3.95" customHeight="1" x14ac:dyDescent="0.25">
      <c r="B42" s="106"/>
      <c r="O42" s="106"/>
    </row>
    <row r="43" spans="2:17" ht="20.100000000000001" customHeight="1" x14ac:dyDescent="0.25">
      <c r="B43" s="106"/>
      <c r="D43" s="387" t="s">
        <v>26</v>
      </c>
      <c r="E43" s="387"/>
      <c r="F43" s="107" t="s">
        <v>2</v>
      </c>
      <c r="O43" s="106"/>
    </row>
    <row r="44" spans="2:17" ht="18" customHeight="1" x14ac:dyDescent="0.25">
      <c r="B44" s="106"/>
      <c r="D44" s="397" t="s">
        <v>27</v>
      </c>
      <c r="E44" s="398"/>
      <c r="F44" s="118" t="s">
        <v>22</v>
      </c>
      <c r="G44" s="401" t="s">
        <v>5</v>
      </c>
      <c r="H44" s="402"/>
      <c r="I44" s="402"/>
      <c r="J44" s="402"/>
      <c r="K44" s="402"/>
      <c r="L44" s="402"/>
      <c r="M44" s="403"/>
      <c r="O44" s="106"/>
    </row>
    <row r="45" spans="2:17" ht="18" customHeight="1" x14ac:dyDescent="0.25">
      <c r="B45" s="106"/>
      <c r="D45" s="399"/>
      <c r="E45" s="400"/>
      <c r="F45" s="107" t="str">
        <f>+IFERROR(VLOOKUP(G45,[1]base!$A$41:$B$45,2,FALSE),"")</f>
        <v>LP5</v>
      </c>
      <c r="G45" s="389" t="str">
        <f>+IFERROR(VLOOKUP($S$12,[1]Hoja1!$B$5:$AT$190,6,FALSE),"")</f>
        <v>Gestión Financiera</v>
      </c>
      <c r="H45" s="390"/>
      <c r="I45" s="390"/>
      <c r="J45" s="390"/>
      <c r="K45" s="390"/>
      <c r="L45" s="390"/>
      <c r="M45" s="391"/>
      <c r="O45" s="106"/>
      <c r="Q45" s="105" t="str">
        <f>+IFERROR(VLOOKUP(G45,[1]base!$A$41:$C$45,3,FALSE),"")</f>
        <v>financiera</v>
      </c>
    </row>
    <row r="46" spans="2:17" ht="18" customHeight="1" x14ac:dyDescent="0.25">
      <c r="B46" s="106"/>
      <c r="D46" s="397" t="s">
        <v>28</v>
      </c>
      <c r="E46" s="398"/>
      <c r="F46" s="118" t="s">
        <v>22</v>
      </c>
      <c r="G46" s="401" t="s">
        <v>5</v>
      </c>
      <c r="H46" s="402"/>
      <c r="I46" s="402"/>
      <c r="J46" s="402"/>
      <c r="K46" s="402"/>
      <c r="L46" s="402"/>
      <c r="M46" s="403"/>
      <c r="O46" s="106"/>
    </row>
    <row r="47" spans="2:17" ht="18" customHeight="1" x14ac:dyDescent="0.25">
      <c r="B47" s="106"/>
      <c r="D47" s="399"/>
      <c r="E47" s="400"/>
      <c r="F47" s="107" t="str">
        <f>+IFERROR(VLOOKUP(G47,[1]base!$A$46:$B$66,2,FALSE),"")</f>
        <v/>
      </c>
      <c r="G47" s="389"/>
      <c r="H47" s="390"/>
      <c r="I47" s="390"/>
      <c r="J47" s="390"/>
      <c r="K47" s="390"/>
      <c r="L47" s="390"/>
      <c r="M47" s="391"/>
      <c r="O47" s="106"/>
      <c r="Q47" s="105" t="e">
        <f>+IF(VLOOKUP(G47,[1]base!$A$46:$C$66,3,FALSE)=F45,1,0)</f>
        <v>#N/A</v>
      </c>
    </row>
    <row r="48" spans="2:17" ht="18" customHeight="1" x14ac:dyDescent="0.25">
      <c r="B48" s="106"/>
      <c r="D48" s="397" t="s">
        <v>29</v>
      </c>
      <c r="E48" s="398"/>
      <c r="F48" s="118" t="s">
        <v>22</v>
      </c>
      <c r="G48" s="401" t="s">
        <v>5</v>
      </c>
      <c r="H48" s="402"/>
      <c r="I48" s="402"/>
      <c r="J48" s="402"/>
      <c r="K48" s="402"/>
      <c r="L48" s="402"/>
      <c r="M48" s="403"/>
      <c r="O48" s="106"/>
    </row>
    <row r="49" spans="2:15" ht="29.25" customHeight="1" x14ac:dyDescent="0.25">
      <c r="B49" s="106"/>
      <c r="D49" s="399"/>
      <c r="E49" s="400"/>
      <c r="F49" s="119" t="str">
        <f>+IFERROR(VLOOKUP(G49,[1]base!$G$37:$H$47,2,FALSE),"")</f>
        <v>C-310-300-2</v>
      </c>
      <c r="G49" s="389" t="s">
        <v>899</v>
      </c>
      <c r="H49" s="390"/>
      <c r="I49" s="390"/>
      <c r="J49" s="390"/>
      <c r="K49" s="390"/>
      <c r="L49" s="390"/>
      <c r="M49" s="391"/>
      <c r="O49" s="106"/>
    </row>
    <row r="50" spans="2:15" ht="3.95" customHeight="1" x14ac:dyDescent="0.25">
      <c r="B50" s="106"/>
      <c r="O50" s="106"/>
    </row>
    <row r="51" spans="2:15" ht="20.100000000000001" customHeight="1" x14ac:dyDescent="0.25">
      <c r="B51" s="106"/>
      <c r="D51" s="387" t="s">
        <v>31</v>
      </c>
      <c r="E51" s="387"/>
      <c r="F51" s="107" t="str">
        <f>+IFERROR(VLOOKUP($S$12,[1]Hoja1!$B$5:$AT$190,26,FALSE),"")</f>
        <v>No</v>
      </c>
      <c r="G51" s="387" t="s">
        <v>32</v>
      </c>
      <c r="H51" s="387"/>
      <c r="I51" s="120" t="str">
        <f>+IFERROR(IF(F51="No","",VLOOKUP($S$12,[1]Hoja1!$B$5:$AT$190,20,FALSE)),"")</f>
        <v/>
      </c>
      <c r="O51" s="106"/>
    </row>
    <row r="52" spans="2:15" ht="3.95" customHeight="1" x14ac:dyDescent="0.25">
      <c r="B52" s="106"/>
      <c r="O52" s="106"/>
    </row>
    <row r="53" spans="2:15" ht="3" customHeight="1" x14ac:dyDescent="0.25">
      <c r="B53" s="106"/>
      <c r="C53" s="106"/>
      <c r="D53" s="106"/>
      <c r="E53" s="106"/>
      <c r="F53" s="106"/>
      <c r="G53" s="106"/>
      <c r="H53" s="106"/>
      <c r="I53" s="106"/>
      <c r="J53" s="106"/>
      <c r="K53" s="106"/>
      <c r="L53" s="106"/>
      <c r="M53" s="106"/>
      <c r="N53" s="106"/>
      <c r="O53" s="106"/>
    </row>
    <row r="54" spans="2:15" ht="3" customHeight="1" x14ac:dyDescent="0.25"/>
    <row r="55" spans="2:15" ht="3.95" customHeight="1" x14ac:dyDescent="0.25">
      <c r="B55" s="106"/>
      <c r="C55" s="106"/>
      <c r="D55" s="106"/>
      <c r="E55" s="106"/>
      <c r="F55" s="106"/>
      <c r="G55" s="106"/>
      <c r="H55" s="106"/>
      <c r="I55" s="106"/>
      <c r="J55" s="106"/>
      <c r="K55" s="106"/>
      <c r="L55" s="106"/>
      <c r="M55" s="106"/>
      <c r="N55" s="106"/>
      <c r="O55" s="106"/>
    </row>
    <row r="56" spans="2:15" ht="3.95" customHeight="1" x14ac:dyDescent="0.25">
      <c r="B56" s="106"/>
      <c r="O56" s="106"/>
    </row>
    <row r="57" spans="2:15" x14ac:dyDescent="0.25">
      <c r="B57" s="106"/>
      <c r="D57" s="112" t="s">
        <v>33</v>
      </c>
      <c r="O57" s="106"/>
    </row>
    <row r="58" spans="2:15" ht="3.95" customHeight="1" x14ac:dyDescent="0.25">
      <c r="B58" s="106"/>
      <c r="O58" s="106"/>
    </row>
    <row r="59" spans="2:15" ht="30" customHeight="1" x14ac:dyDescent="0.25">
      <c r="B59" s="106"/>
      <c r="D59" s="387" t="s">
        <v>34</v>
      </c>
      <c r="E59" s="387"/>
      <c r="F59" s="370" t="str">
        <f>+IF(F60="","",F60&amp;" / "&amp;F61)</f>
        <v>Recursos Comprometidos / Meta Mensual de Compromisos</v>
      </c>
      <c r="G59" s="370"/>
      <c r="H59" s="370"/>
      <c r="I59" s="370"/>
      <c r="J59" s="370"/>
      <c r="K59" s="370"/>
      <c r="L59" s="370"/>
      <c r="M59" s="370"/>
      <c r="O59" s="106"/>
    </row>
    <row r="60" spans="2:15" ht="30" customHeight="1" x14ac:dyDescent="0.25">
      <c r="B60" s="106"/>
      <c r="D60" s="369" t="s">
        <v>35</v>
      </c>
      <c r="E60" s="369"/>
      <c r="F60" s="370" t="str">
        <f>+IFERROR(VLOOKUP($S$12,[1]Hoja1!$B$5:$AT$190,28,FALSE),"")</f>
        <v>Recursos Comprometidos</v>
      </c>
      <c r="G60" s="370"/>
      <c r="H60" s="370"/>
      <c r="I60" s="370"/>
      <c r="J60" s="370"/>
      <c r="K60" s="370"/>
      <c r="L60" s="370"/>
      <c r="M60" s="370"/>
      <c r="O60" s="106"/>
    </row>
    <row r="61" spans="2:15" ht="30" customHeight="1" x14ac:dyDescent="0.25">
      <c r="B61" s="106"/>
      <c r="D61" s="369" t="s">
        <v>36</v>
      </c>
      <c r="E61" s="369"/>
      <c r="F61" s="389" t="str">
        <f>+IFERROR(VLOOKUP($S$12,[1]Hoja1!$B$5:$AT$190,30,FALSE),"")</f>
        <v>Meta Mensual de Compromisos</v>
      </c>
      <c r="G61" s="390"/>
      <c r="H61" s="390"/>
      <c r="I61" s="390"/>
      <c r="J61" s="390"/>
      <c r="K61" s="390"/>
      <c r="L61" s="390"/>
      <c r="M61" s="391"/>
      <c r="O61" s="106"/>
    </row>
    <row r="62" spans="2:15" ht="3.95" customHeight="1" x14ac:dyDescent="0.25">
      <c r="B62" s="106"/>
      <c r="O62" s="106"/>
    </row>
    <row r="63" spans="2:15" ht="3" customHeight="1" x14ac:dyDescent="0.25">
      <c r="B63" s="106"/>
      <c r="C63" s="106"/>
      <c r="D63" s="106"/>
      <c r="E63" s="106"/>
      <c r="F63" s="106"/>
      <c r="G63" s="106"/>
      <c r="H63" s="106"/>
      <c r="I63" s="106"/>
      <c r="J63" s="106"/>
      <c r="K63" s="106"/>
      <c r="L63" s="106"/>
      <c r="M63" s="106"/>
      <c r="N63" s="106"/>
      <c r="O63" s="106"/>
    </row>
    <row r="64" spans="2:15" x14ac:dyDescent="0.25">
      <c r="M64" s="121" t="s">
        <v>37</v>
      </c>
    </row>
    <row r="65" spans="2:45" ht="3" customHeight="1" x14ac:dyDescent="0.25">
      <c r="B65" s="106"/>
      <c r="C65" s="106"/>
      <c r="D65" s="106"/>
      <c r="E65" s="106"/>
      <c r="F65" s="106"/>
      <c r="G65" s="106"/>
      <c r="H65" s="106"/>
      <c r="I65" s="106"/>
      <c r="J65" s="106"/>
      <c r="K65" s="106"/>
      <c r="L65" s="106"/>
      <c r="M65" s="106"/>
      <c r="N65" s="106"/>
      <c r="O65" s="106"/>
    </row>
    <row r="66" spans="2:45" ht="3.95" customHeight="1" x14ac:dyDescent="0.25">
      <c r="B66" s="106"/>
      <c r="O66" s="106"/>
    </row>
    <row r="67" spans="2:45" x14ac:dyDescent="0.25">
      <c r="B67" s="106"/>
      <c r="D67" s="392" t="s">
        <v>38</v>
      </c>
      <c r="E67" s="392"/>
      <c r="O67" s="106"/>
    </row>
    <row r="68" spans="2:45" ht="3.95" customHeight="1" x14ac:dyDescent="0.25">
      <c r="B68" s="106"/>
      <c r="D68" s="112"/>
      <c r="E68" s="112"/>
      <c r="O68" s="106"/>
    </row>
    <row r="69" spans="2:45" ht="18.75" customHeight="1" x14ac:dyDescent="0.25">
      <c r="B69" s="106"/>
      <c r="O69" s="106"/>
      <c r="Q69" s="122" t="s">
        <v>11</v>
      </c>
      <c r="S69" s="105" t="str">
        <f>+IF(F23=0,"",F23)</f>
        <v>Mensual</v>
      </c>
      <c r="U69" s="105">
        <f>+IFERROR(VLOOKUP(S69,[1]base!$H$23:$I$28,2,FALSE),"")</f>
        <v>1</v>
      </c>
    </row>
    <row r="70" spans="2:45" ht="3.95" customHeight="1" x14ac:dyDescent="0.25">
      <c r="B70" s="106"/>
      <c r="D70" s="112"/>
      <c r="E70" s="112"/>
      <c r="O70" s="106"/>
    </row>
    <row r="71" spans="2:45" ht="18.75" customHeight="1" x14ac:dyDescent="0.25">
      <c r="B71" s="106"/>
      <c r="D71" s="393" t="s">
        <v>39</v>
      </c>
      <c r="E71" s="393"/>
      <c r="F71" s="107" t="s">
        <v>47</v>
      </c>
      <c r="G71" s="105">
        <f>+IFERROR(VLOOKUP(F71,$AE$75:$AF$86,2,FALSE),"")</f>
        <v>3</v>
      </c>
      <c r="O71" s="106"/>
      <c r="Q71" s="122" t="s">
        <v>14</v>
      </c>
      <c r="S71" s="105" t="str">
        <f>+IF(F24=0,"",F24)</f>
        <v>Creciente</v>
      </c>
    </row>
    <row r="72" spans="2:45" ht="3.95" customHeight="1" x14ac:dyDescent="0.25">
      <c r="B72" s="106"/>
      <c r="D72" s="112"/>
      <c r="E72" s="112"/>
      <c r="O72" s="106"/>
    </row>
    <row r="73" spans="2:45" x14ac:dyDescent="0.25">
      <c r="B73" s="106"/>
      <c r="D73" s="394" t="s">
        <v>41</v>
      </c>
      <c r="E73" s="394"/>
      <c r="F73" s="395" t="s">
        <v>42</v>
      </c>
      <c r="G73" s="396"/>
      <c r="H73" s="395" t="s">
        <v>43</v>
      </c>
      <c r="I73" s="396"/>
      <c r="J73" s="395" t="s">
        <v>44</v>
      </c>
      <c r="K73" s="396"/>
      <c r="L73" s="395" t="s">
        <v>45</v>
      </c>
      <c r="M73" s="396"/>
      <c r="O73" s="106"/>
      <c r="S73" s="111">
        <f>+IFERROR(VLOOKUP(S74,$AE$75:$AK$86,7,FALSE),"")</f>
        <v>0</v>
      </c>
      <c r="U73" s="111">
        <f>+IFERROR(VLOOKUP(U74,$AE$75:$AK$86,7,FALSE),"")</f>
        <v>0</v>
      </c>
      <c r="W73" s="111">
        <f>+IFERROR(VLOOKUP(W74,$AE$75:$AK$86,7,FALSE),"")</f>
        <v>1</v>
      </c>
      <c r="Y73" s="111">
        <f>+IFERROR(VLOOKUP(Y74,$AE$75:$AK$86,7,FALSE),"")</f>
        <v>1</v>
      </c>
      <c r="AA73" s="111">
        <f>+IFERROR(VLOOKUP(AA74,$AE$75:$AK$86,7,FALSE),"")</f>
        <v>1</v>
      </c>
      <c r="AC73" s="111">
        <f>+IFERROR(VLOOKUP(AC74,$AE$75:$AK$86,7,FALSE),"")</f>
        <v>1</v>
      </c>
      <c r="AL73" s="388" t="s">
        <v>42</v>
      </c>
      <c r="AM73" s="388"/>
      <c r="AN73" s="388" t="s">
        <v>43</v>
      </c>
      <c r="AO73" s="388"/>
      <c r="AP73" s="388" t="s">
        <v>44</v>
      </c>
      <c r="AQ73" s="388"/>
      <c r="AR73" s="388" t="s">
        <v>45</v>
      </c>
      <c r="AS73" s="388"/>
    </row>
    <row r="74" spans="2:45" x14ac:dyDescent="0.25">
      <c r="B74" s="106"/>
      <c r="D74" s="394"/>
      <c r="E74" s="394"/>
      <c r="F74" s="123" t="str">
        <f>+IF($F$24="Decreciente","Max","Min")</f>
        <v>Min</v>
      </c>
      <c r="G74" s="123" t="str">
        <f>+IF($F$24="Decreciente","MIn","Max")</f>
        <v>Max</v>
      </c>
      <c r="H74" s="123" t="str">
        <f>+IF($F$24="Decreciente","Max","Min")</f>
        <v>Min</v>
      </c>
      <c r="I74" s="123" t="str">
        <f>+IF($F$24="Decreciente","MIn","Max")</f>
        <v>Max</v>
      </c>
      <c r="J74" s="123" t="str">
        <f>+IF($F$24="Decreciente","Max","Min")</f>
        <v>Min</v>
      </c>
      <c r="K74" s="123" t="str">
        <f>+IF($F$24="Decreciente","MIn","Max")</f>
        <v>Max</v>
      </c>
      <c r="L74" s="123" t="str">
        <f>+IF($F$24="Decreciente","Max","Min")</f>
        <v>Min</v>
      </c>
      <c r="M74" s="123" t="str">
        <f>+IF($F$24="Decreciente","MIn","Max")</f>
        <v>Max</v>
      </c>
      <c r="O74" s="106"/>
      <c r="S74" s="124" t="s">
        <v>46</v>
      </c>
      <c r="T74" s="124"/>
      <c r="U74" s="124" t="s">
        <v>40</v>
      </c>
      <c r="V74" s="124"/>
      <c r="W74" s="124" t="s">
        <v>47</v>
      </c>
      <c r="X74" s="124"/>
      <c r="Y74" s="124" t="s">
        <v>48</v>
      </c>
      <c r="Z74" s="124"/>
      <c r="AA74" s="124" t="s">
        <v>49</v>
      </c>
      <c r="AB74" s="124"/>
      <c r="AC74" s="124" t="s">
        <v>50</v>
      </c>
      <c r="AL74" s="125" t="s">
        <v>51</v>
      </c>
      <c r="AM74" s="125" t="s">
        <v>52</v>
      </c>
      <c r="AN74" s="125" t="s">
        <v>51</v>
      </c>
      <c r="AO74" s="125" t="s">
        <v>52</v>
      </c>
      <c r="AP74" s="125" t="s">
        <v>51</v>
      </c>
      <c r="AQ74" s="125" t="s">
        <v>52</v>
      </c>
      <c r="AR74" s="125" t="s">
        <v>51</v>
      </c>
      <c r="AS74" s="125" t="s">
        <v>52</v>
      </c>
    </row>
    <row r="75" spans="2:45" x14ac:dyDescent="0.25">
      <c r="B75" s="106"/>
      <c r="D75" s="386" t="s">
        <v>46</v>
      </c>
      <c r="E75" s="386"/>
      <c r="F75" s="126"/>
      <c r="G75" s="126"/>
      <c r="H75" s="126"/>
      <c r="I75" s="126"/>
      <c r="J75" s="126"/>
      <c r="K75" s="126"/>
      <c r="L75" s="126"/>
      <c r="M75" s="126"/>
      <c r="O75" s="106"/>
      <c r="Q75" s="122" t="s">
        <v>1980</v>
      </c>
      <c r="R75" s="111"/>
      <c r="S75" s="127"/>
      <c r="T75" s="111"/>
      <c r="U75" s="127"/>
      <c r="V75" s="111"/>
      <c r="W75" s="127"/>
      <c r="X75" s="111"/>
      <c r="Y75" s="127"/>
      <c r="Z75" s="111"/>
      <c r="AA75" s="127"/>
      <c r="AB75" s="111"/>
      <c r="AC75" s="127"/>
      <c r="AE75" s="105" t="s">
        <v>46</v>
      </c>
      <c r="AF75" s="105">
        <v>1</v>
      </c>
      <c r="AG75" s="105">
        <f>+IF(AF75&gt;=$G$71,1,0)</f>
        <v>0</v>
      </c>
      <c r="AH75" s="105">
        <f>+IF(AG75=0,0,IF(AG75=1,(SUM($AG$75:AG75)-1),1))</f>
        <v>0</v>
      </c>
      <c r="AI75" s="105">
        <f>+IF(AH75=0,0,IF(MOD(AH75,$U$69)=0,1,0))</f>
        <v>0</v>
      </c>
      <c r="AJ75" s="105">
        <f>+IF(AE75=$F$71,1,0)</f>
        <v>0</v>
      </c>
      <c r="AK75" s="105">
        <f>+MAX(AI75:AJ75)</f>
        <v>0</v>
      </c>
      <c r="AL75" s="128" t="str">
        <f>+""</f>
        <v/>
      </c>
      <c r="AM75" s="128" t="str">
        <f>+IF(AK75=0,"",IF(R78="&gt;",S78+0.001,IF(R78="&lt;",S78-0.001,S78)))</f>
        <v/>
      </c>
      <c r="AN75" s="128" t="str">
        <f>+IF(R77="NA","",IF(AK75=0,"",IF(R78="≥",S78-0.001,IF(R78="≤",S78+0.001,S78))))</f>
        <v/>
      </c>
      <c r="AO75" s="128" t="str">
        <f>IF(R77="NA","",IF(AK75=0,"",IF(R77="&gt;",S77+0.001,IF(R77="&lt;",S77-0.001,S77))))</f>
        <v/>
      </c>
      <c r="AP75" s="128" t="str">
        <f>+IF(R76="NA","",IF(AK75=0,"",IF(R77="≥",S77-0.001,IF(R77="≤",S77+0.001,S77))))</f>
        <v/>
      </c>
      <c r="AQ75" s="128" t="str">
        <f>+IF(R76="NA","",IF(AK75=0,"",IF(R76="&gt;",S76+0.001,IF(R76="&lt;",S76-0.001,S76))))</f>
        <v/>
      </c>
      <c r="AR75" s="128" t="str">
        <f>IF(AK75=0,"",IF(R76="≥",S75-0.001,IF(R76="≤",S75+0.001,"")))</f>
        <v/>
      </c>
      <c r="AS75" s="128" t="str">
        <f>+IF(AK75=0,"",IF(R75="=",S75,""))</f>
        <v/>
      </c>
    </row>
    <row r="76" spans="2:45" x14ac:dyDescent="0.25">
      <c r="B76" s="106"/>
      <c r="D76" s="386" t="s">
        <v>40</v>
      </c>
      <c r="E76" s="386"/>
      <c r="F76" s="126"/>
      <c r="G76" s="126"/>
      <c r="H76" s="126"/>
      <c r="I76" s="126"/>
      <c r="J76" s="126"/>
      <c r="K76" s="126"/>
      <c r="L76" s="126"/>
      <c r="M76" s="126"/>
      <c r="O76" s="106"/>
      <c r="Q76" s="122" t="s">
        <v>1981</v>
      </c>
      <c r="R76" s="111"/>
      <c r="S76" s="127"/>
      <c r="T76" s="111"/>
      <c r="U76" s="127"/>
      <c r="V76" s="111"/>
      <c r="W76" s="127"/>
      <c r="X76" s="111"/>
      <c r="Y76" s="127"/>
      <c r="Z76" s="111"/>
      <c r="AA76" s="127"/>
      <c r="AB76" s="111"/>
      <c r="AC76" s="127"/>
      <c r="AE76" s="105" t="s">
        <v>40</v>
      </c>
      <c r="AF76" s="105">
        <v>2</v>
      </c>
      <c r="AG76" s="105">
        <f t="shared" ref="AG76:AG86" si="0">+IF(AF76&gt;=$G$71,1,0)</f>
        <v>0</v>
      </c>
      <c r="AH76" s="105">
        <f>+IF(AG76=0,0,IF(AG76=1,(SUM($AG$75:AG76)-1),1))</f>
        <v>0</v>
      </c>
      <c r="AI76" s="105">
        <f t="shared" ref="AI76:AI86" si="1">+IF(AH76=0,0,IF(MOD(AH76,$U$69)=0,1,0))</f>
        <v>0</v>
      </c>
      <c r="AJ76" s="105">
        <f t="shared" ref="AJ76:AJ86" si="2">+IF(AE76=$F$71,1,0)</f>
        <v>0</v>
      </c>
      <c r="AK76" s="105">
        <f t="shared" ref="AK76:AK86" si="3">+MAX(AI76:AJ76)</f>
        <v>0</v>
      </c>
      <c r="AL76" s="128" t="str">
        <f>+""</f>
        <v/>
      </c>
      <c r="AM76" s="128" t="str">
        <f>+IF(AK76=0,"",IF(T78="&gt;",U78+0.001,IF(T78="&lt;",U78-0.001,U78)))</f>
        <v/>
      </c>
      <c r="AN76" s="128" t="str">
        <f>+IF(T77="NA","",IF(AK76=0,"",IF(T78="≥",U78-0.001,IF(T78="≤",U78+0.001,U78))))</f>
        <v/>
      </c>
      <c r="AO76" s="128" t="str">
        <f>IF(T77="NA","",IF(AK76=0,"",IF(T77="&gt;",U77+0.001,IF(T77="&lt;",U77-0.001,U77))))</f>
        <v/>
      </c>
      <c r="AP76" s="128" t="str">
        <f>+IF(T76="NA","",IF(AK76=0,"",IF(T77="≥",U77-0.001,IF(T77="≤",U77+0.001,U77))))</f>
        <v/>
      </c>
      <c r="AQ76" s="128" t="str">
        <f>+IF(T76="NA","",IF(AK76=0,"",IF(T76="&gt;",U76+0.001,IF(T76="&lt;",U76-0.001,U76))))</f>
        <v/>
      </c>
      <c r="AR76" s="128" t="str">
        <f>IF(AK76=0,"",IF(T76="≥",U75-0.001,IF(T76="≤",U75+0.001,"")))</f>
        <v/>
      </c>
      <c r="AS76" s="128" t="str">
        <f>+IF(AK76=0,"",IF(T75="=",U75,""))</f>
        <v/>
      </c>
    </row>
    <row r="77" spans="2:45" x14ac:dyDescent="0.25">
      <c r="B77" s="106"/>
      <c r="D77" s="386" t="s">
        <v>47</v>
      </c>
      <c r="E77" s="386"/>
      <c r="F77" s="126"/>
      <c r="G77" s="126">
        <v>0.94</v>
      </c>
      <c r="H77" s="126">
        <v>0.94099999999999995</v>
      </c>
      <c r="I77" s="126">
        <v>0.96899999999999997</v>
      </c>
      <c r="J77" s="126">
        <v>0.97</v>
      </c>
      <c r="K77" s="126">
        <v>0.999</v>
      </c>
      <c r="L77" s="126">
        <v>1</v>
      </c>
      <c r="M77" s="126"/>
      <c r="O77" s="106"/>
      <c r="Q77" s="122" t="s">
        <v>1982</v>
      </c>
      <c r="R77" s="111"/>
      <c r="S77" s="127"/>
      <c r="T77" s="111"/>
      <c r="U77" s="127"/>
      <c r="V77" s="111"/>
      <c r="W77" s="127"/>
      <c r="X77" s="111"/>
      <c r="Y77" s="127"/>
      <c r="Z77" s="111"/>
      <c r="AA77" s="127"/>
      <c r="AB77" s="111"/>
      <c r="AC77" s="127"/>
      <c r="AE77" s="105" t="s">
        <v>47</v>
      </c>
      <c r="AF77" s="105">
        <v>3</v>
      </c>
      <c r="AG77" s="105">
        <f t="shared" si="0"/>
        <v>1</v>
      </c>
      <c r="AH77" s="105">
        <f>+IF(AG77=0,0,IF(AG77=1,(SUM($AG$75:AG77)-1),1))</f>
        <v>0</v>
      </c>
      <c r="AI77" s="105">
        <f t="shared" si="1"/>
        <v>0</v>
      </c>
      <c r="AJ77" s="105">
        <f t="shared" si="2"/>
        <v>1</v>
      </c>
      <c r="AK77" s="105">
        <f t="shared" si="3"/>
        <v>1</v>
      </c>
      <c r="AL77" s="128" t="str">
        <f>+""</f>
        <v/>
      </c>
      <c r="AM77" s="128">
        <f>+IF(AK77=0,"",IF(V78="&gt;",W78+0.001,IF(V78="&lt;",W78-0.001,W78)))</f>
        <v>0</v>
      </c>
      <c r="AN77" s="128">
        <f>+IF(V77="NA","",IF(AK77=0,"",IF(V78="≥",W78-0.001,IF(V78="≤",W78+0.001,W78))))</f>
        <v>0</v>
      </c>
      <c r="AO77" s="128">
        <f>IF(V77="NA","",IF(AK77=0,"",IF(V77="&gt;",W77+0.001,IF(V77="&lt;",W77-0.001,W77))))</f>
        <v>0</v>
      </c>
      <c r="AP77" s="128">
        <f>+IF(V76="NA","",IF(AK77=0,"",IF(V77="≥",W77-0.001,IF(V77="≤",W77+0.001,W77))))</f>
        <v>0</v>
      </c>
      <c r="AQ77" s="128">
        <f>+IF(V76="NA","",IF(AK77=0,"",IF(V76="&gt;",W76+0.001,IF(V76="&lt;",W76-0.001,W76))))</f>
        <v>0</v>
      </c>
      <c r="AR77" s="128" t="str">
        <f>IF(AK77=0,"",IF(V76="≥",W75-0.001,IF(V76="≤",W75+0.001,"")))</f>
        <v/>
      </c>
      <c r="AS77" s="128" t="str">
        <f>+IF(AK77=0,"",IF(V75="=",W75,""))</f>
        <v/>
      </c>
    </row>
    <row r="78" spans="2:45" x14ac:dyDescent="0.25">
      <c r="B78" s="106"/>
      <c r="D78" s="386" t="s">
        <v>48</v>
      </c>
      <c r="E78" s="386"/>
      <c r="F78" s="126"/>
      <c r="G78" s="126">
        <v>0.94</v>
      </c>
      <c r="H78" s="126">
        <v>0.94099999999999995</v>
      </c>
      <c r="I78" s="126">
        <v>0.96899999999999997</v>
      </c>
      <c r="J78" s="126">
        <v>0.97</v>
      </c>
      <c r="K78" s="126">
        <v>0.999</v>
      </c>
      <c r="L78" s="126">
        <v>1</v>
      </c>
      <c r="M78" s="126"/>
      <c r="O78" s="106"/>
      <c r="Q78" s="122" t="s">
        <v>1983</v>
      </c>
      <c r="R78" s="111"/>
      <c r="S78" s="127"/>
      <c r="T78" s="111"/>
      <c r="U78" s="127"/>
      <c r="V78" s="111"/>
      <c r="W78" s="127"/>
      <c r="X78" s="111"/>
      <c r="Y78" s="127"/>
      <c r="Z78" s="111"/>
      <c r="AA78" s="127"/>
      <c r="AB78" s="111"/>
      <c r="AC78" s="127"/>
      <c r="AE78" s="105" t="s">
        <v>48</v>
      </c>
      <c r="AF78" s="105">
        <v>4</v>
      </c>
      <c r="AG78" s="105">
        <f t="shared" si="0"/>
        <v>1</v>
      </c>
      <c r="AH78" s="105">
        <f>+IF(AG78=0,0,IF(AG78=1,(SUM($AG$75:AG78)-1),1))</f>
        <v>1</v>
      </c>
      <c r="AI78" s="105">
        <f t="shared" si="1"/>
        <v>1</v>
      </c>
      <c r="AJ78" s="105">
        <f t="shared" si="2"/>
        <v>0</v>
      </c>
      <c r="AK78" s="105">
        <f t="shared" si="3"/>
        <v>1</v>
      </c>
      <c r="AL78" s="128" t="str">
        <f>+""</f>
        <v/>
      </c>
      <c r="AM78" s="128">
        <f>+IF(AK78=0,"",IF(X78="&gt;",Y78+0.001,IF(X78="&lt;",Y78-0.001,Y78)))</f>
        <v>0</v>
      </c>
      <c r="AN78" s="128">
        <f>+IF(X77="NA","",IF(AK78=0,"",IF(X78="≥",Y78-0.001,IF(X78="≤",Y78+0.001,Y78))))</f>
        <v>0</v>
      </c>
      <c r="AO78" s="128">
        <f>IF(X77="NA","",IF(AK78=0,"",IF(X77="&gt;",Y77+0.001,IF(X77="&lt;",Y77-0.001,Y77))))</f>
        <v>0</v>
      </c>
      <c r="AP78" s="128">
        <f>+IF(X76="NA","",IF(AK78=0,"",IF(X77="≥",Y77-0.001,IF(X77="≤",Y77+0.001,Y77))))</f>
        <v>0</v>
      </c>
      <c r="AQ78" s="128">
        <f>+IF(X76="NA","",IF(AK78=0,"",IF(X76="&gt;",Y76+0.001,IF(X76="&lt;",Y76-0.001,Y76))))</f>
        <v>0</v>
      </c>
      <c r="AR78" s="128" t="str">
        <f>IF(AK78=0,"",IF(X76="≥",Y75-0.001,IF(X76="≤",Y75+0.001,"")))</f>
        <v/>
      </c>
      <c r="AS78" s="128" t="str">
        <f>+IF(AK78=0,"",IF(X75="=",Y75,""))</f>
        <v/>
      </c>
    </row>
    <row r="79" spans="2:45" x14ac:dyDescent="0.25">
      <c r="B79" s="106"/>
      <c r="D79" s="386" t="s">
        <v>49</v>
      </c>
      <c r="E79" s="386"/>
      <c r="F79" s="126"/>
      <c r="G79" s="126">
        <v>0.94</v>
      </c>
      <c r="H79" s="126">
        <v>0.94099999999999995</v>
      </c>
      <c r="I79" s="126">
        <v>0.96899999999999997</v>
      </c>
      <c r="J79" s="126">
        <v>0.97</v>
      </c>
      <c r="K79" s="126">
        <v>0.999</v>
      </c>
      <c r="L79" s="126">
        <v>1</v>
      </c>
      <c r="M79" s="126"/>
      <c r="O79" s="106"/>
      <c r="R79" s="111"/>
      <c r="S79" s="111">
        <f>+IFERROR(VLOOKUP(S80,$AE$75:$AK$86,7,FALSE),"")</f>
        <v>1</v>
      </c>
      <c r="U79" s="111">
        <f>+IFERROR(VLOOKUP(U80,$AE$75:$AK$86,7,FALSE),"")</f>
        <v>1</v>
      </c>
      <c r="W79" s="111">
        <f>+IFERROR(VLOOKUP(W80,$AE$75:$AK$86,7,FALSE),"")</f>
        <v>1</v>
      </c>
      <c r="Y79" s="111">
        <f>+IFERROR(VLOOKUP(Y80,$AE$75:$AK$86,7,FALSE),"")</f>
        <v>1</v>
      </c>
      <c r="AA79" s="111">
        <f>+IFERROR(VLOOKUP(AA80,$AE$75:$AK$86,7,FALSE),"")</f>
        <v>1</v>
      </c>
      <c r="AC79" s="111">
        <f>+IFERROR(VLOOKUP(AC80,$AE$75:$AK$86,7,FALSE),"")</f>
        <v>1</v>
      </c>
      <c r="AE79" s="105" t="s">
        <v>49</v>
      </c>
      <c r="AF79" s="105">
        <v>5</v>
      </c>
      <c r="AG79" s="105">
        <f t="shared" si="0"/>
        <v>1</v>
      </c>
      <c r="AH79" s="105">
        <f>+IF(AG79=0,0,IF(AG79=1,(SUM($AG$75:AG79)-1),1))</f>
        <v>2</v>
      </c>
      <c r="AI79" s="105">
        <f t="shared" si="1"/>
        <v>1</v>
      </c>
      <c r="AJ79" s="105">
        <f t="shared" si="2"/>
        <v>0</v>
      </c>
      <c r="AK79" s="105">
        <f t="shared" si="3"/>
        <v>1</v>
      </c>
      <c r="AL79" s="128" t="str">
        <f>+""</f>
        <v/>
      </c>
      <c r="AM79" s="128">
        <f>+IF(AK79=0,"",IF(Z78="&gt;",AA78+0.001,IF(Z78="&lt;",AA78-0.001,AA78)))</f>
        <v>0</v>
      </c>
      <c r="AN79" s="128">
        <f>+IF(Z77="NA","",IF(AK79=0,"",IF(Z78="≥",AA78-0.001,IF(Z78="≤",AA78+0.001,AA78))))</f>
        <v>0</v>
      </c>
      <c r="AO79" s="128">
        <f>IF(Z77="NA","",IF(AK79=0,"",IF(Z77="&gt;",AA77+0.001,IF(Z77="&lt;",AA77-0.001,AA77))))</f>
        <v>0</v>
      </c>
      <c r="AP79" s="128">
        <f>+IF(Z76="NA","",IF(AK79=0,"",IF(Z77="≥",AA77-0.001,IF(Z77="≤",AA77+0.001,AA77))))</f>
        <v>0</v>
      </c>
      <c r="AQ79" s="128">
        <f>+IF(Z76="NA","",IF(AK79=0,"",IF(Z76="&gt;",AA76+0.001,IF(Z76="&lt;",AA76-0.001,AA76))))</f>
        <v>0</v>
      </c>
      <c r="AR79" s="128" t="str">
        <f>IF(AK79=0,"",IF(Z76="≥",AA75-0.001,IF(Z76="≤",AA75+0.001,"")))</f>
        <v/>
      </c>
      <c r="AS79" s="128" t="str">
        <f>+IF(AK79=0,"",IF(Z75="=",AA75,""))</f>
        <v/>
      </c>
    </row>
    <row r="80" spans="2:45" x14ac:dyDescent="0.25">
      <c r="B80" s="106"/>
      <c r="D80" s="386" t="s">
        <v>50</v>
      </c>
      <c r="E80" s="386"/>
      <c r="F80" s="126"/>
      <c r="G80" s="126">
        <v>0.94</v>
      </c>
      <c r="H80" s="126">
        <v>0.94099999999999995</v>
      </c>
      <c r="I80" s="126">
        <v>0.96899999999999997</v>
      </c>
      <c r="J80" s="126">
        <v>0.97</v>
      </c>
      <c r="K80" s="126">
        <v>0.999</v>
      </c>
      <c r="L80" s="126">
        <v>1</v>
      </c>
      <c r="M80" s="126"/>
      <c r="O80" s="106"/>
      <c r="R80" s="111"/>
      <c r="S80" s="124" t="s">
        <v>53</v>
      </c>
      <c r="T80" s="124"/>
      <c r="U80" s="124" t="s">
        <v>54</v>
      </c>
      <c r="V80" s="124"/>
      <c r="W80" s="124" t="s">
        <v>55</v>
      </c>
      <c r="X80" s="124"/>
      <c r="Y80" s="124" t="s">
        <v>56</v>
      </c>
      <c r="Z80" s="124"/>
      <c r="AA80" s="124" t="s">
        <v>57</v>
      </c>
      <c r="AB80" s="124"/>
      <c r="AC80" s="124" t="s">
        <v>58</v>
      </c>
      <c r="AE80" s="105" t="s">
        <v>50</v>
      </c>
      <c r="AF80" s="105">
        <v>6</v>
      </c>
      <c r="AG80" s="105">
        <f t="shared" si="0"/>
        <v>1</v>
      </c>
      <c r="AH80" s="105">
        <f>+IF(AG80=0,0,IF(AG80=1,(SUM($AG$75:AG80)-1),1))</f>
        <v>3</v>
      </c>
      <c r="AI80" s="105">
        <f t="shared" si="1"/>
        <v>1</v>
      </c>
      <c r="AJ80" s="105">
        <f t="shared" si="2"/>
        <v>0</v>
      </c>
      <c r="AK80" s="105">
        <f t="shared" si="3"/>
        <v>1</v>
      </c>
      <c r="AL80" s="128" t="str">
        <f>+""</f>
        <v/>
      </c>
      <c r="AM80" s="128">
        <f>+IF(AK80=0,"",IF(AB78="&gt;",AC78+0.001,IF(AB78="&lt;",AC78-0.001,AC78)))</f>
        <v>0</v>
      </c>
      <c r="AN80" s="128">
        <f>+IF(AB77="NA","",IF(AK80=0,"",IF(AB78="≥",AC78-0.001,IF(AB78="≤",AC78+0.001,AC78))))</f>
        <v>0</v>
      </c>
      <c r="AO80" s="128">
        <f>IF(AB77="NA","",IF(AK80=0,"",IF(AB77="&gt;",AC77+0.001,IF(AB77="&lt;",AC77-0.001,AC77))))</f>
        <v>0</v>
      </c>
      <c r="AP80" s="128">
        <f>+IF(AB76="NA","",IF(AK80=0,"",IF(AB77="≥",AC77-0.001,IF(AB77="≤",AC77+0.001,AC77))))</f>
        <v>0</v>
      </c>
      <c r="AQ80" s="128">
        <f>+IF(AB76="NA","",IF(AK80=0,"",IF(AB76="&gt;",AC76+0.001,IF(AB76="&lt;",AC76-0.001,AC76))))</f>
        <v>0</v>
      </c>
      <c r="AR80" s="128" t="str">
        <f>IF(AK80=0,"",IF(AB76="≥",AC75-0.001,IF(AB76="≤",AC75+0.001,"")))</f>
        <v/>
      </c>
      <c r="AS80" s="128" t="str">
        <f>+IF(AK80=0,"",IF(AB75="=",AC75,""))</f>
        <v/>
      </c>
    </row>
    <row r="81" spans="2:45" x14ac:dyDescent="0.25">
      <c r="B81" s="106"/>
      <c r="D81" s="386" t="s">
        <v>53</v>
      </c>
      <c r="E81" s="386"/>
      <c r="F81" s="126"/>
      <c r="G81" s="126">
        <v>0.94</v>
      </c>
      <c r="H81" s="126">
        <v>0.94099999999999995</v>
      </c>
      <c r="I81" s="126">
        <v>0.96899999999999997</v>
      </c>
      <c r="J81" s="126">
        <v>0.97</v>
      </c>
      <c r="K81" s="126">
        <v>0.999</v>
      </c>
      <c r="L81" s="126">
        <v>1</v>
      </c>
      <c r="M81" s="126"/>
      <c r="O81" s="106"/>
      <c r="Q81" s="122" t="s">
        <v>1980</v>
      </c>
      <c r="R81" s="111"/>
      <c r="S81" s="127"/>
      <c r="T81" s="111"/>
      <c r="U81" s="127"/>
      <c r="V81" s="111"/>
      <c r="W81" s="127"/>
      <c r="X81" s="111"/>
      <c r="Y81" s="127"/>
      <c r="Z81" s="111"/>
      <c r="AA81" s="127"/>
      <c r="AB81" s="111"/>
      <c r="AC81" s="127"/>
      <c r="AE81" s="105" t="s">
        <v>53</v>
      </c>
      <c r="AF81" s="105">
        <v>7</v>
      </c>
      <c r="AG81" s="105">
        <f t="shared" si="0"/>
        <v>1</v>
      </c>
      <c r="AH81" s="105">
        <f>+IF(AG81=0,0,IF(AG81=1,(SUM($AG$75:AG81)-1),1))</f>
        <v>4</v>
      </c>
      <c r="AI81" s="105">
        <f t="shared" si="1"/>
        <v>1</v>
      </c>
      <c r="AJ81" s="105">
        <f t="shared" si="2"/>
        <v>0</v>
      </c>
      <c r="AK81" s="105">
        <f t="shared" si="3"/>
        <v>1</v>
      </c>
      <c r="AL81" s="128" t="str">
        <f>+""</f>
        <v/>
      </c>
      <c r="AM81" s="128">
        <f>+IF(AK81=0,"",IF(R84="&gt;",S84+0.001,IF(R84="&lt;",S84-0.001,S84)))</f>
        <v>0</v>
      </c>
      <c r="AN81" s="128">
        <f>+IF(R83="NA","",IF(AK81=0,"",IF(R84="≥",S84-0.001,IF(R84="≤",S84+0.001,S84))))</f>
        <v>0</v>
      </c>
      <c r="AO81" s="128">
        <f>IF(R83="NA","",IF(AK81=0,"",IF(R83="&gt;",S83+0.001,IF(R83="&lt;",S83-0.001,S83))))</f>
        <v>0</v>
      </c>
      <c r="AP81" s="128">
        <f>+IF(R82="NA","",IF(AK81=0,"",IF(R83="≥",S83-0.001,IF(R83="≤",S83+0.001,S83))))</f>
        <v>0</v>
      </c>
      <c r="AQ81" s="128">
        <f>+IF(R82="NA","",IF(AK81=0,"",IF(R82="&gt;",S82+0.001,IF(R82="&lt;",S82-0.001,S82))))</f>
        <v>0</v>
      </c>
      <c r="AR81" s="128" t="str">
        <f>IF(AK81=0,"",IF(R82="≥",S81-0.001,IF(R82="≤",S81+0.001,"")))</f>
        <v/>
      </c>
      <c r="AS81" s="128" t="str">
        <f>+IF(AK81=0,"",IF(R81="=",S81,""))</f>
        <v/>
      </c>
    </row>
    <row r="82" spans="2:45" x14ac:dyDescent="0.25">
      <c r="B82" s="106"/>
      <c r="D82" s="386" t="s">
        <v>54</v>
      </c>
      <c r="E82" s="386"/>
      <c r="F82" s="126"/>
      <c r="G82" s="126">
        <v>0.94</v>
      </c>
      <c r="H82" s="126">
        <v>0.94099999999999995</v>
      </c>
      <c r="I82" s="126">
        <v>0.96899999999999997</v>
      </c>
      <c r="J82" s="126">
        <v>0.97</v>
      </c>
      <c r="K82" s="126">
        <v>0.999</v>
      </c>
      <c r="L82" s="126">
        <v>1</v>
      </c>
      <c r="M82" s="126"/>
      <c r="O82" s="106"/>
      <c r="Q82" s="122" t="s">
        <v>1981</v>
      </c>
      <c r="R82" s="111"/>
      <c r="S82" s="127"/>
      <c r="T82" s="111"/>
      <c r="U82" s="127"/>
      <c r="V82" s="111"/>
      <c r="W82" s="127"/>
      <c r="X82" s="111"/>
      <c r="Y82" s="127"/>
      <c r="Z82" s="111"/>
      <c r="AA82" s="127"/>
      <c r="AB82" s="111"/>
      <c r="AC82" s="127"/>
      <c r="AE82" s="105" t="s">
        <v>54</v>
      </c>
      <c r="AF82" s="105">
        <v>8</v>
      </c>
      <c r="AG82" s="105">
        <f t="shared" si="0"/>
        <v>1</v>
      </c>
      <c r="AH82" s="105">
        <f>+IF(AG82=0,0,IF(AG82=1,(SUM($AG$75:AG82)-1),1))</f>
        <v>5</v>
      </c>
      <c r="AI82" s="105">
        <f t="shared" si="1"/>
        <v>1</v>
      </c>
      <c r="AJ82" s="105">
        <f t="shared" si="2"/>
        <v>0</v>
      </c>
      <c r="AK82" s="105">
        <f t="shared" si="3"/>
        <v>1</v>
      </c>
      <c r="AL82" s="128" t="str">
        <f>+""</f>
        <v/>
      </c>
      <c r="AM82" s="128">
        <f>+IF(AK82=0,"",IF(T84="&gt;",U84+0.001,IF(T84="&lt;",U84-0.001,U84)))</f>
        <v>0</v>
      </c>
      <c r="AN82" s="128">
        <f>+IF(T83="NA","",IF(AK82=0,"",IF(T84="≥",U84-0.001,IF(T84="≤",U84+0.001,U84))))</f>
        <v>0</v>
      </c>
      <c r="AO82" s="128">
        <f>IF(T83="NA","",IF(AK82=0,"",IF(T83="&gt;",U83+0.001,IF(T83="&lt;",U83-0.001,U83))))</f>
        <v>0</v>
      </c>
      <c r="AP82" s="128">
        <f>+IF(T82="NA","",IF(AK82=0,"",IF(T83="≥",U83-0.001,IF(T83="≤",U83+0.001,U83))))</f>
        <v>0</v>
      </c>
      <c r="AQ82" s="128">
        <f>+IF(T82="NA","",IF(AK82=0,"",IF(T82="&gt;",U82+0.001,IF(T82="&lt;",U82-0.001,U82))))</f>
        <v>0</v>
      </c>
      <c r="AR82" s="128" t="str">
        <f>IF(AK82=0,"",IF(T82="≥",U81-0.001,IF(T82="≤",U81+0.001,"")))</f>
        <v/>
      </c>
      <c r="AS82" s="128" t="str">
        <f>+IF(AK82=0,"",IF(T81="=",U81,""))</f>
        <v/>
      </c>
    </row>
    <row r="83" spans="2:45" x14ac:dyDescent="0.25">
      <c r="B83" s="106"/>
      <c r="D83" s="386" t="s">
        <v>55</v>
      </c>
      <c r="E83" s="386"/>
      <c r="F83" s="126"/>
      <c r="G83" s="126">
        <v>0.94</v>
      </c>
      <c r="H83" s="126">
        <v>0.94099999999999995</v>
      </c>
      <c r="I83" s="126">
        <v>0.96899999999999997</v>
      </c>
      <c r="J83" s="126">
        <v>0.97</v>
      </c>
      <c r="K83" s="126">
        <v>0.999</v>
      </c>
      <c r="L83" s="126">
        <v>1</v>
      </c>
      <c r="M83" s="126"/>
      <c r="O83" s="106"/>
      <c r="Q83" s="122" t="s">
        <v>1982</v>
      </c>
      <c r="R83" s="111"/>
      <c r="S83" s="127"/>
      <c r="T83" s="111"/>
      <c r="U83" s="127"/>
      <c r="V83" s="111"/>
      <c r="W83" s="127"/>
      <c r="X83" s="111"/>
      <c r="Y83" s="127"/>
      <c r="Z83" s="111"/>
      <c r="AA83" s="127"/>
      <c r="AB83" s="111"/>
      <c r="AC83" s="127"/>
      <c r="AE83" s="105" t="s">
        <v>55</v>
      </c>
      <c r="AF83" s="105">
        <v>9</v>
      </c>
      <c r="AG83" s="105">
        <f t="shared" si="0"/>
        <v>1</v>
      </c>
      <c r="AH83" s="105">
        <f>+IF(AG83=0,0,IF(AG83=1,(SUM($AG$75:AG83)-1),1))</f>
        <v>6</v>
      </c>
      <c r="AI83" s="105">
        <f t="shared" si="1"/>
        <v>1</v>
      </c>
      <c r="AJ83" s="105">
        <f t="shared" si="2"/>
        <v>0</v>
      </c>
      <c r="AK83" s="105">
        <f t="shared" si="3"/>
        <v>1</v>
      </c>
      <c r="AL83" s="128" t="str">
        <f>+""</f>
        <v/>
      </c>
      <c r="AM83" s="128">
        <f>+IF(AK83=0,"",IF(V84="&gt;",W84+0.001,IF(V84="&lt;",W84-0.001,W84)))</f>
        <v>0</v>
      </c>
      <c r="AN83" s="128">
        <f>+IF(V83="NA","",IF(AK83=0,"",IF(V84="≥",W84-0.001,IF(V84="≤",W84+0.001,W84))))</f>
        <v>0</v>
      </c>
      <c r="AO83" s="128">
        <f>IF(V83="NA","",IF(AK83=0,"",IF(V83="&gt;",W83+0.001,IF(V83="&lt;",W83-0.001,W83))))</f>
        <v>0</v>
      </c>
      <c r="AP83" s="128">
        <f>+IF(V82="NA","",IF(AK83=0,"",IF(V83="≥",W83-0.001,IF(V83="≤",W83+0.001,W83))))</f>
        <v>0</v>
      </c>
      <c r="AQ83" s="128">
        <f>+IF(V82="NA","",IF(AK83=0,"",IF(V82="&gt;",W82+0.001,IF(V82="&lt;",W82-0.001,W82))))</f>
        <v>0</v>
      </c>
      <c r="AR83" s="128" t="str">
        <f>IF(AK83=0,"",IF(V82="≥",W81-0.001,IF(V82="≤",W81+0.001,"")))</f>
        <v/>
      </c>
      <c r="AS83" s="128" t="str">
        <f>+IF(AK83=0,"",IF(V81="=",W81,""))</f>
        <v/>
      </c>
    </row>
    <row r="84" spans="2:45" x14ac:dyDescent="0.25">
      <c r="B84" s="106"/>
      <c r="D84" s="386" t="s">
        <v>56</v>
      </c>
      <c r="E84" s="386"/>
      <c r="F84" s="126"/>
      <c r="G84" s="126">
        <v>0.94</v>
      </c>
      <c r="H84" s="126">
        <v>0.94099999999999995</v>
      </c>
      <c r="I84" s="126">
        <v>0.96899999999999997</v>
      </c>
      <c r="J84" s="126">
        <v>0.97</v>
      </c>
      <c r="K84" s="126">
        <v>0.999</v>
      </c>
      <c r="L84" s="126">
        <v>1</v>
      </c>
      <c r="M84" s="126"/>
      <c r="O84" s="106"/>
      <c r="Q84" s="122" t="s">
        <v>1983</v>
      </c>
      <c r="R84" s="111"/>
      <c r="S84" s="127"/>
      <c r="T84" s="111"/>
      <c r="U84" s="127"/>
      <c r="V84" s="111"/>
      <c r="W84" s="127"/>
      <c r="X84" s="111"/>
      <c r="Y84" s="127"/>
      <c r="Z84" s="111"/>
      <c r="AA84" s="127"/>
      <c r="AB84" s="111"/>
      <c r="AC84" s="127"/>
      <c r="AE84" s="105" t="s">
        <v>56</v>
      </c>
      <c r="AF84" s="105">
        <v>10</v>
      </c>
      <c r="AG84" s="105">
        <f t="shared" si="0"/>
        <v>1</v>
      </c>
      <c r="AH84" s="105">
        <f>+IF(AG84=0,0,IF(AG84=1,(SUM($AG$75:AG84)-1),1))</f>
        <v>7</v>
      </c>
      <c r="AI84" s="105">
        <f t="shared" si="1"/>
        <v>1</v>
      </c>
      <c r="AJ84" s="105">
        <f t="shared" si="2"/>
        <v>0</v>
      </c>
      <c r="AK84" s="105">
        <f t="shared" si="3"/>
        <v>1</v>
      </c>
      <c r="AL84" s="128" t="str">
        <f>+""</f>
        <v/>
      </c>
      <c r="AM84" s="128">
        <f>+IF(AK84=0,"",IF(X84="&gt;",Y84+0.001,IF(X84="&lt;",Y84-0.001,Y84)))</f>
        <v>0</v>
      </c>
      <c r="AN84" s="128">
        <f>+IF(X83="NA","",IF(AK84=0,"",IF(X84="≥",Y84-0.001,IF(X84="≤",Y84+0.001,Y84))))</f>
        <v>0</v>
      </c>
      <c r="AO84" s="128">
        <f>IF(X83="NA","",IF(AK84=0,"",IF(X83="&gt;",Y83+0.001,IF(X83="&lt;",Y83-0.001,Y83))))</f>
        <v>0</v>
      </c>
      <c r="AP84" s="128">
        <f>+IF(X82="NA","",IF(AK84=0,"",IF(X83="≥",Y83-0.001,IF(X83="≤",Y83+0.001,Y83))))</f>
        <v>0</v>
      </c>
      <c r="AQ84" s="128">
        <f>+IF(X82="NA","",IF(AK84=0,"",IF(X82="&gt;",Y82+0.001,IF(X82="&lt;",Y82-0.001,Y82))))</f>
        <v>0</v>
      </c>
      <c r="AR84" s="128" t="str">
        <f>IF(AK84=0,"",IF(X82="≥",Y81-0.001,IF(X82="≤",Y81+0.001,"")))</f>
        <v/>
      </c>
      <c r="AS84" s="128" t="str">
        <f>+IF(AK84=0,"",IF(X81="=",Y81,""))</f>
        <v/>
      </c>
    </row>
    <row r="85" spans="2:45" x14ac:dyDescent="0.25">
      <c r="B85" s="106"/>
      <c r="D85" s="386" t="s">
        <v>57</v>
      </c>
      <c r="E85" s="386"/>
      <c r="F85" s="126"/>
      <c r="G85" s="126">
        <v>0.94</v>
      </c>
      <c r="H85" s="126">
        <v>0.94099999999999995</v>
      </c>
      <c r="I85" s="126">
        <v>0.96899999999999997</v>
      </c>
      <c r="J85" s="126">
        <v>0.97</v>
      </c>
      <c r="K85" s="126">
        <v>0.999</v>
      </c>
      <c r="L85" s="126">
        <v>1</v>
      </c>
      <c r="M85" s="126"/>
      <c r="O85" s="106"/>
      <c r="AE85" s="105" t="s">
        <v>57</v>
      </c>
      <c r="AF85" s="105">
        <v>11</v>
      </c>
      <c r="AG85" s="105">
        <f t="shared" si="0"/>
        <v>1</v>
      </c>
      <c r="AH85" s="105">
        <f>+IF(AG85=0,0,IF(AG85=1,(SUM($AG$75:AG85)-1),1))</f>
        <v>8</v>
      </c>
      <c r="AI85" s="105">
        <f t="shared" si="1"/>
        <v>1</v>
      </c>
      <c r="AJ85" s="105">
        <f t="shared" si="2"/>
        <v>0</v>
      </c>
      <c r="AK85" s="105">
        <f t="shared" si="3"/>
        <v>1</v>
      </c>
      <c r="AL85" s="128" t="str">
        <f>+""</f>
        <v/>
      </c>
      <c r="AM85" s="128">
        <f>+IF(AK85=0,"",IF(Z84="&gt;",AA84+0.001,IF(Z84="&lt;",AA84-0.001,AA84)))</f>
        <v>0</v>
      </c>
      <c r="AN85" s="128">
        <f>+IF(Z83="NA","",IF(AK85=0,"",IF(Z84="≥",AA84-0.001,IF(Z84="≤",AA84+0.001,AA84))))</f>
        <v>0</v>
      </c>
      <c r="AO85" s="128">
        <f>IF(Z83="NA","",IF(AK85=0,"",IF(Z83="&gt;",AA83+0.001,IF(Z83="&lt;",AA83-0.001,AA83))))</f>
        <v>0</v>
      </c>
      <c r="AP85" s="128">
        <f>+IF(Z82="NA","",IF(AK85=0,"",IF(Z83="≥",AA83-0.001,IF(Z83="≤",AA83+0.001,AA83))))</f>
        <v>0</v>
      </c>
      <c r="AQ85" s="128">
        <f>+IF(Z82="NA","",IF(AK85=0,"",IF(Z82="&gt;",AA82+0.001,IF(Z82="&lt;",AA82-0.001,AA82))))</f>
        <v>0</v>
      </c>
      <c r="AR85" s="128" t="str">
        <f>IF(AK85=0,"",IF(Z82="≥",AA81-0.001,IF(Z82="≤",AA81+0.001,"")))</f>
        <v/>
      </c>
      <c r="AS85" s="128" t="str">
        <f>+IF(AK85=0,"",IF(Z81="=",AA81,""))</f>
        <v/>
      </c>
    </row>
    <row r="86" spans="2:45" x14ac:dyDescent="0.25">
      <c r="B86" s="106"/>
      <c r="D86" s="386" t="s">
        <v>58</v>
      </c>
      <c r="E86" s="386"/>
      <c r="F86" s="126"/>
      <c r="G86" s="126">
        <v>0.94</v>
      </c>
      <c r="H86" s="126">
        <v>0.94099999999999995</v>
      </c>
      <c r="I86" s="126">
        <v>0.96899999999999997</v>
      </c>
      <c r="J86" s="126">
        <v>0.97</v>
      </c>
      <c r="K86" s="126">
        <v>0.999</v>
      </c>
      <c r="L86" s="126">
        <v>1</v>
      </c>
      <c r="M86" s="126"/>
      <c r="O86" s="106"/>
      <c r="AE86" s="105" t="s">
        <v>58</v>
      </c>
      <c r="AF86" s="129">
        <v>12</v>
      </c>
      <c r="AG86" s="105">
        <f t="shared" si="0"/>
        <v>1</v>
      </c>
      <c r="AH86" s="105">
        <f>+IF(AG86=0,0,IF(AG86=1,(SUM($AG$75:AG86)-1),1))</f>
        <v>9</v>
      </c>
      <c r="AI86" s="105">
        <f t="shared" si="1"/>
        <v>1</v>
      </c>
      <c r="AJ86" s="105">
        <f t="shared" si="2"/>
        <v>0</v>
      </c>
      <c r="AK86" s="105">
        <f t="shared" si="3"/>
        <v>1</v>
      </c>
      <c r="AL86" s="128" t="str">
        <f>+""</f>
        <v/>
      </c>
      <c r="AM86" s="128">
        <f>+IF(AK86=0,"",IF(AB84="&gt;",AC84+0.001,IF(AB84="&lt;",AC84-0.001,AC84)))</f>
        <v>0</v>
      </c>
      <c r="AN86" s="128">
        <f>+IF(AB83="NA","",IF(AK86=0,"",IF(AB84="≥",AC84-0.001,IF(AB84="≤",AC84+0.001,AC84))))</f>
        <v>0</v>
      </c>
      <c r="AO86" s="128">
        <f>IF(AB83="NA","",IF(AK86=0,"",IF(AB83="&gt;",AC83+0.001,IF(AB83="&lt;",AC83-0.001,AC83))))</f>
        <v>0</v>
      </c>
      <c r="AP86" s="128">
        <f>+IF(AB82="NA","",IF(AK86=0,"",IF(AB83="≥",AC83-0.001,IF(AB83="≤",AC83+0.001,AC83))))</f>
        <v>0</v>
      </c>
      <c r="AQ86" s="128">
        <f>+IF(AB82="NA","",IF(AK86=0,"",IF(AB82="&gt;",AC82+0.001,IF(AB82="&lt;",AC82-0.001,AC82))))</f>
        <v>0</v>
      </c>
      <c r="AR86" s="128" t="str">
        <f>IF(AK86=0,"",IF(AB82="≥",AC81-0.001,IF(AB82="≤",AC81+0.001,"")))</f>
        <v/>
      </c>
      <c r="AS86" s="128" t="str">
        <f>+IF(AK86=0,"",IF(AB81="=",AC81,""))</f>
        <v/>
      </c>
    </row>
    <row r="87" spans="2:45" ht="3.75" customHeight="1" x14ac:dyDescent="0.25">
      <c r="B87" s="106"/>
      <c r="O87" s="106"/>
      <c r="AR87" s="128" t="str">
        <f>IF(AK87=0,"",IF(S83="Creciente",IF(R88="≥",S88-0.001,""),IF(R88="≤",S88+0.001,"")))</f>
        <v/>
      </c>
    </row>
    <row r="88" spans="2:45" ht="66" customHeight="1" x14ac:dyDescent="0.25">
      <c r="B88" s="106"/>
      <c r="D88" s="378" t="s">
        <v>59</v>
      </c>
      <c r="E88" s="379"/>
      <c r="F88" s="380" t="s">
        <v>2079</v>
      </c>
      <c r="G88" s="381"/>
      <c r="H88" s="381"/>
      <c r="I88" s="381"/>
      <c r="J88" s="381"/>
      <c r="K88" s="381"/>
      <c r="L88" s="381"/>
      <c r="M88" s="382"/>
      <c r="O88" s="106"/>
    </row>
    <row r="89" spans="2:45" ht="3.95" customHeight="1" x14ac:dyDescent="0.25">
      <c r="B89" s="106"/>
      <c r="O89" s="106"/>
    </row>
    <row r="90" spans="2:45" ht="3" customHeight="1" x14ac:dyDescent="0.25">
      <c r="B90" s="106"/>
      <c r="C90" s="106"/>
      <c r="D90" s="106"/>
      <c r="E90" s="106"/>
      <c r="F90" s="106"/>
      <c r="G90" s="106"/>
      <c r="H90" s="106"/>
      <c r="I90" s="106"/>
      <c r="J90" s="106"/>
      <c r="K90" s="106"/>
      <c r="L90" s="106"/>
      <c r="M90" s="106"/>
      <c r="N90" s="106"/>
      <c r="O90" s="106"/>
    </row>
    <row r="91" spans="2:45" ht="3" customHeight="1" x14ac:dyDescent="0.25"/>
    <row r="92" spans="2:45" ht="3" customHeight="1" x14ac:dyDescent="0.25">
      <c r="B92" s="106"/>
      <c r="C92" s="106"/>
      <c r="D92" s="106"/>
      <c r="E92" s="106"/>
      <c r="F92" s="106"/>
      <c r="G92" s="106"/>
      <c r="H92" s="106"/>
      <c r="I92" s="106"/>
      <c r="J92" s="106"/>
      <c r="K92" s="106"/>
      <c r="L92" s="106"/>
      <c r="M92" s="106"/>
      <c r="N92" s="106"/>
      <c r="O92" s="106"/>
    </row>
    <row r="93" spans="2:45" ht="3.95" customHeight="1" x14ac:dyDescent="0.25">
      <c r="B93" s="106"/>
      <c r="O93" s="106"/>
    </row>
    <row r="94" spans="2:45" x14ac:dyDescent="0.25">
      <c r="B94" s="106"/>
      <c r="D94" s="112" t="s">
        <v>60</v>
      </c>
      <c r="O94" s="106"/>
    </row>
    <row r="95" spans="2:45" ht="3.95" customHeight="1" x14ac:dyDescent="0.25">
      <c r="B95" s="106"/>
      <c r="O95" s="106"/>
    </row>
    <row r="96" spans="2:45" ht="20.100000000000001" customHeight="1" x14ac:dyDescent="0.25">
      <c r="B96" s="106"/>
      <c r="D96" s="387" t="s">
        <v>61</v>
      </c>
      <c r="E96" s="387"/>
      <c r="O96" s="106"/>
    </row>
    <row r="97" spans="2:15" ht="30" customHeight="1" x14ac:dyDescent="0.25">
      <c r="B97" s="106"/>
      <c r="D97" s="369" t="s">
        <v>35</v>
      </c>
      <c r="E97" s="369"/>
      <c r="F97" s="370" t="str">
        <f>+IFERROR(VLOOKUP($S$12,[1]Hoja1!$B$5:$AT$190,29,FALSE),"")</f>
        <v>Reportes de Ejecucion Presupuestal SIIF</v>
      </c>
      <c r="G97" s="370"/>
      <c r="H97" s="370"/>
      <c r="I97" s="370"/>
      <c r="J97" s="370"/>
      <c r="K97" s="370"/>
      <c r="L97" s="370"/>
      <c r="M97" s="370"/>
      <c r="O97" s="106"/>
    </row>
    <row r="98" spans="2:15" ht="30" customHeight="1" x14ac:dyDescent="0.25">
      <c r="B98" s="106"/>
      <c r="D98" s="369" t="s">
        <v>36</v>
      </c>
      <c r="E98" s="369"/>
      <c r="F98" s="370" t="s">
        <v>1984</v>
      </c>
      <c r="G98" s="370"/>
      <c r="H98" s="370"/>
      <c r="I98" s="370"/>
      <c r="J98" s="370"/>
      <c r="K98" s="370"/>
      <c r="L98" s="370"/>
      <c r="M98" s="370"/>
      <c r="O98" s="106"/>
    </row>
    <row r="99" spans="2:15" ht="3.95" customHeight="1" x14ac:dyDescent="0.25">
      <c r="B99" s="106"/>
      <c r="O99" s="106"/>
    </row>
    <row r="100" spans="2:15" ht="58.5" customHeight="1" x14ac:dyDescent="0.25">
      <c r="B100" s="106"/>
      <c r="D100" s="378" t="s">
        <v>62</v>
      </c>
      <c r="E100" s="379"/>
      <c r="F100" s="383"/>
      <c r="G100" s="384"/>
      <c r="H100" s="384"/>
      <c r="I100" s="384"/>
      <c r="J100" s="384"/>
      <c r="K100" s="384"/>
      <c r="L100" s="384"/>
      <c r="M100" s="385"/>
      <c r="O100" s="106"/>
    </row>
    <row r="101" spans="2:15" ht="3.95" customHeight="1" x14ac:dyDescent="0.25">
      <c r="B101" s="106"/>
      <c r="O101" s="106"/>
    </row>
    <row r="102" spans="2:15" ht="19.5" customHeight="1" x14ac:dyDescent="0.25">
      <c r="B102" s="106"/>
      <c r="D102" s="371" t="s">
        <v>64</v>
      </c>
      <c r="E102" s="372"/>
      <c r="F102" s="130" t="s">
        <v>65</v>
      </c>
      <c r="G102" s="107" t="s">
        <v>2</v>
      </c>
      <c r="K102" s="131"/>
      <c r="O102" s="106"/>
    </row>
    <row r="103" spans="2:15" ht="19.5" customHeight="1" x14ac:dyDescent="0.25">
      <c r="B103" s="106"/>
      <c r="D103" s="373"/>
      <c r="E103" s="374"/>
      <c r="F103" s="130" t="s">
        <v>66</v>
      </c>
      <c r="G103" s="132"/>
      <c r="K103" s="133"/>
      <c r="O103" s="106"/>
    </row>
    <row r="104" spans="2:15" ht="27.75" customHeight="1" x14ac:dyDescent="0.25">
      <c r="B104" s="106"/>
      <c r="D104" s="373"/>
      <c r="E104" s="374"/>
      <c r="F104" s="130" t="s">
        <v>67</v>
      </c>
      <c r="G104" s="375"/>
      <c r="H104" s="376"/>
      <c r="I104" s="376"/>
      <c r="J104" s="376"/>
      <c r="K104" s="376"/>
      <c r="L104" s="376"/>
      <c r="M104" s="377"/>
      <c r="O104" s="106"/>
    </row>
    <row r="105" spans="2:15" ht="3.95" customHeight="1" x14ac:dyDescent="0.25">
      <c r="B105" s="106"/>
      <c r="O105" s="106"/>
    </row>
    <row r="106" spans="2:15" ht="229.5" customHeight="1" x14ac:dyDescent="0.25">
      <c r="B106" s="106"/>
      <c r="D106" s="378" t="s">
        <v>68</v>
      </c>
      <c r="E106" s="379"/>
      <c r="F106" s="380" t="s">
        <v>102</v>
      </c>
      <c r="G106" s="381"/>
      <c r="H106" s="381"/>
      <c r="I106" s="381"/>
      <c r="J106" s="381"/>
      <c r="K106" s="381"/>
      <c r="L106" s="381"/>
      <c r="M106" s="382"/>
      <c r="O106" s="106"/>
    </row>
    <row r="107" spans="2:15" ht="3.95" customHeight="1" x14ac:dyDescent="0.25">
      <c r="B107" s="106"/>
      <c r="O107" s="106"/>
    </row>
    <row r="108" spans="2:15" ht="17.25" customHeight="1" x14ac:dyDescent="0.25">
      <c r="B108" s="106"/>
      <c r="D108" s="371" t="s">
        <v>2040</v>
      </c>
      <c r="E108" s="372"/>
      <c r="F108" s="130" t="s">
        <v>2041</v>
      </c>
      <c r="G108" s="375" t="str">
        <f>+VLOOKUP(H10,tablero!$P$5:$R$201,3,FALSE)</f>
        <v xml:space="preserve">Director(a) Primera Infancia </v>
      </c>
      <c r="H108" s="376"/>
      <c r="I108" s="376"/>
      <c r="J108" s="376"/>
      <c r="K108" s="376"/>
      <c r="L108" s="376"/>
      <c r="M108" s="377"/>
      <c r="O108" s="106"/>
    </row>
    <row r="109" spans="2:15" ht="17.25" customHeight="1" x14ac:dyDescent="0.25">
      <c r="B109" s="106"/>
      <c r="D109" s="373"/>
      <c r="E109" s="374"/>
      <c r="F109" s="130" t="s">
        <v>2042</v>
      </c>
      <c r="G109" s="375" t="str">
        <f>+IF(M23="Si","Coordinador(a) Planeación y Sistemas","")</f>
        <v/>
      </c>
      <c r="H109" s="376"/>
      <c r="I109" s="376"/>
      <c r="J109" s="376"/>
      <c r="K109" s="376"/>
      <c r="L109" s="376"/>
      <c r="M109" s="377"/>
      <c r="O109" s="106"/>
    </row>
    <row r="110" spans="2:15" ht="17.25" customHeight="1" x14ac:dyDescent="0.25">
      <c r="B110" s="106"/>
      <c r="D110" s="373"/>
      <c r="E110" s="374"/>
      <c r="F110" s="130" t="s">
        <v>2043</v>
      </c>
      <c r="G110" s="375" t="str">
        <f>+IF(M24="Si","Coordinador(a) Centro Zonal","")</f>
        <v/>
      </c>
      <c r="H110" s="376"/>
      <c r="I110" s="376"/>
      <c r="J110" s="376"/>
      <c r="K110" s="376"/>
      <c r="L110" s="376"/>
      <c r="M110" s="377"/>
      <c r="O110" s="106"/>
    </row>
    <row r="111" spans="2:15" ht="3.95" customHeight="1" x14ac:dyDescent="0.25">
      <c r="B111" s="106"/>
      <c r="O111" s="106"/>
    </row>
    <row r="112" spans="2:15" ht="3" customHeight="1" x14ac:dyDescent="0.25">
      <c r="B112" s="106"/>
      <c r="C112" s="106"/>
      <c r="D112" s="106"/>
      <c r="E112" s="106"/>
      <c r="F112" s="106"/>
      <c r="G112" s="106"/>
      <c r="H112" s="106"/>
      <c r="I112" s="106"/>
      <c r="J112" s="106"/>
      <c r="K112" s="106"/>
      <c r="L112" s="106"/>
      <c r="M112" s="106"/>
      <c r="N112" s="106"/>
      <c r="O112" s="106"/>
    </row>
    <row r="113" spans="13:13" x14ac:dyDescent="0.25">
      <c r="M113" s="121" t="s">
        <v>70</v>
      </c>
    </row>
  </sheetData>
  <mergeCells count="85">
    <mergeCell ref="C3:N5"/>
    <mergeCell ref="D10:E10"/>
    <mergeCell ref="D12:E12"/>
    <mergeCell ref="F12:M12"/>
    <mergeCell ref="D14:E14"/>
    <mergeCell ref="F14:M14"/>
    <mergeCell ref="D22:E22"/>
    <mergeCell ref="G22:H22"/>
    <mergeCell ref="K22:L22"/>
    <mergeCell ref="D23:E23"/>
    <mergeCell ref="G23:H23"/>
    <mergeCell ref="K23:L23"/>
    <mergeCell ref="D24:E24"/>
    <mergeCell ref="G24:H24"/>
    <mergeCell ref="K24:L24"/>
    <mergeCell ref="D25:E25"/>
    <mergeCell ref="D29:E29"/>
    <mergeCell ref="F29:M29"/>
    <mergeCell ref="D30:E31"/>
    <mergeCell ref="G30:M30"/>
    <mergeCell ref="G31:M31"/>
    <mergeCell ref="D32:E33"/>
    <mergeCell ref="G32:M32"/>
    <mergeCell ref="G33:M33"/>
    <mergeCell ref="D34:E35"/>
    <mergeCell ref="G34:M34"/>
    <mergeCell ref="G35:M35"/>
    <mergeCell ref="D43:E43"/>
    <mergeCell ref="D44:E45"/>
    <mergeCell ref="G44:M44"/>
    <mergeCell ref="G45:M45"/>
    <mergeCell ref="D46:E47"/>
    <mergeCell ref="G46:M46"/>
    <mergeCell ref="G47:M47"/>
    <mergeCell ref="D48:E49"/>
    <mergeCell ref="G48:M48"/>
    <mergeCell ref="G49:M49"/>
    <mergeCell ref="D51:E51"/>
    <mergeCell ref="G51:H51"/>
    <mergeCell ref="D59:E59"/>
    <mergeCell ref="F59:M59"/>
    <mergeCell ref="D60:E60"/>
    <mergeCell ref="F60:M60"/>
    <mergeCell ref="D82:E82"/>
    <mergeCell ref="D83:E83"/>
    <mergeCell ref="D61:E61"/>
    <mergeCell ref="F61:M61"/>
    <mergeCell ref="D67:E67"/>
    <mergeCell ref="D71:E71"/>
    <mergeCell ref="D73:E74"/>
    <mergeCell ref="F73:G73"/>
    <mergeCell ref="H73:I73"/>
    <mergeCell ref="J73:K73"/>
    <mergeCell ref="L73:M73"/>
    <mergeCell ref="D77:E77"/>
    <mergeCell ref="D78:E78"/>
    <mergeCell ref="D79:E79"/>
    <mergeCell ref="D80:E80"/>
    <mergeCell ref="D81:E81"/>
    <mergeCell ref="AR73:AS73"/>
    <mergeCell ref="D75:E75"/>
    <mergeCell ref="D76:E76"/>
    <mergeCell ref="AL73:AM73"/>
    <mergeCell ref="AN73:AO73"/>
    <mergeCell ref="AP73:AQ73"/>
    <mergeCell ref="D84:E84"/>
    <mergeCell ref="D85:E85"/>
    <mergeCell ref="D86:E86"/>
    <mergeCell ref="D88:E88"/>
    <mergeCell ref="F97:M97"/>
    <mergeCell ref="D96:E96"/>
    <mergeCell ref="D97:E97"/>
    <mergeCell ref="F88:M88"/>
    <mergeCell ref="D98:E98"/>
    <mergeCell ref="F98:M98"/>
    <mergeCell ref="D108:E110"/>
    <mergeCell ref="G108:M108"/>
    <mergeCell ref="G109:M109"/>
    <mergeCell ref="G110:M110"/>
    <mergeCell ref="D102:E104"/>
    <mergeCell ref="G104:M104"/>
    <mergeCell ref="D106:E106"/>
    <mergeCell ref="F106:M106"/>
    <mergeCell ref="D100:E100"/>
    <mergeCell ref="F100:M100"/>
  </mergeCells>
  <conditionalFormatting sqref="F44:M49">
    <cfRule type="expression" dxfId="3165" priority="32">
      <formula>+IF($F$43="no",1,0)</formula>
    </cfRule>
  </conditionalFormatting>
  <conditionalFormatting sqref="F32:M33">
    <cfRule type="expression" dxfId="3164" priority="31">
      <formula>+IF($Q$30="NA",1,0)</formula>
    </cfRule>
  </conditionalFormatting>
  <conditionalFormatting sqref="F33:M33">
    <cfRule type="expression" dxfId="3163" priority="30">
      <formula>+IF($Q$33=0,1,0)</formula>
    </cfRule>
  </conditionalFormatting>
  <conditionalFormatting sqref="F47:M47">
    <cfRule type="expression" dxfId="3162" priority="29">
      <formula>+IF($Q$47=0,1,0)</formula>
    </cfRule>
  </conditionalFormatting>
  <conditionalFormatting sqref="Y75:Y78">
    <cfRule type="expression" dxfId="3161" priority="25">
      <formula>+IF(Y$73=0,1,0)</formula>
    </cfRule>
  </conditionalFormatting>
  <conditionalFormatting sqref="AA75:AA78">
    <cfRule type="expression" dxfId="3160" priority="24">
      <formula>+IF(AA$73=0,1,0)</formula>
    </cfRule>
  </conditionalFormatting>
  <conditionalFormatting sqref="AC75:AC78">
    <cfRule type="expression" dxfId="3159" priority="23">
      <formula>+IF(AC$73=0,1,0)</formula>
    </cfRule>
  </conditionalFormatting>
  <conditionalFormatting sqref="S83:S84">
    <cfRule type="expression" dxfId="3158" priority="22">
      <formula>+IF(S$79=0,1,0)</formula>
    </cfRule>
  </conditionalFormatting>
  <conditionalFormatting sqref="U83:U84">
    <cfRule type="expression" dxfId="3157" priority="21">
      <formula>+IF(U$79=0,1,0)</formula>
    </cfRule>
  </conditionalFormatting>
  <conditionalFormatting sqref="W83:W84">
    <cfRule type="expression" dxfId="3156" priority="20">
      <formula>+IF(W$79=0,1,0)</formula>
    </cfRule>
  </conditionalFormatting>
  <conditionalFormatting sqref="Y81:Y84">
    <cfRule type="expression" dxfId="3155" priority="19">
      <formula>+IF(Y$79=0,1,0)</formula>
    </cfRule>
  </conditionalFormatting>
  <conditionalFormatting sqref="AA81:AA84">
    <cfRule type="expression" dxfId="3154" priority="18">
      <formula>+IF(AA$79=0,1,0)</formula>
    </cfRule>
  </conditionalFormatting>
  <conditionalFormatting sqref="AC81:AC84">
    <cfRule type="expression" dxfId="3153" priority="17">
      <formula>+IF(AC$79=0,1,0)</formula>
    </cfRule>
  </conditionalFormatting>
  <conditionalFormatting sqref="F73:G73">
    <cfRule type="cellIs" dxfId="3152" priority="15" operator="equal">
      <formula>"optimo"</formula>
    </cfRule>
    <cfRule type="cellIs" dxfId="3151" priority="16" operator="equal">
      <formula>"critico"</formula>
    </cfRule>
  </conditionalFormatting>
  <conditionalFormatting sqref="H73:I73">
    <cfRule type="cellIs" dxfId="3150" priority="13" operator="equal">
      <formula>"Adecuado"</formula>
    </cfRule>
    <cfRule type="cellIs" dxfId="3149" priority="14" operator="equal">
      <formula>"en riesgo"</formula>
    </cfRule>
  </conditionalFormatting>
  <conditionalFormatting sqref="J73:K73">
    <cfRule type="cellIs" dxfId="3148" priority="11" operator="equal">
      <formula>"Adecuado"</formula>
    </cfRule>
    <cfRule type="cellIs" dxfId="3147" priority="12" operator="equal">
      <formula>"en riesgo"</formula>
    </cfRule>
  </conditionalFormatting>
  <conditionalFormatting sqref="L73:M73">
    <cfRule type="cellIs" dxfId="3146" priority="9" operator="equal">
      <formula>"optimo"</formula>
    </cfRule>
    <cfRule type="cellIs" dxfId="3145" priority="10" operator="equal">
      <formula>"critico"</formula>
    </cfRule>
  </conditionalFormatting>
  <conditionalFormatting sqref="F75:M76">
    <cfRule type="expression" dxfId="3144" priority="8">
      <formula>+IF($AK75=0,1)</formula>
    </cfRule>
  </conditionalFormatting>
  <conditionalFormatting sqref="F103:G104">
    <cfRule type="expression" dxfId="3143" priority="7">
      <formula>+IF($G$102="No",1,0)</formula>
    </cfRule>
  </conditionalFormatting>
  <conditionalFormatting sqref="F51">
    <cfRule type="expression" dxfId="3142" priority="6">
      <formula>+IF($F$43="no",1,0)</formula>
    </cfRule>
  </conditionalFormatting>
  <conditionalFormatting sqref="I51">
    <cfRule type="expression" dxfId="3141" priority="5">
      <formula>+IF($F$51="no",1,0)</formula>
    </cfRule>
  </conditionalFormatting>
  <conditionalFormatting sqref="F77:M86">
    <cfRule type="expression" dxfId="3140" priority="4">
      <formula>+IF($AK77=0,1)</formula>
    </cfRule>
  </conditionalFormatting>
  <dataValidations count="13">
    <dataValidation type="list" allowBlank="1" showInputMessage="1" showErrorMessage="1" sqref="G102 F43 F51">
      <formula1>$S$4:$S$5</formula1>
    </dataValidation>
    <dataValidation type="list" allowBlank="1" showInputMessage="1" showErrorMessage="1" sqref="F29:M29">
      <formula1>objetivos</formula1>
    </dataValidation>
    <dataValidation type="list" allowBlank="1" showInputMessage="1" showErrorMessage="1" sqref="F35:G35">
      <formula1>macroprocesos</formula1>
    </dataValidation>
    <dataValidation type="list" allowBlank="1" showInputMessage="1" showErrorMessage="1" sqref="G33:M33">
      <formula1>INDIRECT($Q$30)</formula1>
    </dataValidation>
    <dataValidation type="list" allowBlank="1" showInputMessage="1" showErrorMessage="1" sqref="G31:M31">
      <formula1>macroproceso</formula1>
    </dataValidation>
    <dataValidation type="list" allowBlank="1" showInputMessage="1" showErrorMessage="1" sqref="G45:M45">
      <formula1>lineas</formula1>
    </dataValidation>
    <dataValidation type="list" allowBlank="1" showInputMessage="1" showErrorMessage="1" sqref="G47:M47">
      <formula1>INDIRECT($Q$45)</formula1>
    </dataValidation>
    <dataValidation type="list" allowBlank="1" showInputMessage="1" showErrorMessage="1" sqref="F24">
      <formula1>tendencia</formula1>
    </dataValidation>
    <dataValidation type="list" allowBlank="1" showInputMessage="1" showErrorMessage="1" sqref="I23">
      <formula1>medidas</formula1>
    </dataValidation>
    <dataValidation type="list" allowBlank="1" showInputMessage="1" showErrorMessage="1" sqref="I24">
      <formula1>ambito</formula1>
    </dataValidation>
    <dataValidation type="list" allowBlank="1" showInputMessage="1" showErrorMessage="1" sqref="F71">
      <formula1>$D$75:$D$86</formula1>
    </dataValidation>
    <dataValidation type="list" allowBlank="1" showInputMessage="1" showErrorMessage="1" sqref="G49:M49">
      <formula1>proyectos</formula1>
    </dataValidation>
    <dataValidation type="list" allowBlank="1" showInputMessage="1" showErrorMessage="1" sqref="F25">
      <formula1>dimen</formula1>
    </dataValidation>
  </dataValidations>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[1]base!#REF!</xm:f>
          </x14:formula1>
          <xm:sqref>R75:R78 T75:T78 V75:V78 X75:X78 Z75:Z78 AB75:AB78 T81:T84 Z81:Z84 R81:R84 V81:V84 X81:X84 AB81:AB84 F23</xm:sqref>
        </x14:dataValidation>
        <x14:dataValidation type="list" allowBlank="1" showInputMessage="1" showErrorMessage="1">
          <x14:formula1>
            <xm:f>[1]Hoja1!#REF!</xm:f>
          </x14:formula1>
          <xm:sqref>S12</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tabColor rgb="FF0070C0"/>
  </sheetPr>
  <dimension ref="B1:AV113"/>
  <sheetViews>
    <sheetView zoomScaleNormal="100" workbookViewId="0">
      <selection activeCell="P1" sqref="P1"/>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147</v>
      </c>
      <c r="O10" s="2"/>
    </row>
    <row r="11" spans="2:24" ht="3.95" customHeight="1" x14ac:dyDescent="0.25">
      <c r="B11" s="2"/>
      <c r="D11" s="6"/>
      <c r="O11" s="2"/>
    </row>
    <row r="12" spans="2:24" ht="36" customHeight="1" x14ac:dyDescent="0.25">
      <c r="B12" s="2"/>
      <c r="D12" s="338" t="s">
        <v>5</v>
      </c>
      <c r="E12" s="339"/>
      <c r="F12" s="340" t="s">
        <v>1678</v>
      </c>
      <c r="G12" s="341"/>
      <c r="H12" s="341"/>
      <c r="I12" s="341"/>
      <c r="J12" s="341"/>
      <c r="K12" s="341"/>
      <c r="L12" s="341"/>
      <c r="M12" s="342"/>
      <c r="O12" s="2"/>
      <c r="W12" s="3" t="str">
        <f>+F23</f>
        <v>Trimestral</v>
      </c>
      <c r="X12" s="3" t="str">
        <f>+F71</f>
        <v>Septiembre</v>
      </c>
    </row>
    <row r="13" spans="2:24" ht="3.95" customHeight="1" x14ac:dyDescent="0.25">
      <c r="B13" s="2"/>
      <c r="O13" s="2"/>
    </row>
    <row r="14" spans="2:24" ht="36" customHeight="1" x14ac:dyDescent="0.25">
      <c r="B14" s="2"/>
      <c r="D14" s="338" t="s">
        <v>6</v>
      </c>
      <c r="E14" s="339"/>
      <c r="F14" s="340" t="s">
        <v>576</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8" t="s">
        <v>512</v>
      </c>
      <c r="G22" s="337" t="s">
        <v>9</v>
      </c>
      <c r="H22" s="337"/>
      <c r="I22" s="17">
        <v>0.3</v>
      </c>
      <c r="K22" s="337" t="s">
        <v>10</v>
      </c>
      <c r="L22" s="337"/>
      <c r="M22" s="9" t="s">
        <v>496</v>
      </c>
      <c r="O22" s="2"/>
    </row>
    <row r="23" spans="2:17" ht="19.5" customHeight="1" x14ac:dyDescent="0.25">
      <c r="B23" s="2"/>
      <c r="D23" s="337" t="s">
        <v>11</v>
      </c>
      <c r="E23" s="337"/>
      <c r="F23" s="4" t="s">
        <v>71</v>
      </c>
      <c r="G23" s="337" t="s">
        <v>12</v>
      </c>
      <c r="H23" s="337"/>
      <c r="I23" s="4" t="s">
        <v>497</v>
      </c>
      <c r="K23" s="337" t="s">
        <v>13</v>
      </c>
      <c r="L23" s="337"/>
      <c r="M23" s="9" t="s">
        <v>2</v>
      </c>
      <c r="O23" s="2"/>
    </row>
    <row r="24" spans="2:17" ht="20.100000000000001" customHeight="1" x14ac:dyDescent="0.25">
      <c r="B24" s="2"/>
      <c r="D24" s="337" t="s">
        <v>14</v>
      </c>
      <c r="E24" s="337"/>
      <c r="F24" s="4" t="s">
        <v>498</v>
      </c>
      <c r="G24" s="337" t="s">
        <v>15</v>
      </c>
      <c r="H24" s="337"/>
      <c r="I24" s="4" t="s">
        <v>554</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99</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NA</v>
      </c>
    </row>
    <row r="31" spans="2:17" ht="24" customHeight="1" x14ac:dyDescent="0.25">
      <c r="B31" s="2"/>
      <c r="D31" s="347"/>
      <c r="E31" s="348"/>
      <c r="F31" s="4" t="s">
        <v>144</v>
      </c>
      <c r="G31" s="340" t="s">
        <v>145</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500</v>
      </c>
      <c r="G33" s="340"/>
      <c r="H33" s="341"/>
      <c r="I33" s="341"/>
      <c r="J33" s="341"/>
      <c r="K33" s="341"/>
      <c r="L33" s="341"/>
      <c r="M33" s="342"/>
      <c r="O33" s="2"/>
      <c r="Q33" s="3" t="str">
        <f>+IFERROR(IF(VLOOKUP(G33,base!$A$26:$C$40,3,FALSE)=F31,1,0),"")</f>
        <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1712</v>
      </c>
      <c r="G35" s="340" t="s">
        <v>1588</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501</v>
      </c>
      <c r="G45" s="340" t="s">
        <v>502</v>
      </c>
      <c r="H45" s="341"/>
      <c r="I45" s="341"/>
      <c r="J45" s="341"/>
      <c r="K45" s="341"/>
      <c r="L45" s="341"/>
      <c r="M45" s="342"/>
      <c r="O45" s="2"/>
      <c r="Q45" s="3" t="str">
        <f>+IFERROR(VLOOKUP(G45,base!$A$41:$C$45,3,FALSE),"")</f>
        <v>misional</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503</v>
      </c>
      <c r="G47" s="340" t="s">
        <v>504</v>
      </c>
      <c r="H47" s="341"/>
      <c r="I47" s="341"/>
      <c r="J47" s="341"/>
      <c r="K47" s="341"/>
      <c r="L47" s="341"/>
      <c r="M47" s="342"/>
      <c r="O47" s="2"/>
      <c r="Q47" s="3">
        <f>+IF(VLOOKUP(G47,base!$A$46:$C$66,3,FALSE)=F45,1,0)</f>
        <v>1</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555</v>
      </c>
      <c r="G49" s="340" t="s">
        <v>100</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496</v>
      </c>
      <c r="G51" s="337" t="s">
        <v>32</v>
      </c>
      <c r="H51" s="337"/>
      <c r="I51" s="17">
        <v>1</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75" customHeight="1" x14ac:dyDescent="0.25">
      <c r="B59" s="2"/>
      <c r="D59" s="337" t="s">
        <v>34</v>
      </c>
      <c r="E59" s="337"/>
      <c r="F59" s="344" t="s">
        <v>572</v>
      </c>
      <c r="G59" s="344"/>
      <c r="H59" s="344"/>
      <c r="I59" s="344"/>
      <c r="J59" s="344"/>
      <c r="K59" s="344"/>
      <c r="L59" s="344"/>
      <c r="M59" s="344"/>
      <c r="O59" s="2"/>
    </row>
    <row r="60" spans="2:15" ht="27" customHeight="1" x14ac:dyDescent="0.25">
      <c r="B60" s="2"/>
      <c r="D60" s="359" t="s">
        <v>35</v>
      </c>
      <c r="E60" s="359"/>
      <c r="F60" s="344" t="s">
        <v>573</v>
      </c>
      <c r="G60" s="344"/>
      <c r="H60" s="344"/>
      <c r="I60" s="344"/>
      <c r="J60" s="344"/>
      <c r="K60" s="344"/>
      <c r="L60" s="344"/>
      <c r="M60" s="344"/>
      <c r="O60" s="2"/>
    </row>
    <row r="61" spans="2:15" ht="27" customHeight="1" x14ac:dyDescent="0.25">
      <c r="B61" s="2"/>
      <c r="D61" s="359" t="s">
        <v>36</v>
      </c>
      <c r="E61" s="359"/>
      <c r="F61" s="344" t="s">
        <v>574</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43" t="s">
        <v>39</v>
      </c>
      <c r="E71" s="343"/>
      <c r="F71" s="4" t="s">
        <v>55</v>
      </c>
      <c r="G71" s="3">
        <v>6</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t="s">
        <v>500</v>
      </c>
      <c r="H77" s="16" t="s">
        <v>500</v>
      </c>
      <c r="I77" s="16" t="s">
        <v>500</v>
      </c>
      <c r="J77" s="16" t="s">
        <v>500</v>
      </c>
      <c r="K77" s="16" t="s">
        <v>500</v>
      </c>
      <c r="L77" s="16" t="s">
        <v>500</v>
      </c>
      <c r="M77" s="16"/>
      <c r="O77" s="2"/>
      <c r="AE77" s="3" t="s">
        <v>47</v>
      </c>
      <c r="AF77" s="3">
        <v>3</v>
      </c>
      <c r="AG77" s="3">
        <f t="shared" si="0"/>
        <v>0</v>
      </c>
      <c r="AH77" s="3">
        <f>+IF(AG77=0,0,IF(AG77=1,(SUM($AG$75:AG77)-1),1))</f>
        <v>0</v>
      </c>
      <c r="AI77" s="3">
        <f t="shared" si="1"/>
        <v>0</v>
      </c>
      <c r="AJ77" s="3">
        <f t="shared" si="2"/>
        <v>0</v>
      </c>
      <c r="AK77" s="3">
        <f t="shared" si="3"/>
        <v>0</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60" t="s">
        <v>50</v>
      </c>
      <c r="E80" s="360"/>
      <c r="F80" s="16" t="s">
        <v>500</v>
      </c>
      <c r="G80" s="16">
        <v>0.1</v>
      </c>
      <c r="H80" s="16">
        <v>0.10100000000000001</v>
      </c>
      <c r="I80" s="16">
        <v>0.12</v>
      </c>
      <c r="J80" s="16">
        <v>0.121</v>
      </c>
      <c r="K80" s="16">
        <v>0.14899999999999999</v>
      </c>
      <c r="L80" s="16">
        <v>0.15</v>
      </c>
      <c r="M80" s="16" t="s">
        <v>500</v>
      </c>
      <c r="O80" s="2"/>
      <c r="AE80" s="3" t="s">
        <v>50</v>
      </c>
      <c r="AF80" s="3">
        <v>6</v>
      </c>
      <c r="AG80" s="3">
        <f t="shared" si="0"/>
        <v>1</v>
      </c>
      <c r="AH80" s="3">
        <f>+IF(AG80=0,0,IF(AG80=1,(SUM($AG$75:AG80)-1),1))</f>
        <v>0</v>
      </c>
      <c r="AI80" s="3">
        <f t="shared" si="1"/>
        <v>0</v>
      </c>
      <c r="AJ80" s="3">
        <f t="shared" si="2"/>
        <v>0</v>
      </c>
      <c r="AK80" s="3">
        <f t="shared" si="3"/>
        <v>0</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1</v>
      </c>
      <c r="AI81" s="3">
        <f t="shared" si="1"/>
        <v>0</v>
      </c>
      <c r="AJ81" s="3">
        <f t="shared" si="2"/>
        <v>0</v>
      </c>
      <c r="AK81" s="3">
        <f t="shared" si="3"/>
        <v>0</v>
      </c>
    </row>
    <row r="82" spans="2:37" x14ac:dyDescent="0.25">
      <c r="B82" s="2"/>
      <c r="D82" s="360" t="s">
        <v>54</v>
      </c>
      <c r="E82" s="360"/>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2</v>
      </c>
      <c r="AI82" s="3">
        <f t="shared" si="1"/>
        <v>0</v>
      </c>
      <c r="AJ82" s="3">
        <f t="shared" si="2"/>
        <v>0</v>
      </c>
      <c r="AK82" s="3">
        <f t="shared" si="3"/>
        <v>0</v>
      </c>
    </row>
    <row r="83" spans="2:37" x14ac:dyDescent="0.25">
      <c r="B83" s="2"/>
      <c r="D83" s="360" t="s">
        <v>55</v>
      </c>
      <c r="E83" s="360"/>
      <c r="F83" s="16" t="s">
        <v>500</v>
      </c>
      <c r="G83" s="16">
        <v>0.1</v>
      </c>
      <c r="H83" s="16">
        <v>0.10100000000000001</v>
      </c>
      <c r="I83" s="16">
        <v>0.12</v>
      </c>
      <c r="J83" s="16">
        <v>0.121</v>
      </c>
      <c r="K83" s="16">
        <v>0.14899999999999999</v>
      </c>
      <c r="L83" s="16">
        <v>0.15</v>
      </c>
      <c r="M83" s="16" t="s">
        <v>500</v>
      </c>
      <c r="O83" s="2"/>
      <c r="AE83" s="3" t="s">
        <v>55</v>
      </c>
      <c r="AF83" s="3">
        <v>9</v>
      </c>
      <c r="AG83" s="3">
        <f t="shared" si="0"/>
        <v>1</v>
      </c>
      <c r="AH83" s="3">
        <f>+IF(AG83=0,0,IF(AG83=1,(SUM($AG$75:AG83)-1),1))</f>
        <v>3</v>
      </c>
      <c r="AI83" s="3">
        <f t="shared" si="1"/>
        <v>1</v>
      </c>
      <c r="AJ83" s="3">
        <f t="shared" si="2"/>
        <v>1</v>
      </c>
      <c r="AK83" s="3">
        <f t="shared" si="3"/>
        <v>1</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4</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5</v>
      </c>
      <c r="AI85" s="3">
        <f t="shared" si="1"/>
        <v>0</v>
      </c>
      <c r="AJ85" s="3">
        <f t="shared" si="2"/>
        <v>0</v>
      </c>
      <c r="AK85" s="3">
        <f t="shared" si="3"/>
        <v>0</v>
      </c>
    </row>
    <row r="86" spans="2:37" x14ac:dyDescent="0.25">
      <c r="B86" s="2"/>
      <c r="D86" s="360" t="s">
        <v>58</v>
      </c>
      <c r="E86" s="360"/>
      <c r="F86" s="16" t="s">
        <v>500</v>
      </c>
      <c r="G86" s="16">
        <v>0.2</v>
      </c>
      <c r="H86" s="16">
        <v>0.20100000000000001</v>
      </c>
      <c r="I86" s="16">
        <v>0.25</v>
      </c>
      <c r="J86" s="16">
        <v>0.251</v>
      </c>
      <c r="K86" s="16">
        <v>0.29899999999999999</v>
      </c>
      <c r="L86" s="16">
        <v>0.3</v>
      </c>
      <c r="M86" s="16" t="s">
        <v>500</v>
      </c>
      <c r="O86" s="2"/>
      <c r="AE86" s="3" t="s">
        <v>58</v>
      </c>
      <c r="AF86" s="65">
        <v>12</v>
      </c>
      <c r="AG86" s="3">
        <f t="shared" si="0"/>
        <v>1</v>
      </c>
      <c r="AH86" s="3">
        <f>+IF(AG86=0,0,IF(AG86=1,(SUM($AG$75:AG86)-1),1))</f>
        <v>6</v>
      </c>
      <c r="AI86" s="3">
        <f t="shared" si="1"/>
        <v>1</v>
      </c>
      <c r="AJ86" s="3">
        <f t="shared" si="2"/>
        <v>0</v>
      </c>
      <c r="AK86" s="3">
        <f t="shared" si="3"/>
        <v>1</v>
      </c>
    </row>
    <row r="87" spans="2:37" ht="3.75" customHeight="1" x14ac:dyDescent="0.25">
      <c r="B87" s="2"/>
      <c r="O87" s="2"/>
    </row>
    <row r="88" spans="2:37" ht="99" customHeight="1" x14ac:dyDescent="0.25">
      <c r="B88" s="2"/>
      <c r="D88" s="338" t="s">
        <v>59</v>
      </c>
      <c r="E88" s="339"/>
      <c r="F88" s="340" t="s">
        <v>2174</v>
      </c>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28.5" customHeight="1" x14ac:dyDescent="0.25">
      <c r="B97" s="2"/>
      <c r="D97" s="359" t="s">
        <v>35</v>
      </c>
      <c r="E97" s="359"/>
      <c r="F97" s="344" t="s">
        <v>575</v>
      </c>
      <c r="G97" s="344"/>
      <c r="H97" s="344"/>
      <c r="I97" s="344"/>
      <c r="J97" s="344"/>
      <c r="K97" s="344"/>
      <c r="L97" s="344"/>
      <c r="M97" s="344"/>
      <c r="O97" s="2"/>
    </row>
    <row r="98" spans="2:15" ht="28.5" customHeight="1" x14ac:dyDescent="0.25">
      <c r="B98" s="2"/>
      <c r="D98" s="359" t="s">
        <v>36</v>
      </c>
      <c r="E98" s="359"/>
      <c r="F98" s="344" t="s">
        <v>1731</v>
      </c>
      <c r="G98" s="344"/>
      <c r="H98" s="344"/>
      <c r="I98" s="344"/>
      <c r="J98" s="344"/>
      <c r="K98" s="344"/>
      <c r="L98" s="344"/>
      <c r="M98" s="344"/>
      <c r="O98" s="2"/>
    </row>
    <row r="99" spans="2:15" ht="3.95" customHeight="1" x14ac:dyDescent="0.25">
      <c r="B99" s="2"/>
      <c r="O99" s="2"/>
    </row>
    <row r="100" spans="2:15" ht="123.75" customHeight="1" x14ac:dyDescent="0.25">
      <c r="B100" s="2"/>
      <c r="D100" s="338" t="s">
        <v>62</v>
      </c>
      <c r="E100" s="339"/>
      <c r="F100" s="412" t="s">
        <v>2175</v>
      </c>
      <c r="G100" s="413"/>
      <c r="H100" s="413"/>
      <c r="I100" s="413"/>
      <c r="J100" s="413"/>
      <c r="K100" s="413"/>
      <c r="L100" s="413"/>
      <c r="M100" s="414"/>
      <c r="O100" s="2"/>
    </row>
    <row r="101" spans="2:15" ht="3.95" customHeight="1" x14ac:dyDescent="0.25">
      <c r="B101" s="2"/>
      <c r="O101" s="2"/>
    </row>
    <row r="102" spans="2:15" ht="19.5" customHeight="1" x14ac:dyDescent="0.25">
      <c r="B102" s="2"/>
      <c r="D102" s="329" t="s">
        <v>64</v>
      </c>
      <c r="E102" s="330"/>
      <c r="F102" s="19" t="s">
        <v>65</v>
      </c>
      <c r="G102" s="4" t="s">
        <v>2</v>
      </c>
      <c r="K102" s="20"/>
      <c r="O102" s="2"/>
    </row>
    <row r="103" spans="2:15" ht="19.5" customHeight="1" x14ac:dyDescent="0.25">
      <c r="B103" s="2"/>
      <c r="D103" s="331"/>
      <c r="E103" s="332"/>
      <c r="F103" s="19" t="s">
        <v>66</v>
      </c>
      <c r="G103" s="4"/>
      <c r="K103" s="21"/>
      <c r="O103" s="2"/>
    </row>
    <row r="104" spans="2:15" ht="27.75" customHeight="1" x14ac:dyDescent="0.25">
      <c r="B104" s="2"/>
      <c r="D104" s="331"/>
      <c r="E104" s="332"/>
      <c r="F104" s="19" t="s">
        <v>67</v>
      </c>
      <c r="G104" s="333"/>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 xml:space="preserve">Director(a) Niñez y Adolescencia </v>
      </c>
      <c r="H108" s="334"/>
      <c r="I108" s="334"/>
      <c r="J108" s="334"/>
      <c r="K108" s="334"/>
      <c r="L108" s="334"/>
      <c r="M108" s="335"/>
      <c r="O108" s="2"/>
    </row>
    <row r="109" spans="2:15" ht="17.25" customHeight="1" x14ac:dyDescent="0.25">
      <c r="B109" s="2"/>
      <c r="D109" s="331"/>
      <c r="E109" s="332"/>
      <c r="F109" s="19" t="s">
        <v>2042</v>
      </c>
      <c r="G109" s="333" t="str">
        <f>+IF(M23="Si","Coordinador(a) Planeación y Sistemas","")</f>
        <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3139" priority="31">
      <formula>+IF($F$43="no",1,0)</formula>
    </cfRule>
  </conditionalFormatting>
  <conditionalFormatting sqref="F32:M33">
    <cfRule type="expression" dxfId="3138" priority="30">
      <formula>+IF($Q$30="NA",1,0)</formula>
    </cfRule>
  </conditionalFormatting>
  <conditionalFormatting sqref="F33:M33">
    <cfRule type="expression" dxfId="3137" priority="29">
      <formula>+IF($Q$33=0,1,0)</formula>
    </cfRule>
  </conditionalFormatting>
  <conditionalFormatting sqref="F47:M47">
    <cfRule type="expression" dxfId="3136" priority="28">
      <formula>+IF($Q$47=0,1,0)</formula>
    </cfRule>
  </conditionalFormatting>
  <conditionalFormatting sqref="F73:G73">
    <cfRule type="cellIs" dxfId="3135" priority="14" operator="equal">
      <formula>"optimo"</formula>
    </cfRule>
    <cfRule type="cellIs" dxfId="3134" priority="15" operator="equal">
      <formula>"critico"</formula>
    </cfRule>
  </conditionalFormatting>
  <conditionalFormatting sqref="H73:I73">
    <cfRule type="cellIs" dxfId="3133" priority="12" operator="equal">
      <formula>"Adecuado"</formula>
    </cfRule>
    <cfRule type="cellIs" dxfId="3132" priority="13" operator="equal">
      <formula>"en riesgo"</formula>
    </cfRule>
  </conditionalFormatting>
  <conditionalFormatting sqref="J73:K73">
    <cfRule type="cellIs" dxfId="3131" priority="10" operator="equal">
      <formula>"Adecuado"</formula>
    </cfRule>
    <cfRule type="cellIs" dxfId="3130" priority="11" operator="equal">
      <formula>"en riesgo"</formula>
    </cfRule>
  </conditionalFormatting>
  <conditionalFormatting sqref="L73:M73">
    <cfRule type="cellIs" dxfId="3129" priority="8" operator="equal">
      <formula>"optimo"</formula>
    </cfRule>
    <cfRule type="cellIs" dxfId="3128" priority="9" operator="equal">
      <formula>"critico"</formula>
    </cfRule>
  </conditionalFormatting>
  <conditionalFormatting sqref="F75:M86">
    <cfRule type="expression" dxfId="3127" priority="7">
      <formula>+IF($AK75=0,1)</formula>
    </cfRule>
  </conditionalFormatting>
  <conditionalFormatting sqref="F103:G104">
    <cfRule type="expression" dxfId="3126" priority="6">
      <formula>+IF($G$102="No",1,0)</formula>
    </cfRule>
  </conditionalFormatting>
  <conditionalFormatting sqref="F51">
    <cfRule type="expression" dxfId="3125" priority="5">
      <formula>+IF($F$43="no",1,0)</formula>
    </cfRule>
  </conditionalFormatting>
  <conditionalFormatting sqref="I51">
    <cfRule type="expression" dxfId="3124"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tabColor rgb="FF0070C0"/>
  </sheetPr>
  <dimension ref="B1:AV113"/>
  <sheetViews>
    <sheetView zoomScaleNormal="100" workbookViewId="0">
      <selection activeCell="P1" sqref="P1"/>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149</v>
      </c>
      <c r="O10" s="2"/>
    </row>
    <row r="11" spans="2:24" ht="3.95" customHeight="1" x14ac:dyDescent="0.25">
      <c r="B11" s="2"/>
      <c r="D11" s="6"/>
      <c r="O11" s="2"/>
    </row>
    <row r="12" spans="2:24" ht="36" customHeight="1" x14ac:dyDescent="0.25">
      <c r="B12" s="2"/>
      <c r="D12" s="338" t="s">
        <v>5</v>
      </c>
      <c r="E12" s="339"/>
      <c r="F12" s="340" t="s">
        <v>150</v>
      </c>
      <c r="G12" s="341"/>
      <c r="H12" s="341"/>
      <c r="I12" s="341"/>
      <c r="J12" s="341"/>
      <c r="K12" s="341"/>
      <c r="L12" s="341"/>
      <c r="M12" s="342"/>
      <c r="O12" s="2"/>
      <c r="W12" s="3" t="str">
        <f>+F23</f>
        <v>Trimestral</v>
      </c>
      <c r="X12" s="3" t="str">
        <f>+F71</f>
        <v>Septiembre</v>
      </c>
    </row>
    <row r="13" spans="2:24" ht="3.95" customHeight="1" x14ac:dyDescent="0.25">
      <c r="B13" s="2"/>
      <c r="O13" s="2"/>
    </row>
    <row r="14" spans="2:24" ht="36" customHeight="1" x14ac:dyDescent="0.25">
      <c r="B14" s="2"/>
      <c r="D14" s="338" t="s">
        <v>6</v>
      </c>
      <c r="E14" s="339"/>
      <c r="F14" s="340" t="s">
        <v>571</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8" t="s">
        <v>512</v>
      </c>
      <c r="G22" s="337" t="s">
        <v>9</v>
      </c>
      <c r="H22" s="337"/>
      <c r="I22" s="17">
        <v>0.3</v>
      </c>
      <c r="K22" s="337" t="s">
        <v>10</v>
      </c>
      <c r="L22" s="337"/>
      <c r="M22" s="9" t="s">
        <v>496</v>
      </c>
      <c r="O22" s="2"/>
    </row>
    <row r="23" spans="2:17" ht="19.5" customHeight="1" x14ac:dyDescent="0.25">
      <c r="B23" s="2"/>
      <c r="D23" s="337" t="s">
        <v>11</v>
      </c>
      <c r="E23" s="337"/>
      <c r="F23" s="4" t="s">
        <v>71</v>
      </c>
      <c r="G23" s="337" t="s">
        <v>12</v>
      </c>
      <c r="H23" s="337"/>
      <c r="I23" s="4" t="s">
        <v>497</v>
      </c>
      <c r="K23" s="337" t="s">
        <v>13</v>
      </c>
      <c r="L23" s="337"/>
      <c r="M23" s="9" t="s">
        <v>2</v>
      </c>
      <c r="O23" s="2"/>
    </row>
    <row r="24" spans="2:17" ht="20.100000000000001" customHeight="1" x14ac:dyDescent="0.25">
      <c r="B24" s="2"/>
      <c r="D24" s="337" t="s">
        <v>14</v>
      </c>
      <c r="E24" s="337"/>
      <c r="F24" s="4" t="s">
        <v>498</v>
      </c>
      <c r="G24" s="337" t="s">
        <v>15</v>
      </c>
      <c r="H24" s="337"/>
      <c r="I24" s="4" t="s">
        <v>554</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99</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NA</v>
      </c>
    </row>
    <row r="31" spans="2:17" ht="24" customHeight="1" x14ac:dyDescent="0.25">
      <c r="B31" s="2"/>
      <c r="D31" s="347"/>
      <c r="E31" s="348"/>
      <c r="F31" s="4" t="s">
        <v>144</v>
      </c>
      <c r="G31" s="340" t="s">
        <v>145</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500</v>
      </c>
      <c r="G33" s="340"/>
      <c r="H33" s="341"/>
      <c r="I33" s="341"/>
      <c r="J33" s="341"/>
      <c r="K33" s="341"/>
      <c r="L33" s="341"/>
      <c r="M33" s="342"/>
      <c r="O33" s="2"/>
      <c r="Q33" s="3" t="str">
        <f>+IFERROR(IF(VLOOKUP(G33,base!$A$26:$C$40,3,FALSE)=F31,1,0),"")</f>
        <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1712</v>
      </c>
      <c r="G35" s="340" t="s">
        <v>1588</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501</v>
      </c>
      <c r="G45" s="340" t="s">
        <v>502</v>
      </c>
      <c r="H45" s="341"/>
      <c r="I45" s="341"/>
      <c r="J45" s="341"/>
      <c r="K45" s="341"/>
      <c r="L45" s="341"/>
      <c r="M45" s="342"/>
      <c r="O45" s="2"/>
      <c r="Q45" s="3" t="str">
        <f>+IFERROR(VLOOKUP(G45,base!$A$41:$C$45,3,FALSE),"")</f>
        <v>misional</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503</v>
      </c>
      <c r="G47" s="340" t="s">
        <v>504</v>
      </c>
      <c r="H47" s="341"/>
      <c r="I47" s="341"/>
      <c r="J47" s="341"/>
      <c r="K47" s="341"/>
      <c r="L47" s="341"/>
      <c r="M47" s="342"/>
      <c r="O47" s="2"/>
      <c r="Q47" s="3">
        <f>+IF(VLOOKUP(G47,base!$A$46:$C$66,3,FALSE)=F45,1,0)</f>
        <v>1</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555</v>
      </c>
      <c r="G49" s="340" t="s">
        <v>100</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496</v>
      </c>
      <c r="G51" s="337" t="s">
        <v>32</v>
      </c>
      <c r="H51" s="337"/>
      <c r="I51" s="17">
        <v>1</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75" customHeight="1" x14ac:dyDescent="0.25">
      <c r="B59" s="2"/>
      <c r="D59" s="337" t="s">
        <v>34</v>
      </c>
      <c r="E59" s="337"/>
      <c r="F59" s="344" t="s">
        <v>572</v>
      </c>
      <c r="G59" s="344"/>
      <c r="H59" s="344"/>
      <c r="I59" s="344"/>
      <c r="J59" s="344"/>
      <c r="K59" s="344"/>
      <c r="L59" s="344"/>
      <c r="M59" s="344"/>
      <c r="O59" s="2"/>
    </row>
    <row r="60" spans="2:15" ht="27" customHeight="1" x14ac:dyDescent="0.25">
      <c r="B60" s="2"/>
      <c r="D60" s="359" t="s">
        <v>35</v>
      </c>
      <c r="E60" s="359"/>
      <c r="F60" s="344" t="s">
        <v>573</v>
      </c>
      <c r="G60" s="344"/>
      <c r="H60" s="344"/>
      <c r="I60" s="344"/>
      <c r="J60" s="344"/>
      <c r="K60" s="344"/>
      <c r="L60" s="344"/>
      <c r="M60" s="344"/>
      <c r="O60" s="2"/>
    </row>
    <row r="61" spans="2:15" ht="27" customHeight="1" x14ac:dyDescent="0.25">
      <c r="B61" s="2"/>
      <c r="D61" s="359" t="s">
        <v>36</v>
      </c>
      <c r="E61" s="359"/>
      <c r="F61" s="344" t="s">
        <v>574</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43" t="s">
        <v>39</v>
      </c>
      <c r="E71" s="343"/>
      <c r="F71" s="4" t="s">
        <v>55</v>
      </c>
      <c r="G71" s="3">
        <v>6</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60" t="s">
        <v>50</v>
      </c>
      <c r="E80" s="360"/>
      <c r="F80" s="16" t="s">
        <v>500</v>
      </c>
      <c r="G80" s="16">
        <v>0.1</v>
      </c>
      <c r="H80" s="16">
        <v>0.10100000000000001</v>
      </c>
      <c r="I80" s="16">
        <v>0.12</v>
      </c>
      <c r="J80" s="16">
        <v>0.121</v>
      </c>
      <c r="K80" s="16">
        <v>0.14899999999999999</v>
      </c>
      <c r="L80" s="16">
        <v>0.15</v>
      </c>
      <c r="M80" s="16" t="s">
        <v>500</v>
      </c>
      <c r="O80" s="2"/>
      <c r="AE80" s="3" t="s">
        <v>50</v>
      </c>
      <c r="AF80" s="3">
        <v>6</v>
      </c>
      <c r="AG80" s="3">
        <f t="shared" si="0"/>
        <v>1</v>
      </c>
      <c r="AH80" s="3">
        <f>+IF(AG80=0,0,IF(AG80=1,(SUM($AG$75:AG80)-1),1))</f>
        <v>0</v>
      </c>
      <c r="AI80" s="3">
        <f t="shared" si="1"/>
        <v>0</v>
      </c>
      <c r="AJ80" s="3">
        <f t="shared" si="2"/>
        <v>0</v>
      </c>
      <c r="AK80" s="3">
        <f t="shared" si="3"/>
        <v>0</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1</v>
      </c>
      <c r="AI81" s="3">
        <f t="shared" si="1"/>
        <v>0</v>
      </c>
      <c r="AJ81" s="3">
        <f t="shared" si="2"/>
        <v>0</v>
      </c>
      <c r="AK81" s="3">
        <f t="shared" si="3"/>
        <v>0</v>
      </c>
    </row>
    <row r="82" spans="2:37" x14ac:dyDescent="0.25">
      <c r="B82" s="2"/>
      <c r="D82" s="360" t="s">
        <v>54</v>
      </c>
      <c r="E82" s="360"/>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2</v>
      </c>
      <c r="AI82" s="3">
        <f t="shared" si="1"/>
        <v>0</v>
      </c>
      <c r="AJ82" s="3">
        <f t="shared" si="2"/>
        <v>0</v>
      </c>
      <c r="AK82" s="3">
        <f t="shared" si="3"/>
        <v>0</v>
      </c>
    </row>
    <row r="83" spans="2:37" x14ac:dyDescent="0.25">
      <c r="B83" s="2"/>
      <c r="D83" s="360" t="s">
        <v>55</v>
      </c>
      <c r="E83" s="360"/>
      <c r="F83" s="16" t="s">
        <v>500</v>
      </c>
      <c r="G83" s="16">
        <v>0.1</v>
      </c>
      <c r="H83" s="16">
        <v>0.10100000000000001</v>
      </c>
      <c r="I83" s="16">
        <v>0.12</v>
      </c>
      <c r="J83" s="16">
        <v>0.121</v>
      </c>
      <c r="K83" s="16">
        <v>0.14899999999999999</v>
      </c>
      <c r="L83" s="16">
        <v>0.15</v>
      </c>
      <c r="M83" s="16" t="s">
        <v>500</v>
      </c>
      <c r="O83" s="2"/>
      <c r="AE83" s="3" t="s">
        <v>55</v>
      </c>
      <c r="AF83" s="3">
        <v>9</v>
      </c>
      <c r="AG83" s="3">
        <f t="shared" si="0"/>
        <v>1</v>
      </c>
      <c r="AH83" s="3">
        <f>+IF(AG83=0,0,IF(AG83=1,(SUM($AG$75:AG83)-1),1))</f>
        <v>3</v>
      </c>
      <c r="AI83" s="3">
        <f t="shared" si="1"/>
        <v>1</v>
      </c>
      <c r="AJ83" s="3">
        <f t="shared" si="2"/>
        <v>1</v>
      </c>
      <c r="AK83" s="3">
        <f t="shared" si="3"/>
        <v>1</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4</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5</v>
      </c>
      <c r="AI85" s="3">
        <f t="shared" si="1"/>
        <v>0</v>
      </c>
      <c r="AJ85" s="3">
        <f t="shared" si="2"/>
        <v>0</v>
      </c>
      <c r="AK85" s="3">
        <f t="shared" si="3"/>
        <v>0</v>
      </c>
    </row>
    <row r="86" spans="2:37" x14ac:dyDescent="0.25">
      <c r="B86" s="2"/>
      <c r="D86" s="360" t="s">
        <v>58</v>
      </c>
      <c r="E86" s="360"/>
      <c r="F86" s="16" t="s">
        <v>500</v>
      </c>
      <c r="G86" s="16">
        <v>0.2</v>
      </c>
      <c r="H86" s="16">
        <v>0.20100000000000001</v>
      </c>
      <c r="I86" s="16">
        <v>0.25</v>
      </c>
      <c r="J86" s="16">
        <v>0.251</v>
      </c>
      <c r="K86" s="16">
        <v>0.29899999999999999</v>
      </c>
      <c r="L86" s="16">
        <v>0.3</v>
      </c>
      <c r="M86" s="16" t="s">
        <v>500</v>
      </c>
      <c r="O86" s="2"/>
      <c r="AE86" s="3" t="s">
        <v>58</v>
      </c>
      <c r="AF86" s="65">
        <v>12</v>
      </c>
      <c r="AG86" s="3">
        <f t="shared" si="0"/>
        <v>1</v>
      </c>
      <c r="AH86" s="3">
        <f>+IF(AG86=0,0,IF(AG86=1,(SUM($AG$75:AG86)-1),1))</f>
        <v>6</v>
      </c>
      <c r="AI86" s="3">
        <f t="shared" si="1"/>
        <v>1</v>
      </c>
      <c r="AJ86" s="3">
        <f t="shared" si="2"/>
        <v>0</v>
      </c>
      <c r="AK86" s="3">
        <f t="shared" si="3"/>
        <v>1</v>
      </c>
    </row>
    <row r="87" spans="2:37" ht="3.75" customHeight="1" x14ac:dyDescent="0.25">
      <c r="B87" s="2"/>
      <c r="O87" s="2"/>
    </row>
    <row r="88" spans="2:37" ht="74.25" customHeight="1" x14ac:dyDescent="0.25">
      <c r="B88" s="2"/>
      <c r="D88" s="338" t="s">
        <v>59</v>
      </c>
      <c r="E88" s="339"/>
      <c r="F88" s="412" t="s">
        <v>2176</v>
      </c>
      <c r="G88" s="415"/>
      <c r="H88" s="415"/>
      <c r="I88" s="415"/>
      <c r="J88" s="415"/>
      <c r="K88" s="415"/>
      <c r="L88" s="415"/>
      <c r="M88" s="416"/>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28.5" customHeight="1" x14ac:dyDescent="0.25">
      <c r="B97" s="2"/>
      <c r="D97" s="359" t="s">
        <v>35</v>
      </c>
      <c r="E97" s="359"/>
      <c r="F97" s="344" t="s">
        <v>575</v>
      </c>
      <c r="G97" s="344"/>
      <c r="H97" s="344"/>
      <c r="I97" s="344"/>
      <c r="J97" s="344"/>
      <c r="K97" s="344"/>
      <c r="L97" s="344"/>
      <c r="M97" s="344"/>
      <c r="O97" s="2"/>
    </row>
    <row r="98" spans="2:15" ht="28.5" customHeight="1" x14ac:dyDescent="0.25">
      <c r="B98" s="2"/>
      <c r="D98" s="359" t="s">
        <v>36</v>
      </c>
      <c r="E98" s="359"/>
      <c r="F98" s="344" t="s">
        <v>1731</v>
      </c>
      <c r="G98" s="344"/>
      <c r="H98" s="344"/>
      <c r="I98" s="344"/>
      <c r="J98" s="344"/>
      <c r="K98" s="344"/>
      <c r="L98" s="344"/>
      <c r="M98" s="344"/>
      <c r="O98" s="2"/>
    </row>
    <row r="99" spans="2:15" ht="3.95" customHeight="1" x14ac:dyDescent="0.25">
      <c r="B99" s="2"/>
      <c r="O99" s="2"/>
    </row>
    <row r="100" spans="2:15" ht="132.75" customHeight="1" x14ac:dyDescent="0.25">
      <c r="B100" s="2"/>
      <c r="D100" s="338" t="s">
        <v>62</v>
      </c>
      <c r="E100" s="339"/>
      <c r="F100" s="412" t="s">
        <v>2177</v>
      </c>
      <c r="G100" s="413"/>
      <c r="H100" s="413"/>
      <c r="I100" s="413"/>
      <c r="J100" s="413"/>
      <c r="K100" s="413"/>
      <c r="L100" s="413"/>
      <c r="M100" s="414"/>
      <c r="O100" s="2"/>
    </row>
    <row r="101" spans="2:15" ht="3.95" customHeight="1" x14ac:dyDescent="0.25">
      <c r="B101" s="2"/>
      <c r="O101" s="2"/>
    </row>
    <row r="102" spans="2:15" ht="19.5" customHeight="1" x14ac:dyDescent="0.25">
      <c r="B102" s="2"/>
      <c r="D102" s="329" t="s">
        <v>64</v>
      </c>
      <c r="E102" s="330"/>
      <c r="F102" s="19" t="s">
        <v>65</v>
      </c>
      <c r="G102" s="4" t="s">
        <v>2</v>
      </c>
      <c r="K102" s="20"/>
      <c r="O102" s="2"/>
    </row>
    <row r="103" spans="2:15" ht="19.5" customHeight="1" x14ac:dyDescent="0.25">
      <c r="B103" s="2"/>
      <c r="D103" s="331"/>
      <c r="E103" s="332"/>
      <c r="F103" s="19" t="s">
        <v>66</v>
      </c>
      <c r="G103" s="4"/>
      <c r="K103" s="21"/>
      <c r="O103" s="2"/>
    </row>
    <row r="104" spans="2:15" ht="27.75" customHeight="1" x14ac:dyDescent="0.25">
      <c r="B104" s="2"/>
      <c r="D104" s="331"/>
      <c r="E104" s="332"/>
      <c r="F104" s="19" t="s">
        <v>67</v>
      </c>
      <c r="G104" s="333"/>
      <c r="H104" s="334"/>
      <c r="I104" s="334"/>
      <c r="J104" s="334"/>
      <c r="K104" s="334"/>
      <c r="L104" s="334"/>
      <c r="M104" s="335"/>
      <c r="O104" s="2"/>
    </row>
    <row r="105" spans="2:15" ht="3.95" customHeight="1" x14ac:dyDescent="0.25">
      <c r="B105" s="2"/>
      <c r="O105" s="2"/>
    </row>
    <row r="106" spans="2:15" ht="237"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 xml:space="preserve">Director(a) Niñez y Adolescencia </v>
      </c>
      <c r="H108" s="334"/>
      <c r="I108" s="334"/>
      <c r="J108" s="334"/>
      <c r="K108" s="334"/>
      <c r="L108" s="334"/>
      <c r="M108" s="335"/>
      <c r="O108" s="2"/>
    </row>
    <row r="109" spans="2:15" ht="17.25" customHeight="1" x14ac:dyDescent="0.25">
      <c r="B109" s="2"/>
      <c r="D109" s="331"/>
      <c r="E109" s="332"/>
      <c r="F109" s="19" t="s">
        <v>2042</v>
      </c>
      <c r="G109" s="333" t="str">
        <f>+IF(M23="Si","Coordinador(a) Planeación y Sistemas","")</f>
        <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3123" priority="32">
      <formula>+IF($F$43="no",1,0)</formula>
    </cfRule>
  </conditionalFormatting>
  <conditionalFormatting sqref="F32:M33">
    <cfRule type="expression" dxfId="3122" priority="31">
      <formula>+IF($Q$30="NA",1,0)</formula>
    </cfRule>
  </conditionalFormatting>
  <conditionalFormatting sqref="F33:M33">
    <cfRule type="expression" dxfId="3121" priority="30">
      <formula>+IF($Q$33=0,1,0)</formula>
    </cfRule>
  </conditionalFormatting>
  <conditionalFormatting sqref="F47:M47">
    <cfRule type="expression" dxfId="3120" priority="29">
      <formula>+IF($Q$47=0,1,0)</formula>
    </cfRule>
  </conditionalFormatting>
  <conditionalFormatting sqref="F73:G73">
    <cfRule type="cellIs" dxfId="3119" priority="15" operator="equal">
      <formula>"optimo"</formula>
    </cfRule>
    <cfRule type="cellIs" dxfId="3118" priority="16" operator="equal">
      <formula>"critico"</formula>
    </cfRule>
  </conditionalFormatting>
  <conditionalFormatting sqref="H73:I73">
    <cfRule type="cellIs" dxfId="3117" priority="13" operator="equal">
      <formula>"Adecuado"</formula>
    </cfRule>
    <cfRule type="cellIs" dxfId="3116" priority="14" operator="equal">
      <formula>"en riesgo"</formula>
    </cfRule>
  </conditionalFormatting>
  <conditionalFormatting sqref="J73:K73">
    <cfRule type="cellIs" dxfId="3115" priority="11" operator="equal">
      <formula>"Adecuado"</formula>
    </cfRule>
    <cfRule type="cellIs" dxfId="3114" priority="12" operator="equal">
      <formula>"en riesgo"</formula>
    </cfRule>
  </conditionalFormatting>
  <conditionalFormatting sqref="L73:M73">
    <cfRule type="cellIs" dxfId="3113" priority="9" operator="equal">
      <formula>"optimo"</formula>
    </cfRule>
    <cfRule type="cellIs" dxfId="3112" priority="10" operator="equal">
      <formula>"critico"</formula>
    </cfRule>
  </conditionalFormatting>
  <conditionalFormatting sqref="F75:M79 F80:J86 M80:M86">
    <cfRule type="expression" dxfId="3111" priority="8">
      <formula>+IF($AK75=0,1)</formula>
    </cfRule>
  </conditionalFormatting>
  <conditionalFormatting sqref="F103:G104">
    <cfRule type="expression" dxfId="3110" priority="7">
      <formula>+IF($G$102="No",1,0)</formula>
    </cfRule>
  </conditionalFormatting>
  <conditionalFormatting sqref="F51">
    <cfRule type="expression" dxfId="3109" priority="6">
      <formula>+IF($F$43="no",1,0)</formula>
    </cfRule>
  </conditionalFormatting>
  <conditionalFormatting sqref="I51">
    <cfRule type="expression" dxfId="3108" priority="5">
      <formula>+IF($F$51="no",1,0)</formula>
    </cfRule>
  </conditionalFormatting>
  <conditionalFormatting sqref="K80:L86">
    <cfRule type="expression" dxfId="3107" priority="4">
      <formula>+IF($AK80=0,1)</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tabColor rgb="FF0070C0"/>
  </sheetPr>
  <dimension ref="B1:AV113"/>
  <sheetViews>
    <sheetView zoomScaleNormal="100" workbookViewId="0">
      <selection activeCell="P1" sqref="P1"/>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11.42578125"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151</v>
      </c>
      <c r="O10" s="2"/>
    </row>
    <row r="11" spans="2:24" ht="3.95" customHeight="1" x14ac:dyDescent="0.25">
      <c r="B11" s="2"/>
      <c r="D11" s="6"/>
      <c r="O11" s="2"/>
    </row>
    <row r="12" spans="2:24" ht="36" customHeight="1" x14ac:dyDescent="0.25">
      <c r="B12" s="2"/>
      <c r="D12" s="338" t="s">
        <v>5</v>
      </c>
      <c r="E12" s="339"/>
      <c r="F12" s="340" t="s">
        <v>152</v>
      </c>
      <c r="G12" s="341"/>
      <c r="H12" s="341"/>
      <c r="I12" s="341"/>
      <c r="J12" s="341"/>
      <c r="K12" s="341"/>
      <c r="L12" s="341"/>
      <c r="M12" s="342"/>
      <c r="O12" s="2"/>
      <c r="W12" s="3" t="str">
        <f>+F23</f>
        <v>Trimestral</v>
      </c>
      <c r="X12" s="3" t="str">
        <f>+F71</f>
        <v>Septiembre</v>
      </c>
    </row>
    <row r="13" spans="2:24" ht="3.95" customHeight="1" x14ac:dyDescent="0.25">
      <c r="B13" s="2"/>
      <c r="O13" s="2"/>
    </row>
    <row r="14" spans="2:24" ht="36" customHeight="1" x14ac:dyDescent="0.25">
      <c r="B14" s="2"/>
      <c r="D14" s="338" t="s">
        <v>6</v>
      </c>
      <c r="E14" s="339"/>
      <c r="F14" s="340" t="s">
        <v>566</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8" t="s">
        <v>512</v>
      </c>
      <c r="G22" s="337" t="s">
        <v>9</v>
      </c>
      <c r="H22" s="337"/>
      <c r="I22" s="8">
        <v>6</v>
      </c>
      <c r="K22" s="337" t="s">
        <v>10</v>
      </c>
      <c r="L22" s="337"/>
      <c r="M22" s="9" t="s">
        <v>496</v>
      </c>
      <c r="O22" s="2"/>
    </row>
    <row r="23" spans="2:17" ht="19.5" customHeight="1" x14ac:dyDescent="0.25">
      <c r="B23" s="2"/>
      <c r="D23" s="337" t="s">
        <v>11</v>
      </c>
      <c r="E23" s="337"/>
      <c r="F23" s="4" t="s">
        <v>71</v>
      </c>
      <c r="G23" s="337" t="s">
        <v>12</v>
      </c>
      <c r="H23" s="337"/>
      <c r="I23" s="4" t="s">
        <v>553</v>
      </c>
      <c r="K23" s="337" t="s">
        <v>13</v>
      </c>
      <c r="L23" s="337"/>
      <c r="M23" s="9" t="s">
        <v>2</v>
      </c>
      <c r="O23" s="2"/>
    </row>
    <row r="24" spans="2:17" ht="20.100000000000001" customHeight="1" x14ac:dyDescent="0.25">
      <c r="B24" s="2"/>
      <c r="D24" s="337" t="s">
        <v>14</v>
      </c>
      <c r="E24" s="337"/>
      <c r="F24" s="4" t="s">
        <v>498</v>
      </c>
      <c r="G24" s="337" t="s">
        <v>15</v>
      </c>
      <c r="H24" s="337"/>
      <c r="I24" s="4" t="s">
        <v>103</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99</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NA</v>
      </c>
    </row>
    <row r="31" spans="2:17" ht="24" customHeight="1" x14ac:dyDescent="0.25">
      <c r="B31" s="2"/>
      <c r="D31" s="347"/>
      <c r="E31" s="348"/>
      <c r="F31" s="4" t="s">
        <v>144</v>
      </c>
      <c r="G31" s="340" t="s">
        <v>145</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500</v>
      </c>
      <c r="G33" s="340"/>
      <c r="H33" s="341"/>
      <c r="I33" s="341"/>
      <c r="J33" s="341"/>
      <c r="K33" s="341"/>
      <c r="L33" s="341"/>
      <c r="M33" s="342"/>
      <c r="O33" s="2"/>
      <c r="Q33" s="3" t="str">
        <f>+IFERROR(IF(VLOOKUP(G33,base!$A$26:$C$40,3,FALSE)=F31,1,0),"")</f>
        <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1712</v>
      </c>
      <c r="G35" s="340" t="s">
        <v>1588</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501</v>
      </c>
      <c r="G45" s="340" t="s">
        <v>502</v>
      </c>
      <c r="H45" s="341"/>
      <c r="I45" s="341"/>
      <c r="J45" s="341"/>
      <c r="K45" s="341"/>
      <c r="L45" s="341"/>
      <c r="M45" s="342"/>
      <c r="O45" s="2"/>
      <c r="Q45" s="3" t="str">
        <f>+IFERROR(VLOOKUP(G45,base!$A$41:$C$45,3,FALSE),"")</f>
        <v>misional</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503</v>
      </c>
      <c r="G47" s="340" t="s">
        <v>504</v>
      </c>
      <c r="H47" s="341"/>
      <c r="I47" s="341"/>
      <c r="J47" s="341"/>
      <c r="K47" s="341"/>
      <c r="L47" s="341"/>
      <c r="M47" s="342"/>
      <c r="O47" s="2"/>
      <c r="Q47" s="3">
        <f>+IF(VLOOKUP(G47,base!$A$46:$C$66,3,FALSE)=F45,1,0)</f>
        <v>1</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555</v>
      </c>
      <c r="G49" s="340" t="s">
        <v>100</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496</v>
      </c>
      <c r="G51" s="337" t="s">
        <v>32</v>
      </c>
      <c r="H51" s="337"/>
      <c r="I51" s="8">
        <v>33</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75" customHeight="1" x14ac:dyDescent="0.25">
      <c r="B59" s="2"/>
      <c r="D59" s="337" t="s">
        <v>34</v>
      </c>
      <c r="E59" s="337"/>
      <c r="F59" s="344" t="s">
        <v>567</v>
      </c>
      <c r="G59" s="344"/>
      <c r="H59" s="344"/>
      <c r="I59" s="344"/>
      <c r="J59" s="344"/>
      <c r="K59" s="344"/>
      <c r="L59" s="344"/>
      <c r="M59" s="344"/>
      <c r="O59" s="2"/>
    </row>
    <row r="60" spans="2:15" ht="27" customHeight="1" x14ac:dyDescent="0.25">
      <c r="B60" s="2"/>
      <c r="D60" s="359" t="s">
        <v>35</v>
      </c>
      <c r="E60" s="359"/>
      <c r="F60" s="344" t="s">
        <v>568</v>
      </c>
      <c r="G60" s="344"/>
      <c r="H60" s="344"/>
      <c r="I60" s="344"/>
      <c r="J60" s="344"/>
      <c r="K60" s="344"/>
      <c r="L60" s="344"/>
      <c r="M60" s="344"/>
      <c r="O60" s="2"/>
    </row>
    <row r="61" spans="2:15" ht="27" customHeight="1" x14ac:dyDescent="0.25">
      <c r="B61" s="2"/>
      <c r="D61" s="359" t="s">
        <v>36</v>
      </c>
      <c r="E61" s="359"/>
      <c r="F61" s="344" t="s">
        <v>569</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43" t="s">
        <v>39</v>
      </c>
      <c r="E71" s="343"/>
      <c r="F71" s="4" t="s">
        <v>55</v>
      </c>
      <c r="G71" s="3">
        <v>9</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60" t="s">
        <v>50</v>
      </c>
      <c r="E80" s="360"/>
      <c r="F80" s="16" t="s">
        <v>500</v>
      </c>
      <c r="G80" s="16" t="s">
        <v>500</v>
      </c>
      <c r="H80" s="16" t="s">
        <v>500</v>
      </c>
      <c r="I80" s="16" t="s">
        <v>500</v>
      </c>
      <c r="J80" s="16" t="s">
        <v>500</v>
      </c>
      <c r="K80" s="16" t="s">
        <v>500</v>
      </c>
      <c r="L80" s="16" t="s">
        <v>500</v>
      </c>
      <c r="M80" s="16" t="s">
        <v>500</v>
      </c>
      <c r="O80" s="2"/>
      <c r="AE80" s="3" t="s">
        <v>50</v>
      </c>
      <c r="AF80" s="3">
        <v>6</v>
      </c>
      <c r="AG80" s="3">
        <f t="shared" si="0"/>
        <v>0</v>
      </c>
      <c r="AH80" s="3">
        <f>+IF(AG80=0,0,IF(AG80=1,(SUM($AG$75:AG80)-1),1))</f>
        <v>0</v>
      </c>
      <c r="AI80" s="3">
        <f t="shared" si="1"/>
        <v>0</v>
      </c>
      <c r="AJ80" s="3">
        <f t="shared" si="2"/>
        <v>0</v>
      </c>
      <c r="AK80" s="3">
        <f t="shared" si="3"/>
        <v>0</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0</v>
      </c>
      <c r="AH81" s="3">
        <f>+IF(AG81=0,0,IF(AG81=1,(SUM($AG$75:AG81)-1),1))</f>
        <v>0</v>
      </c>
      <c r="AI81" s="3">
        <f t="shared" si="1"/>
        <v>0</v>
      </c>
      <c r="AJ81" s="3">
        <f t="shared" si="2"/>
        <v>0</v>
      </c>
      <c r="AK81" s="3">
        <f t="shared" si="3"/>
        <v>0</v>
      </c>
    </row>
    <row r="82" spans="2:37" x14ac:dyDescent="0.25">
      <c r="B82" s="2"/>
      <c r="D82" s="360" t="s">
        <v>54</v>
      </c>
      <c r="E82" s="360"/>
      <c r="F82" s="16" t="s">
        <v>500</v>
      </c>
      <c r="G82" s="16" t="s">
        <v>500</v>
      </c>
      <c r="H82" s="16" t="s">
        <v>500</v>
      </c>
      <c r="I82" s="16" t="s">
        <v>500</v>
      </c>
      <c r="J82" s="16" t="s">
        <v>500</v>
      </c>
      <c r="K82" s="16" t="s">
        <v>500</v>
      </c>
      <c r="L82" s="16" t="s">
        <v>500</v>
      </c>
      <c r="M82" s="16" t="s">
        <v>500</v>
      </c>
      <c r="O82" s="2"/>
      <c r="AE82" s="3" t="s">
        <v>54</v>
      </c>
      <c r="AF82" s="3">
        <v>8</v>
      </c>
      <c r="AG82" s="3">
        <f t="shared" si="0"/>
        <v>0</v>
      </c>
      <c r="AH82" s="3">
        <f>+IF(AG82=0,0,IF(AG82=1,(SUM($AG$75:AG82)-1),1))</f>
        <v>0</v>
      </c>
      <c r="AI82" s="3">
        <f t="shared" si="1"/>
        <v>0</v>
      </c>
      <c r="AJ82" s="3">
        <f t="shared" si="2"/>
        <v>0</v>
      </c>
      <c r="AK82" s="3">
        <f t="shared" si="3"/>
        <v>0</v>
      </c>
    </row>
    <row r="83" spans="2:37" x14ac:dyDescent="0.25">
      <c r="B83" s="2"/>
      <c r="D83" s="360" t="s">
        <v>55</v>
      </c>
      <c r="E83" s="360"/>
      <c r="F83" s="16" t="s">
        <v>1675</v>
      </c>
      <c r="G83" s="16">
        <v>0.1</v>
      </c>
      <c r="H83" s="16">
        <v>0.10100000000000001</v>
      </c>
      <c r="I83" s="16">
        <v>0.251</v>
      </c>
      <c r="J83" s="16">
        <v>0.252</v>
      </c>
      <c r="K83" s="16">
        <v>0.499</v>
      </c>
      <c r="L83" s="16">
        <v>0.5</v>
      </c>
      <c r="M83" s="16" t="s">
        <v>1675</v>
      </c>
      <c r="O83" s="2"/>
      <c r="AE83" s="3" t="s">
        <v>55</v>
      </c>
      <c r="AF83" s="3">
        <v>9</v>
      </c>
      <c r="AG83" s="3">
        <f t="shared" si="0"/>
        <v>1</v>
      </c>
      <c r="AH83" s="3">
        <f>+IF(AG83=0,0,IF(AG83=1,(SUM($AG$75:AG83)-1),1))</f>
        <v>0</v>
      </c>
      <c r="AI83" s="3">
        <f t="shared" si="1"/>
        <v>0</v>
      </c>
      <c r="AJ83" s="3">
        <f t="shared" si="2"/>
        <v>1</v>
      </c>
      <c r="AK83" s="3">
        <f t="shared" si="3"/>
        <v>1</v>
      </c>
    </row>
    <row r="84" spans="2:37" x14ac:dyDescent="0.25">
      <c r="B84" s="2"/>
      <c r="D84" s="360" t="s">
        <v>56</v>
      </c>
      <c r="E84" s="360"/>
      <c r="F84" s="16" t="s">
        <v>1675</v>
      </c>
      <c r="G84" s="16" t="s">
        <v>1675</v>
      </c>
      <c r="H84" s="16" t="s">
        <v>1675</v>
      </c>
      <c r="I84" s="16" t="s">
        <v>1675</v>
      </c>
      <c r="J84" s="16" t="s">
        <v>1675</v>
      </c>
      <c r="K84" s="16" t="s">
        <v>1675</v>
      </c>
      <c r="L84" s="16" t="s">
        <v>1675</v>
      </c>
      <c r="M84" s="16" t="s">
        <v>1675</v>
      </c>
      <c r="O84" s="2"/>
      <c r="AE84" s="3" t="s">
        <v>56</v>
      </c>
      <c r="AF84" s="3">
        <v>10</v>
      </c>
      <c r="AG84" s="3">
        <f t="shared" si="0"/>
        <v>1</v>
      </c>
      <c r="AH84" s="3">
        <f>+IF(AG84=0,0,IF(AG84=1,(SUM($AG$75:AG84)-1),1))</f>
        <v>1</v>
      </c>
      <c r="AI84" s="3">
        <f t="shared" si="1"/>
        <v>0</v>
      </c>
      <c r="AJ84" s="3">
        <f t="shared" si="2"/>
        <v>0</v>
      </c>
      <c r="AK84" s="3">
        <f t="shared" si="3"/>
        <v>0</v>
      </c>
    </row>
    <row r="85" spans="2:37" x14ac:dyDescent="0.25">
      <c r="B85" s="2"/>
      <c r="D85" s="360" t="s">
        <v>57</v>
      </c>
      <c r="E85" s="360"/>
      <c r="F85" s="16" t="s">
        <v>1675</v>
      </c>
      <c r="G85" s="16" t="s">
        <v>1675</v>
      </c>
      <c r="H85" s="16" t="s">
        <v>1675</v>
      </c>
      <c r="I85" s="16" t="s">
        <v>1675</v>
      </c>
      <c r="J85" s="16" t="s">
        <v>1675</v>
      </c>
      <c r="K85" s="16" t="s">
        <v>1675</v>
      </c>
      <c r="L85" s="16" t="s">
        <v>1675</v>
      </c>
      <c r="M85" s="16" t="s">
        <v>1675</v>
      </c>
      <c r="O85" s="2"/>
      <c r="AE85" s="3" t="s">
        <v>57</v>
      </c>
      <c r="AF85" s="3">
        <v>11</v>
      </c>
      <c r="AG85" s="3">
        <f t="shared" si="0"/>
        <v>1</v>
      </c>
      <c r="AH85" s="3">
        <f>+IF(AG85=0,0,IF(AG85=1,(SUM($AG$75:AG85)-1),1))</f>
        <v>2</v>
      </c>
      <c r="AI85" s="3">
        <f t="shared" si="1"/>
        <v>0</v>
      </c>
      <c r="AJ85" s="3">
        <f t="shared" si="2"/>
        <v>0</v>
      </c>
      <c r="AK85" s="3">
        <f t="shared" si="3"/>
        <v>0</v>
      </c>
    </row>
    <row r="86" spans="2:37" x14ac:dyDescent="0.25">
      <c r="B86" s="2"/>
      <c r="D86" s="360" t="s">
        <v>58</v>
      </c>
      <c r="E86" s="360"/>
      <c r="F86" s="16" t="s">
        <v>1675</v>
      </c>
      <c r="G86" s="16">
        <v>0.5</v>
      </c>
      <c r="H86" s="16">
        <v>0.501</v>
      </c>
      <c r="I86" s="16">
        <v>0.751</v>
      </c>
      <c r="J86" s="16">
        <v>0.752</v>
      </c>
      <c r="K86" s="16">
        <v>0.999</v>
      </c>
      <c r="L86" s="16">
        <v>1</v>
      </c>
      <c r="M86" s="16" t="s">
        <v>1675</v>
      </c>
      <c r="O86" s="2"/>
      <c r="AE86" s="3" t="s">
        <v>58</v>
      </c>
      <c r="AF86" s="65">
        <v>12</v>
      </c>
      <c r="AG86" s="3">
        <f t="shared" si="0"/>
        <v>1</v>
      </c>
      <c r="AH86" s="3">
        <f>+IF(AG86=0,0,IF(AG86=1,(SUM($AG$75:AG86)-1),1))</f>
        <v>3</v>
      </c>
      <c r="AI86" s="3">
        <f t="shared" si="1"/>
        <v>1</v>
      </c>
      <c r="AJ86" s="3">
        <f t="shared" si="2"/>
        <v>0</v>
      </c>
      <c r="AK86" s="3">
        <f t="shared" si="3"/>
        <v>1</v>
      </c>
    </row>
    <row r="87" spans="2:37" ht="3.75" customHeight="1" x14ac:dyDescent="0.25">
      <c r="B87" s="2"/>
      <c r="O87" s="2"/>
    </row>
    <row r="88" spans="2:37" ht="66" customHeight="1" x14ac:dyDescent="0.25">
      <c r="B88" s="2"/>
      <c r="D88" s="338" t="s">
        <v>59</v>
      </c>
      <c r="E88" s="339"/>
      <c r="F88" s="340"/>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28.5" customHeight="1" x14ac:dyDescent="0.25">
      <c r="B97" s="2"/>
      <c r="D97" s="359" t="s">
        <v>35</v>
      </c>
      <c r="E97" s="359"/>
      <c r="F97" s="344" t="s">
        <v>570</v>
      </c>
      <c r="G97" s="344"/>
      <c r="H97" s="344"/>
      <c r="I97" s="344"/>
      <c r="J97" s="344"/>
      <c r="K97" s="344"/>
      <c r="L97" s="344"/>
      <c r="M97" s="344"/>
      <c r="O97" s="2"/>
    </row>
    <row r="98" spans="2:15" ht="28.5" customHeight="1" x14ac:dyDescent="0.25">
      <c r="B98" s="2"/>
      <c r="D98" s="359" t="s">
        <v>36</v>
      </c>
      <c r="E98" s="359"/>
      <c r="F98" s="344" t="s">
        <v>565</v>
      </c>
      <c r="G98" s="344"/>
      <c r="H98" s="344"/>
      <c r="I98" s="344"/>
      <c r="J98" s="344"/>
      <c r="K98" s="344"/>
      <c r="L98" s="344"/>
      <c r="M98" s="344"/>
      <c r="O98" s="2"/>
    </row>
    <row r="99" spans="2:15" ht="3.95" customHeight="1" x14ac:dyDescent="0.25">
      <c r="B99" s="2"/>
      <c r="O99" s="2"/>
    </row>
    <row r="100" spans="2:15" ht="268.5" customHeight="1" x14ac:dyDescent="0.25">
      <c r="B100" s="2"/>
      <c r="D100" s="338" t="s">
        <v>62</v>
      </c>
      <c r="E100" s="339"/>
      <c r="F100" s="412" t="s">
        <v>2178</v>
      </c>
      <c r="G100" s="413"/>
      <c r="H100" s="413"/>
      <c r="I100" s="413"/>
      <c r="J100" s="413"/>
      <c r="K100" s="413"/>
      <c r="L100" s="413"/>
      <c r="M100" s="414"/>
      <c r="O100" s="2"/>
    </row>
    <row r="101" spans="2:15" ht="3.95" customHeight="1" x14ac:dyDescent="0.25">
      <c r="B101" s="2"/>
      <c r="O101" s="2"/>
    </row>
    <row r="102" spans="2:15" ht="19.5" customHeight="1" x14ac:dyDescent="0.25">
      <c r="B102" s="2"/>
      <c r="D102" s="329" t="s">
        <v>64</v>
      </c>
      <c r="E102" s="330"/>
      <c r="F102" s="19" t="s">
        <v>65</v>
      </c>
      <c r="G102" s="4" t="s">
        <v>2</v>
      </c>
      <c r="K102" s="20"/>
      <c r="O102" s="2"/>
    </row>
    <row r="103" spans="2:15" ht="19.5" customHeight="1" x14ac:dyDescent="0.25">
      <c r="B103" s="2"/>
      <c r="D103" s="331"/>
      <c r="E103" s="332"/>
      <c r="F103" s="19" t="s">
        <v>66</v>
      </c>
      <c r="G103" s="4"/>
      <c r="K103" s="21"/>
      <c r="O103" s="2"/>
    </row>
    <row r="104" spans="2:15" ht="27.75" customHeight="1" x14ac:dyDescent="0.25">
      <c r="B104" s="2"/>
      <c r="D104" s="331"/>
      <c r="E104" s="332"/>
      <c r="F104" s="19" t="s">
        <v>67</v>
      </c>
      <c r="G104" s="333"/>
      <c r="H104" s="334"/>
      <c r="I104" s="334"/>
      <c r="J104" s="334"/>
      <c r="K104" s="334"/>
      <c r="L104" s="334"/>
      <c r="M104" s="335"/>
      <c r="O104" s="2"/>
    </row>
    <row r="105" spans="2:15" ht="3.95" customHeight="1" x14ac:dyDescent="0.25">
      <c r="B105" s="2"/>
      <c r="O105" s="2"/>
    </row>
    <row r="106" spans="2:15" ht="207" customHeight="1" x14ac:dyDescent="0.25">
      <c r="B106" s="2"/>
      <c r="D106" s="338" t="s">
        <v>68</v>
      </c>
      <c r="E106" s="339"/>
      <c r="F106" s="412" t="s">
        <v>102</v>
      </c>
      <c r="G106" s="415"/>
      <c r="H106" s="415"/>
      <c r="I106" s="415"/>
      <c r="J106" s="415"/>
      <c r="K106" s="415"/>
      <c r="L106" s="415"/>
      <c r="M106" s="416"/>
      <c r="O106" s="2"/>
    </row>
    <row r="107" spans="2:15" ht="3.95" customHeight="1" x14ac:dyDescent="0.25">
      <c r="B107" s="2"/>
      <c r="O107" s="2"/>
    </row>
    <row r="108" spans="2:15" ht="17.25" customHeight="1" x14ac:dyDescent="0.25">
      <c r="B108" s="2"/>
      <c r="D108" s="329" t="s">
        <v>2040</v>
      </c>
      <c r="E108" s="330"/>
      <c r="F108" s="19" t="s">
        <v>2041</v>
      </c>
      <c r="G108" s="333" t="str">
        <f>+VLOOKUP(H10,tablero!$P$5:$R$201,3,FALSE)</f>
        <v xml:space="preserve">Director(a) Niñez y Adolescencia </v>
      </c>
      <c r="H108" s="334"/>
      <c r="I108" s="334"/>
      <c r="J108" s="334"/>
      <c r="K108" s="334"/>
      <c r="L108" s="334"/>
      <c r="M108" s="335"/>
      <c r="O108" s="2"/>
    </row>
    <row r="109" spans="2:15" ht="17.25" customHeight="1" x14ac:dyDescent="0.25">
      <c r="B109" s="2"/>
      <c r="D109" s="331"/>
      <c r="E109" s="332"/>
      <c r="F109" s="19" t="s">
        <v>2042</v>
      </c>
      <c r="G109" s="333" t="str">
        <f>+IF(M23="Si","Coordinador(a) Planeación y Sistemas","")</f>
        <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F51 G102">
    <cfRule type="expression" dxfId="3106" priority="29">
      <formula>+IF($F$43="no",1,0)</formula>
    </cfRule>
  </conditionalFormatting>
  <conditionalFormatting sqref="F32:M33">
    <cfRule type="expression" dxfId="3105" priority="28">
      <formula>+IF($Q$30="NA",1,0)</formula>
    </cfRule>
  </conditionalFormatting>
  <conditionalFormatting sqref="F33:M33">
    <cfRule type="expression" dxfId="3104" priority="27">
      <formula>+IF($Q$33=0,1,0)</formula>
    </cfRule>
  </conditionalFormatting>
  <conditionalFormatting sqref="F47:M47">
    <cfRule type="expression" dxfId="3103" priority="26">
      <formula>+IF($Q$47=0,1,0)</formula>
    </cfRule>
  </conditionalFormatting>
  <conditionalFormatting sqref="F73:G73">
    <cfRule type="cellIs" dxfId="3102" priority="12" operator="equal">
      <formula>"optimo"</formula>
    </cfRule>
    <cfRule type="cellIs" dxfId="3101" priority="13" operator="equal">
      <formula>"critico"</formula>
    </cfRule>
  </conditionalFormatting>
  <conditionalFormatting sqref="H73:I73">
    <cfRule type="cellIs" dxfId="3100" priority="10" operator="equal">
      <formula>"Adecuado"</formula>
    </cfRule>
    <cfRule type="cellIs" dxfId="3099" priority="11" operator="equal">
      <formula>"en riesgo"</formula>
    </cfRule>
  </conditionalFormatting>
  <conditionalFormatting sqref="J73:K73">
    <cfRule type="cellIs" dxfId="3098" priority="8" operator="equal">
      <formula>"Adecuado"</formula>
    </cfRule>
    <cfRule type="cellIs" dxfId="3097" priority="9" operator="equal">
      <formula>"en riesgo"</formula>
    </cfRule>
  </conditionalFormatting>
  <conditionalFormatting sqref="L73:M73">
    <cfRule type="cellIs" dxfId="3096" priority="6" operator="equal">
      <formula>"optimo"</formula>
    </cfRule>
    <cfRule type="cellIs" dxfId="3095" priority="7" operator="equal">
      <formula>"critico"</formula>
    </cfRule>
  </conditionalFormatting>
  <conditionalFormatting sqref="F75:M86">
    <cfRule type="expression" dxfId="3094" priority="5">
      <formula>+IF($AK75=0,1)</formula>
    </cfRule>
  </conditionalFormatting>
  <conditionalFormatting sqref="F103:G104">
    <cfRule type="expression" dxfId="3093" priority="4">
      <formula>+IF($G$102="No",1,0)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tabColor rgb="FF0070C0"/>
  </sheetPr>
  <dimension ref="B1:AV113"/>
  <sheetViews>
    <sheetView zoomScaleNormal="100" workbookViewId="0">
      <selection activeCell="P1" sqref="P1"/>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153</v>
      </c>
      <c r="O10" s="2"/>
    </row>
    <row r="11" spans="2:24" ht="3.95" customHeight="1" x14ac:dyDescent="0.25">
      <c r="B11" s="2"/>
      <c r="D11" s="6"/>
      <c r="O11" s="2"/>
    </row>
    <row r="12" spans="2:24" ht="36" customHeight="1" x14ac:dyDescent="0.25">
      <c r="B12" s="2"/>
      <c r="D12" s="338" t="s">
        <v>5</v>
      </c>
      <c r="E12" s="339"/>
      <c r="F12" s="340" t="s">
        <v>1679</v>
      </c>
      <c r="G12" s="341"/>
      <c r="H12" s="341"/>
      <c r="I12" s="341"/>
      <c r="J12" s="341"/>
      <c r="K12" s="341"/>
      <c r="L12" s="341"/>
      <c r="M12" s="342"/>
      <c r="O12" s="2"/>
      <c r="W12" s="3" t="str">
        <f>+F23</f>
        <v>Trimestral</v>
      </c>
      <c r="X12" s="3" t="str">
        <f>+F71</f>
        <v>Septiembre</v>
      </c>
    </row>
    <row r="13" spans="2:24" ht="3.95" customHeight="1" x14ac:dyDescent="0.25">
      <c r="B13" s="2"/>
      <c r="O13" s="2"/>
    </row>
    <row r="14" spans="2:24" ht="36" customHeight="1" x14ac:dyDescent="0.25">
      <c r="B14" s="2"/>
      <c r="D14" s="338" t="s">
        <v>6</v>
      </c>
      <c r="E14" s="339"/>
      <c r="F14" s="340" t="s">
        <v>562</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17" t="s">
        <v>512</v>
      </c>
      <c r="G22" s="337" t="s">
        <v>9</v>
      </c>
      <c r="H22" s="337"/>
      <c r="I22" s="8">
        <v>75</v>
      </c>
      <c r="K22" s="337" t="s">
        <v>10</v>
      </c>
      <c r="L22" s="337"/>
      <c r="M22" s="9" t="s">
        <v>496</v>
      </c>
      <c r="O22" s="2"/>
    </row>
    <row r="23" spans="2:17" ht="19.5" customHeight="1" x14ac:dyDescent="0.25">
      <c r="B23" s="2"/>
      <c r="D23" s="337" t="s">
        <v>11</v>
      </c>
      <c r="E23" s="337"/>
      <c r="F23" s="4" t="s">
        <v>71</v>
      </c>
      <c r="G23" s="337" t="s">
        <v>12</v>
      </c>
      <c r="H23" s="337"/>
      <c r="I23" s="4" t="s">
        <v>553</v>
      </c>
      <c r="K23" s="337" t="s">
        <v>13</v>
      </c>
      <c r="L23" s="337"/>
      <c r="M23" s="9" t="s">
        <v>2</v>
      </c>
      <c r="O23" s="2"/>
    </row>
    <row r="24" spans="2:17" ht="20.100000000000001" customHeight="1" x14ac:dyDescent="0.25">
      <c r="B24" s="2"/>
      <c r="D24" s="337" t="s">
        <v>14</v>
      </c>
      <c r="E24" s="337"/>
      <c r="F24" s="4" t="s">
        <v>498</v>
      </c>
      <c r="G24" s="337" t="s">
        <v>15</v>
      </c>
      <c r="H24" s="337"/>
      <c r="I24" s="4" t="s">
        <v>103</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99</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NA</v>
      </c>
    </row>
    <row r="31" spans="2:17" ht="24" customHeight="1" x14ac:dyDescent="0.25">
      <c r="B31" s="2"/>
      <c r="D31" s="347"/>
      <c r="E31" s="348"/>
      <c r="F31" s="4" t="s">
        <v>144</v>
      </c>
      <c r="G31" s="340" t="s">
        <v>145</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500</v>
      </c>
      <c r="G33" s="340"/>
      <c r="H33" s="341"/>
      <c r="I33" s="341"/>
      <c r="J33" s="341"/>
      <c r="K33" s="341"/>
      <c r="L33" s="341"/>
      <c r="M33" s="342"/>
      <c r="O33" s="2"/>
      <c r="Q33" s="3" t="str">
        <f>+IFERROR(IF(VLOOKUP(G33,base!$A$26:$C$40,3,FALSE)=F31,1,0),"")</f>
        <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1712</v>
      </c>
      <c r="G35" s="340" t="s">
        <v>1588</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501</v>
      </c>
      <c r="G45" s="340" t="s">
        <v>502</v>
      </c>
      <c r="H45" s="341"/>
      <c r="I45" s="341"/>
      <c r="J45" s="341"/>
      <c r="K45" s="341"/>
      <c r="L45" s="341"/>
      <c r="M45" s="342"/>
      <c r="O45" s="2"/>
      <c r="Q45" s="3" t="str">
        <f>+IFERROR(VLOOKUP(G45,base!$A$41:$C$45,3,FALSE),"")</f>
        <v>misional</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503</v>
      </c>
      <c r="G47" s="340" t="s">
        <v>504</v>
      </c>
      <c r="H47" s="341"/>
      <c r="I47" s="341"/>
      <c r="J47" s="341"/>
      <c r="K47" s="341"/>
      <c r="L47" s="341"/>
      <c r="M47" s="342"/>
      <c r="O47" s="2"/>
      <c r="Q47" s="3">
        <f>+IF(VLOOKUP(G47,base!$A$46:$C$66,3,FALSE)=F45,1,0)</f>
        <v>1</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535</v>
      </c>
      <c r="G49" s="340" t="s">
        <v>30</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496</v>
      </c>
      <c r="G51" s="337" t="s">
        <v>32</v>
      </c>
      <c r="H51" s="337"/>
      <c r="I51" s="8">
        <v>353</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75" customHeight="1" x14ac:dyDescent="0.25">
      <c r="B59" s="2"/>
      <c r="D59" s="337" t="s">
        <v>34</v>
      </c>
      <c r="E59" s="337"/>
      <c r="F59" s="344" t="s">
        <v>1733</v>
      </c>
      <c r="G59" s="344"/>
      <c r="H59" s="344"/>
      <c r="I59" s="344"/>
      <c r="J59" s="344"/>
      <c r="K59" s="344"/>
      <c r="L59" s="344"/>
      <c r="M59" s="344"/>
      <c r="O59" s="2"/>
    </row>
    <row r="60" spans="2:15" ht="27" customHeight="1" x14ac:dyDescent="0.25">
      <c r="B60" s="2"/>
      <c r="D60" s="359" t="s">
        <v>35</v>
      </c>
      <c r="E60" s="359"/>
      <c r="F60" s="344" t="s">
        <v>1732</v>
      </c>
      <c r="G60" s="344"/>
      <c r="H60" s="344"/>
      <c r="I60" s="344"/>
      <c r="J60" s="344"/>
      <c r="K60" s="344"/>
      <c r="L60" s="344"/>
      <c r="M60" s="344"/>
      <c r="O60" s="2"/>
    </row>
    <row r="61" spans="2:15" ht="27" customHeight="1" x14ac:dyDescent="0.25">
      <c r="B61" s="2"/>
      <c r="D61" s="359" t="s">
        <v>36</v>
      </c>
      <c r="E61" s="359"/>
      <c r="F61" s="344" t="s">
        <v>563</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43" t="s">
        <v>39</v>
      </c>
      <c r="E71" s="343"/>
      <c r="F71" s="4" t="s">
        <v>55</v>
      </c>
      <c r="G71" s="3">
        <v>6</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60" t="s">
        <v>50</v>
      </c>
      <c r="E80" s="360"/>
      <c r="F80" s="16"/>
      <c r="G80" s="16"/>
      <c r="H80" s="16"/>
      <c r="I80" s="16"/>
      <c r="J80" s="16"/>
      <c r="K80" s="16"/>
      <c r="L80" s="16"/>
      <c r="M80" s="16"/>
      <c r="O80" s="2"/>
      <c r="AE80" s="3" t="s">
        <v>50</v>
      </c>
      <c r="AF80" s="3">
        <v>6</v>
      </c>
      <c r="AG80" s="3">
        <f t="shared" si="0"/>
        <v>1</v>
      </c>
      <c r="AH80" s="3">
        <f>+IF(AG80=0,0,IF(AG80=1,(SUM($AG$75:AG80)-1),1))</f>
        <v>0</v>
      </c>
      <c r="AI80" s="3">
        <f t="shared" si="1"/>
        <v>0</v>
      </c>
      <c r="AJ80" s="3">
        <f t="shared" si="2"/>
        <v>0</v>
      </c>
      <c r="AK80" s="3">
        <f t="shared" si="3"/>
        <v>0</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1</v>
      </c>
      <c r="AI81" s="3">
        <f t="shared" si="1"/>
        <v>0</v>
      </c>
      <c r="AJ81" s="3">
        <f t="shared" si="2"/>
        <v>0</v>
      </c>
      <c r="AK81" s="3">
        <f t="shared" si="3"/>
        <v>0</v>
      </c>
    </row>
    <row r="82" spans="2:37" x14ac:dyDescent="0.25">
      <c r="B82" s="2"/>
      <c r="D82" s="360" t="s">
        <v>54</v>
      </c>
      <c r="E82" s="360"/>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2</v>
      </c>
      <c r="AI82" s="3">
        <f t="shared" si="1"/>
        <v>0</v>
      </c>
      <c r="AJ82" s="3">
        <f t="shared" si="2"/>
        <v>0</v>
      </c>
      <c r="AK82" s="3">
        <f t="shared" si="3"/>
        <v>0</v>
      </c>
    </row>
    <row r="83" spans="2:37" x14ac:dyDescent="0.25">
      <c r="B83" s="2"/>
      <c r="D83" s="360" t="s">
        <v>55</v>
      </c>
      <c r="E83" s="360"/>
      <c r="F83" s="16" t="s">
        <v>500</v>
      </c>
      <c r="G83" s="16">
        <v>0.12</v>
      </c>
      <c r="H83" s="16">
        <v>0.121</v>
      </c>
      <c r="I83" s="16">
        <v>0.24</v>
      </c>
      <c r="J83" s="16">
        <v>0.24099999999999999</v>
      </c>
      <c r="K83" s="16">
        <v>0.439</v>
      </c>
      <c r="L83" s="16">
        <v>0.44</v>
      </c>
      <c r="M83" s="16" t="s">
        <v>500</v>
      </c>
      <c r="O83" s="2"/>
      <c r="AE83" s="3" t="s">
        <v>55</v>
      </c>
      <c r="AF83" s="3">
        <v>9</v>
      </c>
      <c r="AG83" s="3">
        <f t="shared" si="0"/>
        <v>1</v>
      </c>
      <c r="AH83" s="3">
        <f>+IF(AG83=0,0,IF(AG83=1,(SUM($AG$75:AG83)-1),1))</f>
        <v>3</v>
      </c>
      <c r="AI83" s="3">
        <f t="shared" si="1"/>
        <v>1</v>
      </c>
      <c r="AJ83" s="3">
        <f t="shared" si="2"/>
        <v>1</v>
      </c>
      <c r="AK83" s="3">
        <f t="shared" si="3"/>
        <v>1</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4</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5</v>
      </c>
      <c r="AI85" s="3">
        <f t="shared" si="1"/>
        <v>0</v>
      </c>
      <c r="AJ85" s="3">
        <f t="shared" si="2"/>
        <v>0</v>
      </c>
      <c r="AK85" s="3">
        <f t="shared" si="3"/>
        <v>0</v>
      </c>
    </row>
    <row r="86" spans="2:37" x14ac:dyDescent="0.25">
      <c r="B86" s="2"/>
      <c r="D86" s="360" t="s">
        <v>58</v>
      </c>
      <c r="E86" s="360"/>
      <c r="F86" s="16" t="s">
        <v>500</v>
      </c>
      <c r="G86" s="16">
        <v>0.44</v>
      </c>
      <c r="H86" s="16">
        <v>0.441</v>
      </c>
      <c r="I86" s="16">
        <v>0.64</v>
      </c>
      <c r="J86" s="16">
        <v>0.64100000000000001</v>
      </c>
      <c r="K86" s="16">
        <v>0.999</v>
      </c>
      <c r="L86" s="16">
        <v>1</v>
      </c>
      <c r="M86" s="16" t="s">
        <v>500</v>
      </c>
      <c r="O86" s="2"/>
      <c r="AE86" s="3" t="s">
        <v>58</v>
      </c>
      <c r="AF86" s="65">
        <v>12</v>
      </c>
      <c r="AG86" s="3">
        <f t="shared" si="0"/>
        <v>1</v>
      </c>
      <c r="AH86" s="3">
        <f>+IF(AG86=0,0,IF(AG86=1,(SUM($AG$75:AG86)-1),1))</f>
        <v>6</v>
      </c>
      <c r="AI86" s="3">
        <f t="shared" si="1"/>
        <v>1</v>
      </c>
      <c r="AJ86" s="3">
        <f t="shared" si="2"/>
        <v>0</v>
      </c>
      <c r="AK86" s="3">
        <f t="shared" si="3"/>
        <v>1</v>
      </c>
    </row>
    <row r="87" spans="2:37" ht="3.75" customHeight="1" x14ac:dyDescent="0.25">
      <c r="B87" s="2"/>
      <c r="O87" s="2"/>
    </row>
    <row r="88" spans="2:37" ht="66" customHeight="1" x14ac:dyDescent="0.25">
      <c r="B88" s="2"/>
      <c r="D88" s="338" t="s">
        <v>59</v>
      </c>
      <c r="E88" s="339"/>
      <c r="F88" s="340"/>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28.5" customHeight="1" x14ac:dyDescent="0.25">
      <c r="B97" s="2"/>
      <c r="D97" s="359" t="s">
        <v>35</v>
      </c>
      <c r="E97" s="359"/>
      <c r="F97" s="344" t="s">
        <v>564</v>
      </c>
      <c r="G97" s="344"/>
      <c r="H97" s="344"/>
      <c r="I97" s="344"/>
      <c r="J97" s="344"/>
      <c r="K97" s="344"/>
      <c r="L97" s="344"/>
      <c r="M97" s="344"/>
      <c r="O97" s="2"/>
    </row>
    <row r="98" spans="2:15" ht="28.5" customHeight="1" x14ac:dyDescent="0.25">
      <c r="B98" s="2"/>
      <c r="D98" s="359" t="s">
        <v>36</v>
      </c>
      <c r="E98" s="359"/>
      <c r="F98" s="344" t="s">
        <v>565</v>
      </c>
      <c r="G98" s="344"/>
      <c r="H98" s="344"/>
      <c r="I98" s="344"/>
      <c r="J98" s="344"/>
      <c r="K98" s="344"/>
      <c r="L98" s="344"/>
      <c r="M98" s="344"/>
      <c r="O98" s="2"/>
    </row>
    <row r="99" spans="2:15" ht="3.95" customHeight="1" x14ac:dyDescent="0.25">
      <c r="B99" s="2"/>
      <c r="O99" s="2"/>
    </row>
    <row r="100" spans="2:15" ht="285.75" customHeight="1" x14ac:dyDescent="0.25">
      <c r="B100" s="2"/>
      <c r="D100" s="338" t="s">
        <v>62</v>
      </c>
      <c r="E100" s="339"/>
      <c r="F100" s="412" t="s">
        <v>2179</v>
      </c>
      <c r="G100" s="413"/>
      <c r="H100" s="413"/>
      <c r="I100" s="413"/>
      <c r="J100" s="413"/>
      <c r="K100" s="413"/>
      <c r="L100" s="413"/>
      <c r="M100" s="414"/>
      <c r="O100" s="2"/>
    </row>
    <row r="101" spans="2:15" ht="3.95" customHeight="1" x14ac:dyDescent="0.25">
      <c r="B101" s="2"/>
      <c r="O101" s="2"/>
    </row>
    <row r="102" spans="2:15" ht="19.5" customHeight="1" x14ac:dyDescent="0.25">
      <c r="B102" s="2"/>
      <c r="D102" s="329" t="s">
        <v>64</v>
      </c>
      <c r="E102" s="330"/>
      <c r="F102" s="19" t="s">
        <v>65</v>
      </c>
      <c r="G102" s="4" t="s">
        <v>2</v>
      </c>
      <c r="K102" s="20"/>
      <c r="O102" s="2"/>
    </row>
    <row r="103" spans="2:15" ht="19.5" customHeight="1" x14ac:dyDescent="0.25">
      <c r="B103" s="2"/>
      <c r="D103" s="331"/>
      <c r="E103" s="332"/>
      <c r="F103" s="19" t="s">
        <v>66</v>
      </c>
      <c r="G103" s="4"/>
      <c r="K103" s="21"/>
      <c r="O103" s="2"/>
    </row>
    <row r="104" spans="2:15" ht="27.75" customHeight="1" x14ac:dyDescent="0.25">
      <c r="B104" s="2"/>
      <c r="D104" s="331"/>
      <c r="E104" s="332"/>
      <c r="F104" s="19" t="s">
        <v>67</v>
      </c>
      <c r="G104" s="333"/>
      <c r="H104" s="334"/>
      <c r="I104" s="334"/>
      <c r="J104" s="334"/>
      <c r="K104" s="334"/>
      <c r="L104" s="334"/>
      <c r="M104" s="335"/>
      <c r="O104" s="2"/>
    </row>
    <row r="105" spans="2:15" ht="3.95" customHeight="1" x14ac:dyDescent="0.25">
      <c r="B105" s="2"/>
      <c r="O105" s="2"/>
    </row>
    <row r="106" spans="2:15" ht="201.75" customHeight="1" x14ac:dyDescent="0.25">
      <c r="B106" s="2"/>
      <c r="D106" s="338" t="s">
        <v>68</v>
      </c>
      <c r="E106" s="339"/>
      <c r="F106" s="412" t="s">
        <v>102</v>
      </c>
      <c r="G106" s="415"/>
      <c r="H106" s="415"/>
      <c r="I106" s="415"/>
      <c r="J106" s="415"/>
      <c r="K106" s="415"/>
      <c r="L106" s="415"/>
      <c r="M106" s="416"/>
      <c r="O106" s="2"/>
    </row>
    <row r="107" spans="2:15" ht="3.95" customHeight="1" x14ac:dyDescent="0.25">
      <c r="B107" s="2"/>
      <c r="O107" s="2"/>
    </row>
    <row r="108" spans="2:15" ht="17.25" customHeight="1" x14ac:dyDescent="0.25">
      <c r="B108" s="2"/>
      <c r="D108" s="329" t="s">
        <v>2040</v>
      </c>
      <c r="E108" s="330"/>
      <c r="F108" s="19" t="s">
        <v>2041</v>
      </c>
      <c r="G108" s="333" t="str">
        <f>+VLOOKUP(H10,tablero!$P$5:$R$201,3,FALSE)</f>
        <v xml:space="preserve">Director(a) Niñez y Adolescencia </v>
      </c>
      <c r="H108" s="334"/>
      <c r="I108" s="334"/>
      <c r="J108" s="334"/>
      <c r="K108" s="334"/>
      <c r="L108" s="334"/>
      <c r="M108" s="335"/>
      <c r="O108" s="2"/>
    </row>
    <row r="109" spans="2:15" ht="17.25" customHeight="1" x14ac:dyDescent="0.25">
      <c r="B109" s="2"/>
      <c r="D109" s="331"/>
      <c r="E109" s="332"/>
      <c r="F109" s="19" t="s">
        <v>2042</v>
      </c>
      <c r="G109" s="333" t="str">
        <f>+IF(M23="Si","Coordinador(a) Planeación y Sistemas","")</f>
        <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F51 G102">
    <cfRule type="expression" dxfId="3092" priority="29">
      <formula>+IF($F$43="no",1,0)</formula>
    </cfRule>
  </conditionalFormatting>
  <conditionalFormatting sqref="F32:M33">
    <cfRule type="expression" dxfId="3091" priority="28">
      <formula>+IF($Q$30="NA",1,0)</formula>
    </cfRule>
  </conditionalFormatting>
  <conditionalFormatting sqref="F33:M33">
    <cfRule type="expression" dxfId="3090" priority="27">
      <formula>+IF($Q$33=0,1,0)</formula>
    </cfRule>
  </conditionalFormatting>
  <conditionalFormatting sqref="F47:M47">
    <cfRule type="expression" dxfId="3089" priority="26">
      <formula>+IF($Q$47=0,1,0)</formula>
    </cfRule>
  </conditionalFormatting>
  <conditionalFormatting sqref="F73:G73">
    <cfRule type="cellIs" dxfId="3088" priority="12" operator="equal">
      <formula>"optimo"</formula>
    </cfRule>
    <cfRule type="cellIs" dxfId="3087" priority="13" operator="equal">
      <formula>"critico"</formula>
    </cfRule>
  </conditionalFormatting>
  <conditionalFormatting sqref="H73:I73">
    <cfRule type="cellIs" dxfId="3086" priority="10" operator="equal">
      <formula>"Adecuado"</formula>
    </cfRule>
    <cfRule type="cellIs" dxfId="3085" priority="11" operator="equal">
      <formula>"en riesgo"</formula>
    </cfRule>
  </conditionalFormatting>
  <conditionalFormatting sqref="J73:K73">
    <cfRule type="cellIs" dxfId="3084" priority="8" operator="equal">
      <formula>"Adecuado"</formula>
    </cfRule>
    <cfRule type="cellIs" dxfId="3083" priority="9" operator="equal">
      <formula>"en riesgo"</formula>
    </cfRule>
  </conditionalFormatting>
  <conditionalFormatting sqref="L73:M73">
    <cfRule type="cellIs" dxfId="3082" priority="6" operator="equal">
      <formula>"optimo"</formula>
    </cfRule>
    <cfRule type="cellIs" dxfId="3081" priority="7" operator="equal">
      <formula>"critico"</formula>
    </cfRule>
  </conditionalFormatting>
  <conditionalFormatting sqref="F75:M86">
    <cfRule type="expression" dxfId="3080" priority="5">
      <formula>+IF($AK75=0,1)</formula>
    </cfRule>
  </conditionalFormatting>
  <conditionalFormatting sqref="F103:G104">
    <cfRule type="expression" dxfId="3079" priority="4">
      <formula>+IF($G$102="No",1,0)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9"/>
  <dimension ref="A1:AK50"/>
  <sheetViews>
    <sheetView workbookViewId="0">
      <selection activeCell="AE13" sqref="AE13"/>
    </sheetView>
  </sheetViews>
  <sheetFormatPr baseColWidth="10" defaultRowHeight="12" x14ac:dyDescent="0.2"/>
  <cols>
    <col min="1" max="1" width="2.7109375" style="180" customWidth="1"/>
    <col min="2" max="2" width="11.42578125" style="180"/>
    <col min="3" max="3" width="43.7109375" style="180" bestFit="1" customWidth="1"/>
    <col min="4" max="5" width="7.140625" style="180" customWidth="1"/>
    <col min="6" max="6" width="4.85546875" style="180" customWidth="1"/>
    <col min="7" max="7" width="4.140625" style="180" customWidth="1"/>
    <col min="8" max="8" width="6.5703125" style="180" customWidth="1"/>
    <col min="9" max="9" width="10.7109375" style="180" customWidth="1"/>
    <col min="10" max="10" width="9" style="180" customWidth="1"/>
    <col min="11" max="12" width="7.140625" style="180" customWidth="1"/>
    <col min="13" max="13" width="4.85546875" style="180" customWidth="1"/>
    <col min="14" max="14" width="8.5703125" style="180" customWidth="1"/>
    <col min="15" max="17" width="3.42578125" style="180" customWidth="1"/>
    <col min="18" max="18" width="8" style="180" customWidth="1"/>
    <col min="19" max="19" width="7.28515625" style="180" customWidth="1"/>
    <col min="20" max="20" width="8" style="182" hidden="1" customWidth="1"/>
    <col min="21" max="21" width="7.42578125" style="181" customWidth="1"/>
    <col min="22" max="22" width="4.5703125" style="182" hidden="1" customWidth="1"/>
    <col min="23" max="23" width="8" style="182" hidden="1" customWidth="1"/>
    <col min="24" max="24" width="6.85546875" style="181" customWidth="1"/>
    <col min="25" max="25" width="4.5703125" style="182" hidden="1" customWidth="1"/>
    <col min="26" max="26" width="8" style="182" hidden="1" customWidth="1"/>
    <col min="27" max="27" width="8.7109375" style="181" customWidth="1"/>
    <col min="28" max="28" width="8.85546875" style="180" customWidth="1"/>
    <col min="29" max="29" width="5.28515625" style="226" customWidth="1"/>
    <col min="30" max="30" width="5.85546875" style="226" customWidth="1"/>
    <col min="31" max="34" width="11.42578125" style="226"/>
    <col min="35" max="37" width="11.42578125" style="223"/>
    <col min="38" max="16384" width="11.42578125" style="180"/>
  </cols>
  <sheetData>
    <row r="1" spans="1:37" x14ac:dyDescent="0.2">
      <c r="A1" s="206"/>
      <c r="B1" s="191"/>
      <c r="C1" s="191"/>
      <c r="D1" s="191"/>
      <c r="E1" s="191"/>
      <c r="F1" s="191"/>
      <c r="G1" s="189"/>
      <c r="H1" s="218"/>
      <c r="O1" s="206"/>
      <c r="P1" s="191"/>
      <c r="Q1" s="191"/>
      <c r="R1" s="191"/>
      <c r="S1" s="191"/>
      <c r="T1" s="191"/>
      <c r="U1" s="249"/>
      <c r="V1" s="191"/>
      <c r="W1" s="191"/>
      <c r="X1" s="249"/>
      <c r="Y1" s="191"/>
      <c r="Z1" s="191"/>
      <c r="AA1" s="249"/>
      <c r="AB1" s="191"/>
      <c r="AC1" s="250"/>
    </row>
    <row r="2" spans="1:37" x14ac:dyDescent="0.2">
      <c r="A2" s="218"/>
      <c r="B2" s="182"/>
      <c r="C2" s="182"/>
      <c r="D2" s="182"/>
      <c r="E2" s="182"/>
      <c r="F2" s="182"/>
      <c r="G2" s="239"/>
      <c r="H2" s="218"/>
      <c r="O2" s="218"/>
      <c r="P2" s="182"/>
      <c r="Q2" s="182"/>
      <c r="R2" s="182"/>
      <c r="S2" s="182"/>
      <c r="AB2" s="182"/>
      <c r="AC2" s="251"/>
      <c r="AE2" s="228"/>
      <c r="AF2" s="228"/>
      <c r="AG2" s="228"/>
      <c r="AH2" s="228"/>
      <c r="AI2" s="213"/>
      <c r="AJ2" s="213"/>
      <c r="AK2" s="213"/>
    </row>
    <row r="3" spans="1:37" x14ac:dyDescent="0.2">
      <c r="A3" s="218"/>
      <c r="B3" s="182"/>
      <c r="C3" s="182"/>
      <c r="D3" s="182"/>
      <c r="E3" s="182"/>
      <c r="F3" s="182"/>
      <c r="G3" s="239"/>
      <c r="H3" s="218"/>
      <c r="I3" s="179"/>
      <c r="J3" s="197" t="s">
        <v>2041</v>
      </c>
      <c r="K3" s="197" t="s">
        <v>2042</v>
      </c>
      <c r="L3" s="198" t="s">
        <v>2043</v>
      </c>
      <c r="M3" s="204"/>
      <c r="O3" s="218"/>
      <c r="P3" s="182"/>
      <c r="Q3" s="182"/>
      <c r="R3" s="185"/>
      <c r="S3" s="261" t="s">
        <v>2061</v>
      </c>
      <c r="T3" s="260"/>
      <c r="U3" s="259" t="s">
        <v>1561</v>
      </c>
      <c r="V3" s="252"/>
      <c r="W3" s="258"/>
      <c r="X3" s="259" t="s">
        <v>1562</v>
      </c>
      <c r="Y3" s="232"/>
      <c r="Z3" s="258"/>
      <c r="AA3" s="259" t="s">
        <v>1572</v>
      </c>
      <c r="AB3" s="182"/>
      <c r="AC3" s="180"/>
      <c r="AD3" s="218"/>
      <c r="AE3" s="228"/>
      <c r="AF3" s="228"/>
      <c r="AG3" s="229" t="s">
        <v>2062</v>
      </c>
      <c r="AH3" s="230" t="s">
        <v>26</v>
      </c>
      <c r="AI3" s="230" t="s">
        <v>31</v>
      </c>
      <c r="AJ3" s="230" t="s">
        <v>2063</v>
      </c>
      <c r="AK3" s="213"/>
    </row>
    <row r="4" spans="1:37" hidden="1" x14ac:dyDescent="0.2">
      <c r="A4" s="218"/>
      <c r="B4" s="182"/>
      <c r="C4" s="182"/>
      <c r="D4" s="182"/>
      <c r="E4" s="182"/>
      <c r="F4" s="182"/>
      <c r="G4" s="239"/>
      <c r="H4" s="218"/>
      <c r="I4" s="179"/>
      <c r="J4" s="197"/>
      <c r="K4" s="197"/>
      <c r="L4" s="198"/>
      <c r="M4" s="204"/>
      <c r="O4" s="218"/>
      <c r="P4" s="182"/>
      <c r="Q4" s="182"/>
      <c r="R4" s="185" t="s">
        <v>2048</v>
      </c>
      <c r="S4" s="186" t="s">
        <v>1564</v>
      </c>
      <c r="T4" s="185" t="s">
        <v>2048</v>
      </c>
      <c r="U4" s="205" t="s">
        <v>1564</v>
      </c>
      <c r="V4" s="233"/>
      <c r="W4" s="201" t="s">
        <v>2048</v>
      </c>
      <c r="X4" s="205" t="s">
        <v>1564</v>
      </c>
      <c r="Y4" s="181"/>
      <c r="Z4" s="201" t="s">
        <v>2048</v>
      </c>
      <c r="AA4" s="205" t="s">
        <v>1564</v>
      </c>
      <c r="AB4" s="182"/>
      <c r="AC4" s="180"/>
      <c r="AD4" s="218"/>
      <c r="AE4" s="228" t="s">
        <v>2048</v>
      </c>
      <c r="AF4" s="228"/>
      <c r="AG4" s="228" t="s">
        <v>1564</v>
      </c>
      <c r="AH4" s="229" t="s">
        <v>1564</v>
      </c>
      <c r="AI4" s="229" t="s">
        <v>1564</v>
      </c>
      <c r="AJ4" s="229" t="s">
        <v>1564</v>
      </c>
      <c r="AK4" s="213"/>
    </row>
    <row r="5" spans="1:37" x14ac:dyDescent="0.2">
      <c r="A5" s="218"/>
      <c r="B5" s="182"/>
      <c r="C5" s="182"/>
      <c r="D5" s="182"/>
      <c r="E5" s="182"/>
      <c r="F5" s="182"/>
      <c r="G5" s="239"/>
      <c r="H5" s="218"/>
      <c r="I5" s="199" t="s">
        <v>2018</v>
      </c>
      <c r="J5" s="184">
        <f>+SUM(D20:D26)</f>
        <v>78</v>
      </c>
      <c r="K5" s="184">
        <f>+SUM(E20:E26)</f>
        <v>45</v>
      </c>
      <c r="L5" s="203">
        <f>+SUM(F20:F26)</f>
        <v>23</v>
      </c>
      <c r="M5" s="181"/>
      <c r="O5" s="218"/>
      <c r="P5" s="182"/>
      <c r="Q5" s="182"/>
      <c r="R5" s="211" t="s">
        <v>2041</v>
      </c>
      <c r="S5" s="187">
        <v>195</v>
      </c>
      <c r="T5" s="202" t="s">
        <v>2041</v>
      </c>
      <c r="U5" s="187">
        <v>105</v>
      </c>
      <c r="V5" s="233"/>
      <c r="W5" s="201" t="s">
        <v>2041</v>
      </c>
      <c r="X5" s="187">
        <v>74</v>
      </c>
      <c r="Z5" s="201" t="s">
        <v>2041</v>
      </c>
      <c r="AA5" s="187">
        <v>11</v>
      </c>
      <c r="AB5" s="182"/>
      <c r="AC5" s="180"/>
      <c r="AD5" s="218"/>
      <c r="AE5" s="229" t="s">
        <v>2041</v>
      </c>
      <c r="AF5" s="229"/>
      <c r="AG5" s="217">
        <v>196</v>
      </c>
      <c r="AH5" s="217">
        <v>105</v>
      </c>
      <c r="AI5" s="217">
        <v>74</v>
      </c>
      <c r="AJ5" s="217">
        <v>11</v>
      </c>
      <c r="AK5" s="213"/>
    </row>
    <row r="6" spans="1:37" x14ac:dyDescent="0.2">
      <c r="A6" s="218"/>
      <c r="B6" s="182"/>
      <c r="C6" s="182"/>
      <c r="D6" s="182"/>
      <c r="E6" s="182"/>
      <c r="F6" s="182"/>
      <c r="G6" s="239"/>
      <c r="H6" s="218"/>
      <c r="I6" s="185" t="s">
        <v>2019</v>
      </c>
      <c r="J6" s="205">
        <f>+SUM(D27:D38)</f>
        <v>79</v>
      </c>
      <c r="K6" s="205">
        <f>+SUM(E27:E38)</f>
        <v>26</v>
      </c>
      <c r="L6" s="203">
        <f>+SUM(F27:F38)</f>
        <v>3</v>
      </c>
      <c r="M6" s="181"/>
      <c r="O6" s="218"/>
      <c r="P6" s="182"/>
      <c r="Q6" s="182"/>
      <c r="R6" s="211" t="s">
        <v>2042</v>
      </c>
      <c r="S6" s="187">
        <v>79</v>
      </c>
      <c r="T6" s="202" t="s">
        <v>2042</v>
      </c>
      <c r="U6" s="187">
        <v>27</v>
      </c>
      <c r="V6" s="233"/>
      <c r="W6" s="201" t="s">
        <v>2042</v>
      </c>
      <c r="X6" s="187">
        <v>15</v>
      </c>
      <c r="Z6" s="201" t="s">
        <v>2042</v>
      </c>
      <c r="AA6" s="187">
        <v>3</v>
      </c>
      <c r="AB6" s="182"/>
      <c r="AC6" s="180"/>
      <c r="AD6" s="218"/>
      <c r="AE6" s="229" t="s">
        <v>2042</v>
      </c>
      <c r="AF6" s="229"/>
      <c r="AG6" s="217">
        <v>82</v>
      </c>
      <c r="AH6" s="217">
        <v>30</v>
      </c>
      <c r="AI6" s="217">
        <v>18</v>
      </c>
      <c r="AJ6" s="217">
        <v>5</v>
      </c>
      <c r="AK6" s="213"/>
    </row>
    <row r="7" spans="1:37" x14ac:dyDescent="0.2">
      <c r="A7" s="218"/>
      <c r="B7" s="182"/>
      <c r="C7" s="182"/>
      <c r="D7" s="182"/>
      <c r="E7" s="182"/>
      <c r="F7" s="182"/>
      <c r="G7" s="239"/>
      <c r="H7" s="218"/>
      <c r="I7" s="185" t="s">
        <v>2021</v>
      </c>
      <c r="J7" s="205">
        <f>+SUM(D39:D42)</f>
        <v>25</v>
      </c>
      <c r="K7" s="205">
        <f>+SUM(E39:E42)</f>
        <v>7</v>
      </c>
      <c r="L7" s="203">
        <f>+SUM(F39:F42)</f>
        <v>3</v>
      </c>
      <c r="M7" s="181"/>
      <c r="O7" s="218"/>
      <c r="P7" s="182"/>
      <c r="Q7" s="182"/>
      <c r="R7" s="211" t="s">
        <v>2043</v>
      </c>
      <c r="S7" s="187">
        <v>30</v>
      </c>
      <c r="T7" s="202" t="s">
        <v>2043</v>
      </c>
      <c r="U7" s="187">
        <v>11</v>
      </c>
      <c r="V7" s="233"/>
      <c r="W7" s="201" t="s">
        <v>2043</v>
      </c>
      <c r="X7" s="187">
        <v>5</v>
      </c>
      <c r="Z7" s="201" t="s">
        <v>2043</v>
      </c>
      <c r="AA7" s="187">
        <v>2</v>
      </c>
      <c r="AB7" s="182"/>
      <c r="AC7" s="180"/>
      <c r="AD7" s="218"/>
      <c r="AE7" s="229" t="s">
        <v>2043</v>
      </c>
      <c r="AF7" s="229"/>
      <c r="AG7" s="217">
        <v>15</v>
      </c>
      <c r="AH7" s="217">
        <v>5</v>
      </c>
      <c r="AI7" s="217">
        <v>1</v>
      </c>
      <c r="AJ7" s="217">
        <v>1</v>
      </c>
      <c r="AK7" s="213"/>
    </row>
    <row r="8" spans="1:37" x14ac:dyDescent="0.2">
      <c r="A8" s="218"/>
      <c r="B8" s="182"/>
      <c r="C8" s="182"/>
      <c r="D8" s="182"/>
      <c r="E8" s="182"/>
      <c r="F8" s="182"/>
      <c r="G8" s="239"/>
      <c r="H8" s="218"/>
      <c r="I8" s="189" t="s">
        <v>2020</v>
      </c>
      <c r="J8" s="214">
        <f>+SUM(D43:D45)</f>
        <v>13</v>
      </c>
      <c r="K8" s="214">
        <f>+SUM(E43:E45)</f>
        <v>1</v>
      </c>
      <c r="L8" s="215">
        <f>+SUM(F43:F45)</f>
        <v>1</v>
      </c>
      <c r="M8" s="181"/>
      <c r="O8" s="218"/>
      <c r="P8" s="182"/>
      <c r="Q8" s="182"/>
      <c r="R8" s="182"/>
      <c r="S8" s="182"/>
      <c r="AB8" s="182"/>
      <c r="AD8" s="257"/>
      <c r="AE8" s="228"/>
      <c r="AF8" s="228"/>
      <c r="AG8" s="228"/>
      <c r="AH8" s="228"/>
      <c r="AI8" s="213"/>
      <c r="AJ8" s="213"/>
      <c r="AK8" s="213"/>
    </row>
    <row r="9" spans="1:37" x14ac:dyDescent="0.2">
      <c r="A9" s="218"/>
      <c r="B9" s="182"/>
      <c r="C9" s="182"/>
      <c r="D9" s="182"/>
      <c r="E9" s="182"/>
      <c r="F9" s="182"/>
      <c r="G9" s="239"/>
      <c r="H9" s="218"/>
      <c r="I9" s="216" t="s">
        <v>2022</v>
      </c>
      <c r="J9" s="195">
        <f>SUM(J5:J8)</f>
        <v>195</v>
      </c>
      <c r="K9" s="195">
        <f>SUM(K5:K8)</f>
        <v>79</v>
      </c>
      <c r="L9" s="196">
        <f>SUM(L5:L8)</f>
        <v>30</v>
      </c>
      <c r="M9" s="231"/>
      <c r="O9" s="218"/>
      <c r="P9" s="182"/>
      <c r="Q9" s="182"/>
      <c r="R9" s="182"/>
      <c r="S9" s="182"/>
      <c r="AB9" s="182"/>
      <c r="AC9" s="251"/>
    </row>
    <row r="10" spans="1:37" x14ac:dyDescent="0.2">
      <c r="A10" s="218"/>
      <c r="B10" s="182"/>
      <c r="C10" s="182"/>
      <c r="D10" s="182"/>
      <c r="E10" s="182"/>
      <c r="F10" s="182"/>
      <c r="G10" s="239"/>
      <c r="H10" s="218"/>
      <c r="O10" s="218"/>
      <c r="P10" s="182"/>
      <c r="Q10" s="182"/>
      <c r="R10" s="182"/>
      <c r="S10" s="182"/>
      <c r="AB10" s="182"/>
      <c r="AC10" s="251"/>
    </row>
    <row r="11" spans="1:37" x14ac:dyDescent="0.2">
      <c r="A11" s="218"/>
      <c r="B11" s="182"/>
      <c r="C11" s="182"/>
      <c r="D11" s="182"/>
      <c r="E11" s="182"/>
      <c r="F11" s="182"/>
      <c r="G11" s="239"/>
      <c r="H11" s="218"/>
      <c r="O11" s="218"/>
      <c r="P11" s="182"/>
      <c r="Q11" s="182"/>
      <c r="R11" s="182"/>
      <c r="S11" s="182"/>
      <c r="AB11" s="182"/>
      <c r="AC11" s="251"/>
    </row>
    <row r="12" spans="1:37" x14ac:dyDescent="0.2">
      <c r="A12" s="218"/>
      <c r="B12" s="182"/>
      <c r="C12" s="182"/>
      <c r="D12" s="182"/>
      <c r="E12" s="182"/>
      <c r="F12" s="182"/>
      <c r="G12" s="239"/>
      <c r="H12" s="218"/>
      <c r="O12" s="218"/>
      <c r="P12" s="182"/>
      <c r="Q12" s="182"/>
      <c r="R12" s="182"/>
      <c r="S12" s="182"/>
      <c r="AB12" s="182"/>
      <c r="AC12" s="251"/>
    </row>
    <row r="13" spans="1:37" x14ac:dyDescent="0.2">
      <c r="A13" s="218"/>
      <c r="B13" s="182"/>
      <c r="C13" s="182"/>
      <c r="D13" s="182"/>
      <c r="E13" s="182"/>
      <c r="F13" s="182"/>
      <c r="G13" s="239"/>
      <c r="H13" s="218"/>
      <c r="O13" s="218"/>
      <c r="P13" s="182"/>
      <c r="Q13" s="182"/>
      <c r="R13" s="182"/>
      <c r="S13" s="182"/>
      <c r="AB13" s="182"/>
      <c r="AC13" s="251"/>
    </row>
    <row r="14" spans="1:37" x14ac:dyDescent="0.2">
      <c r="A14" s="218"/>
      <c r="B14" s="182"/>
      <c r="C14" s="182"/>
      <c r="D14" s="182"/>
      <c r="E14" s="182"/>
      <c r="F14" s="182"/>
      <c r="G14" s="239"/>
      <c r="H14" s="218"/>
      <c r="O14" s="218"/>
      <c r="P14" s="182"/>
      <c r="Q14" s="182"/>
      <c r="R14" s="182"/>
      <c r="S14" s="182"/>
      <c r="AB14" s="182"/>
      <c r="AC14" s="251"/>
    </row>
    <row r="15" spans="1:37" x14ac:dyDescent="0.2">
      <c r="A15" s="218"/>
      <c r="B15" s="182"/>
      <c r="C15" s="182"/>
      <c r="D15" s="182"/>
      <c r="E15" s="182"/>
      <c r="F15" s="182"/>
      <c r="G15" s="239"/>
      <c r="H15" s="218"/>
      <c r="O15" s="218"/>
      <c r="P15" s="182"/>
      <c r="Q15" s="182"/>
      <c r="R15" s="182"/>
      <c r="S15" s="182"/>
      <c r="AB15" s="182"/>
      <c r="AC15" s="251"/>
    </row>
    <row r="16" spans="1:37" x14ac:dyDescent="0.2">
      <c r="A16" s="218"/>
      <c r="B16" s="182"/>
      <c r="C16" s="182"/>
      <c r="D16" s="182"/>
      <c r="E16" s="182"/>
      <c r="F16" s="182"/>
      <c r="G16" s="239"/>
      <c r="H16" s="218"/>
      <c r="O16" s="218"/>
      <c r="P16" s="182"/>
      <c r="Q16" s="182"/>
      <c r="R16" s="182"/>
      <c r="S16" s="182"/>
      <c r="AB16" s="182"/>
      <c r="AC16" s="251"/>
    </row>
    <row r="17" spans="1:37" x14ac:dyDescent="0.2">
      <c r="A17" s="218"/>
      <c r="B17" s="182"/>
      <c r="C17" s="182"/>
      <c r="D17" s="182"/>
      <c r="E17" s="182"/>
      <c r="F17" s="182"/>
      <c r="G17" s="239"/>
      <c r="H17" s="218"/>
      <c r="O17" s="218"/>
      <c r="P17" s="182"/>
      <c r="Q17" s="182"/>
      <c r="R17" s="182"/>
      <c r="S17" s="182"/>
      <c r="U17" s="182"/>
      <c r="X17" s="182"/>
      <c r="AA17" s="182"/>
      <c r="AB17" s="182"/>
      <c r="AC17" s="251"/>
    </row>
    <row r="18" spans="1:37" hidden="1" x14ac:dyDescent="0.2">
      <c r="A18" s="218"/>
      <c r="B18" s="182"/>
      <c r="C18" s="182"/>
      <c r="D18" s="182"/>
      <c r="E18" s="182"/>
      <c r="F18" s="182"/>
      <c r="G18" s="239"/>
      <c r="H18" s="218"/>
      <c r="O18" s="218"/>
      <c r="P18" s="182"/>
      <c r="Q18" s="182"/>
      <c r="R18" s="182"/>
      <c r="S18" s="182"/>
      <c r="U18" s="182"/>
      <c r="X18" s="182"/>
      <c r="AA18" s="182"/>
      <c r="AB18" s="182"/>
      <c r="AC18" s="251"/>
    </row>
    <row r="19" spans="1:37" s="179" customFormat="1" x14ac:dyDescent="0.2">
      <c r="A19" s="219"/>
      <c r="B19" s="186" t="s">
        <v>1633</v>
      </c>
      <c r="C19" s="186" t="s">
        <v>1950</v>
      </c>
      <c r="D19" s="261" t="s">
        <v>2041</v>
      </c>
      <c r="E19" s="261" t="s">
        <v>2042</v>
      </c>
      <c r="F19" s="262" t="s">
        <v>2043</v>
      </c>
      <c r="G19" s="246"/>
      <c r="H19" s="219"/>
      <c r="I19" s="181"/>
      <c r="J19" s="181"/>
      <c r="K19" s="181"/>
      <c r="O19" s="219"/>
      <c r="P19" s="181"/>
      <c r="Q19" s="181"/>
      <c r="R19" s="181"/>
      <c r="S19" s="181"/>
      <c r="T19" s="181"/>
      <c r="U19" s="181"/>
      <c r="V19" s="181"/>
      <c r="W19" s="181"/>
      <c r="X19" s="181"/>
      <c r="Y19" s="181"/>
      <c r="Z19" s="181"/>
      <c r="AA19" s="181"/>
      <c r="AB19" s="182"/>
      <c r="AC19" s="253"/>
      <c r="AD19" s="227"/>
      <c r="AE19" s="227"/>
      <c r="AF19" s="227"/>
      <c r="AG19" s="227"/>
      <c r="AH19" s="227"/>
      <c r="AI19" s="225"/>
      <c r="AJ19" s="225"/>
      <c r="AK19" s="225"/>
    </row>
    <row r="20" spans="1:37" x14ac:dyDescent="0.2">
      <c r="A20" s="218"/>
      <c r="B20" s="186" t="s">
        <v>109</v>
      </c>
      <c r="C20" s="186" t="s">
        <v>111</v>
      </c>
      <c r="D20" s="187">
        <v>19</v>
      </c>
      <c r="E20" s="187">
        <v>11</v>
      </c>
      <c r="F20" s="188">
        <v>4</v>
      </c>
      <c r="G20" s="247"/>
      <c r="H20" s="220"/>
      <c r="I20" s="183"/>
      <c r="J20" s="183"/>
      <c r="K20" s="183"/>
      <c r="O20" s="220"/>
      <c r="P20" s="183"/>
      <c r="Q20" s="183"/>
      <c r="R20" s="182"/>
      <c r="S20" s="182"/>
      <c r="U20" s="182"/>
      <c r="X20" s="182"/>
      <c r="AA20" s="182"/>
      <c r="AB20" s="182"/>
      <c r="AC20" s="251"/>
    </row>
    <row r="21" spans="1:37" x14ac:dyDescent="0.2">
      <c r="A21" s="218"/>
      <c r="B21" s="186" t="s">
        <v>144</v>
      </c>
      <c r="C21" s="186" t="s">
        <v>146</v>
      </c>
      <c r="D21" s="187">
        <v>12</v>
      </c>
      <c r="E21" s="187">
        <v>6</v>
      </c>
      <c r="F21" s="188">
        <v>1</v>
      </c>
      <c r="G21" s="247"/>
      <c r="H21" s="220"/>
      <c r="I21" s="183"/>
      <c r="J21" s="183"/>
      <c r="K21" s="183"/>
      <c r="O21" s="220"/>
      <c r="P21" s="183"/>
      <c r="Q21" s="183"/>
      <c r="R21" s="182"/>
      <c r="S21" s="182"/>
      <c r="U21" s="182"/>
      <c r="X21" s="182"/>
      <c r="AA21" s="182"/>
      <c r="AB21" s="182"/>
      <c r="AC21" s="251"/>
    </row>
    <row r="22" spans="1:37" x14ac:dyDescent="0.2">
      <c r="A22" s="218"/>
      <c r="B22" s="186" t="s">
        <v>168</v>
      </c>
      <c r="C22" s="186" t="s">
        <v>170</v>
      </c>
      <c r="D22" s="187">
        <v>5</v>
      </c>
      <c r="E22" s="187">
        <v>1</v>
      </c>
      <c r="F22" s="188">
        <v>1</v>
      </c>
      <c r="G22" s="247"/>
      <c r="H22" s="220"/>
      <c r="I22" s="183"/>
      <c r="J22" s="183"/>
      <c r="K22" s="183"/>
      <c r="O22" s="220"/>
      <c r="P22" s="183"/>
      <c r="Q22" s="183"/>
      <c r="R22" s="182"/>
      <c r="S22" s="182"/>
      <c r="U22" s="182"/>
      <c r="X22" s="182"/>
      <c r="AA22" s="182"/>
      <c r="AB22" s="182"/>
      <c r="AC22" s="251"/>
    </row>
    <row r="23" spans="1:37" x14ac:dyDescent="0.2">
      <c r="A23" s="218"/>
      <c r="B23" s="186" t="s">
        <v>176</v>
      </c>
      <c r="C23" s="186" t="s">
        <v>178</v>
      </c>
      <c r="D23" s="187">
        <v>15</v>
      </c>
      <c r="E23" s="187">
        <v>9</v>
      </c>
      <c r="F23" s="188">
        <v>9</v>
      </c>
      <c r="G23" s="247"/>
      <c r="H23" s="220"/>
      <c r="I23" s="183"/>
      <c r="J23" s="183"/>
      <c r="K23" s="183"/>
      <c r="O23" s="220"/>
      <c r="P23" s="183"/>
      <c r="Q23" s="183"/>
      <c r="R23" s="182"/>
      <c r="S23" s="182"/>
      <c r="U23" s="182"/>
      <c r="X23" s="182"/>
      <c r="AA23" s="182"/>
      <c r="AB23" s="182"/>
      <c r="AC23" s="251"/>
    </row>
    <row r="24" spans="1:37" x14ac:dyDescent="0.2">
      <c r="A24" s="218"/>
      <c r="B24" s="186" t="s">
        <v>202</v>
      </c>
      <c r="C24" s="186" t="s">
        <v>238</v>
      </c>
      <c r="D24" s="187">
        <v>4</v>
      </c>
      <c r="E24" s="187">
        <v>4</v>
      </c>
      <c r="F24" s="188"/>
      <c r="G24" s="247"/>
      <c r="H24" s="220"/>
      <c r="I24" s="183"/>
      <c r="J24" s="183"/>
      <c r="K24" s="183"/>
      <c r="O24" s="220"/>
      <c r="P24" s="183"/>
      <c r="Q24" s="183"/>
      <c r="R24" s="182"/>
      <c r="S24" s="182"/>
      <c r="U24" s="182"/>
      <c r="X24" s="182"/>
      <c r="AA24" s="182"/>
      <c r="AB24" s="182"/>
      <c r="AC24" s="251"/>
    </row>
    <row r="25" spans="1:37" x14ac:dyDescent="0.2">
      <c r="A25" s="218"/>
      <c r="B25" s="186"/>
      <c r="C25" s="186" t="s">
        <v>247</v>
      </c>
      <c r="D25" s="187">
        <v>5</v>
      </c>
      <c r="E25" s="187">
        <v>2</v>
      </c>
      <c r="F25" s="188"/>
      <c r="G25" s="247"/>
      <c r="H25" s="220"/>
      <c r="I25" s="183"/>
      <c r="J25" s="183"/>
      <c r="K25" s="183"/>
      <c r="O25" s="220"/>
      <c r="P25" s="183"/>
      <c r="Q25" s="183"/>
      <c r="R25" s="182"/>
      <c r="S25" s="182"/>
      <c r="AB25" s="182"/>
      <c r="AC25" s="251"/>
    </row>
    <row r="26" spans="1:37" x14ac:dyDescent="0.2">
      <c r="A26" s="218"/>
      <c r="B26" s="186"/>
      <c r="C26" s="186" t="s">
        <v>204</v>
      </c>
      <c r="D26" s="187">
        <v>18</v>
      </c>
      <c r="E26" s="187">
        <v>12</v>
      </c>
      <c r="F26" s="188">
        <v>8</v>
      </c>
      <c r="G26" s="247"/>
      <c r="H26" s="220"/>
      <c r="I26" s="183"/>
      <c r="J26" s="183"/>
      <c r="K26" s="183"/>
      <c r="O26" s="220"/>
      <c r="P26" s="183"/>
      <c r="Q26" s="183"/>
      <c r="R26" s="182"/>
      <c r="S26" s="182"/>
      <c r="AB26" s="182"/>
      <c r="AC26" s="251"/>
    </row>
    <row r="27" spans="1:37" x14ac:dyDescent="0.2">
      <c r="A27" s="218"/>
      <c r="B27" s="186" t="s">
        <v>257</v>
      </c>
      <c r="C27" s="186" t="s">
        <v>259</v>
      </c>
      <c r="D27" s="187">
        <v>19</v>
      </c>
      <c r="E27" s="187">
        <v>8</v>
      </c>
      <c r="F27" s="188"/>
      <c r="G27" s="247"/>
      <c r="H27" s="220"/>
      <c r="I27" s="183"/>
      <c r="J27" s="183"/>
      <c r="K27" s="183"/>
      <c r="O27" s="220"/>
      <c r="P27" s="183"/>
      <c r="Q27" s="183"/>
      <c r="R27" s="182"/>
      <c r="S27" s="182"/>
      <c r="AB27" s="182"/>
      <c r="AC27" s="251"/>
    </row>
    <row r="28" spans="1:37" x14ac:dyDescent="0.2">
      <c r="A28" s="218"/>
      <c r="B28" s="186"/>
      <c r="C28" s="186" t="s">
        <v>291</v>
      </c>
      <c r="D28" s="187">
        <v>7</v>
      </c>
      <c r="E28" s="187">
        <v>2</v>
      </c>
      <c r="F28" s="188"/>
      <c r="G28" s="247"/>
      <c r="H28" s="220"/>
      <c r="I28" s="183"/>
      <c r="J28" s="183"/>
      <c r="K28" s="183"/>
      <c r="O28" s="220"/>
      <c r="P28" s="183"/>
      <c r="Q28" s="183"/>
      <c r="R28" s="182"/>
      <c r="S28" s="182"/>
      <c r="AB28" s="182"/>
      <c r="AC28" s="251"/>
    </row>
    <row r="29" spans="1:37" x14ac:dyDescent="0.2">
      <c r="A29" s="218"/>
      <c r="B29" s="186"/>
      <c r="C29" s="186" t="s">
        <v>303</v>
      </c>
      <c r="D29" s="187">
        <v>2</v>
      </c>
      <c r="E29" s="187">
        <v>1</v>
      </c>
      <c r="F29" s="188"/>
      <c r="G29" s="247"/>
      <c r="H29" s="220"/>
      <c r="I29" s="183"/>
      <c r="J29" s="183"/>
      <c r="K29" s="183"/>
      <c r="O29" s="254"/>
      <c r="P29" s="255"/>
      <c r="Q29" s="255"/>
      <c r="R29" s="207"/>
      <c r="S29" s="207"/>
      <c r="T29" s="207"/>
      <c r="U29" s="256"/>
      <c r="V29" s="207"/>
      <c r="W29" s="207"/>
      <c r="X29" s="256"/>
      <c r="Y29" s="207"/>
      <c r="Z29" s="207"/>
      <c r="AA29" s="256"/>
      <c r="AB29" s="207"/>
      <c r="AC29" s="224"/>
    </row>
    <row r="30" spans="1:37" x14ac:dyDescent="0.2">
      <c r="A30" s="218"/>
      <c r="B30" s="186"/>
      <c r="C30" s="186" t="s">
        <v>308</v>
      </c>
      <c r="D30" s="187">
        <v>13</v>
      </c>
      <c r="E30" s="187">
        <v>5</v>
      </c>
      <c r="F30" s="188"/>
      <c r="G30" s="247"/>
      <c r="H30" s="220"/>
      <c r="I30" s="183"/>
      <c r="J30" s="183"/>
      <c r="K30" s="183"/>
      <c r="O30" s="220"/>
      <c r="P30" s="183"/>
      <c r="Q30" s="183"/>
    </row>
    <row r="31" spans="1:37" x14ac:dyDescent="0.2">
      <c r="A31" s="218"/>
      <c r="B31" s="186"/>
      <c r="C31" s="186" t="s">
        <v>334</v>
      </c>
      <c r="D31" s="187">
        <v>5</v>
      </c>
      <c r="E31" s="187">
        <v>4</v>
      </c>
      <c r="F31" s="188"/>
      <c r="G31" s="247"/>
      <c r="H31" s="220"/>
      <c r="I31" s="183"/>
      <c r="J31" s="183"/>
      <c r="K31" s="183"/>
      <c r="O31" s="220"/>
      <c r="P31" s="183"/>
      <c r="Q31" s="183"/>
    </row>
    <row r="32" spans="1:37" x14ac:dyDescent="0.2">
      <c r="A32" s="218"/>
      <c r="B32" s="186"/>
      <c r="C32" s="186" t="s">
        <v>343</v>
      </c>
      <c r="D32" s="187">
        <v>5</v>
      </c>
      <c r="E32" s="187"/>
      <c r="F32" s="188"/>
      <c r="G32" s="247"/>
      <c r="H32" s="190"/>
      <c r="I32" s="208"/>
      <c r="J32" s="208"/>
      <c r="K32" s="208"/>
      <c r="L32" s="191"/>
      <c r="M32" s="191"/>
      <c r="N32" s="189"/>
      <c r="O32" s="220"/>
      <c r="P32" s="183"/>
      <c r="Q32" s="183"/>
    </row>
    <row r="33" spans="1:17" x14ac:dyDescent="0.2">
      <c r="A33" s="218"/>
      <c r="B33" s="186" t="s">
        <v>354</v>
      </c>
      <c r="C33" s="186" t="s">
        <v>356</v>
      </c>
      <c r="D33" s="187">
        <v>4</v>
      </c>
      <c r="E33" s="187">
        <v>1</v>
      </c>
      <c r="F33" s="188"/>
      <c r="G33" s="247"/>
      <c r="H33" s="220"/>
      <c r="I33" s="210" t="s">
        <v>1941</v>
      </c>
      <c r="J33" s="234" t="s">
        <v>2041</v>
      </c>
      <c r="K33" s="234" t="s">
        <v>2042</v>
      </c>
      <c r="L33" s="209" t="s">
        <v>2043</v>
      </c>
      <c r="O33" s="220"/>
      <c r="P33" s="183"/>
      <c r="Q33" s="183"/>
    </row>
    <row r="34" spans="1:17" x14ac:dyDescent="0.2">
      <c r="A34" s="218"/>
      <c r="B34" s="186" t="s">
        <v>363</v>
      </c>
      <c r="C34" s="186" t="s">
        <v>365</v>
      </c>
      <c r="D34" s="187">
        <v>2</v>
      </c>
      <c r="E34" s="187"/>
      <c r="F34" s="188"/>
      <c r="G34" s="247"/>
      <c r="H34" s="220"/>
      <c r="I34" s="235" t="s">
        <v>103</v>
      </c>
      <c r="J34" s="240">
        <v>75</v>
      </c>
      <c r="K34" s="240">
        <v>42</v>
      </c>
      <c r="L34" s="241">
        <v>22</v>
      </c>
      <c r="O34" s="220"/>
      <c r="P34" s="183"/>
      <c r="Q34" s="183"/>
    </row>
    <row r="35" spans="1:17" x14ac:dyDescent="0.2">
      <c r="A35" s="218"/>
      <c r="B35" s="186" t="s">
        <v>370</v>
      </c>
      <c r="C35" s="186" t="s">
        <v>372</v>
      </c>
      <c r="D35" s="187">
        <v>5</v>
      </c>
      <c r="E35" s="187"/>
      <c r="F35" s="188"/>
      <c r="G35" s="247"/>
      <c r="H35" s="220"/>
      <c r="I35" s="235" t="s">
        <v>519</v>
      </c>
      <c r="J35" s="240">
        <v>30</v>
      </c>
      <c r="K35" s="240">
        <v>15</v>
      </c>
      <c r="L35" s="241">
        <v>6</v>
      </c>
      <c r="O35" s="220"/>
      <c r="P35" s="183"/>
      <c r="Q35" s="183"/>
    </row>
    <row r="36" spans="1:17" x14ac:dyDescent="0.2">
      <c r="A36" s="218"/>
      <c r="B36" s="186" t="s">
        <v>379</v>
      </c>
      <c r="C36" s="186" t="s">
        <v>381</v>
      </c>
      <c r="D36" s="187">
        <v>6</v>
      </c>
      <c r="E36" s="187">
        <v>3</v>
      </c>
      <c r="F36" s="188">
        <v>3</v>
      </c>
      <c r="G36" s="247"/>
      <c r="H36" s="220"/>
      <c r="I36" s="235" t="s">
        <v>533</v>
      </c>
      <c r="J36" s="240">
        <v>90</v>
      </c>
      <c r="K36" s="240">
        <v>22</v>
      </c>
      <c r="L36" s="241">
        <v>2</v>
      </c>
      <c r="O36" s="220"/>
      <c r="P36" s="183"/>
      <c r="Q36" s="183"/>
    </row>
    <row r="37" spans="1:17" x14ac:dyDescent="0.2">
      <c r="A37" s="218"/>
      <c r="B37" s="186" t="s">
        <v>391</v>
      </c>
      <c r="C37" s="186" t="s">
        <v>393</v>
      </c>
      <c r="D37" s="187">
        <v>7</v>
      </c>
      <c r="E37" s="187">
        <v>2</v>
      </c>
      <c r="F37" s="188"/>
      <c r="G37" s="247"/>
      <c r="H37" s="220"/>
      <c r="I37" s="192" t="s">
        <v>1949</v>
      </c>
      <c r="J37" s="193">
        <v>195</v>
      </c>
      <c r="K37" s="193">
        <v>79</v>
      </c>
      <c r="L37" s="194">
        <v>30</v>
      </c>
      <c r="O37" s="220"/>
      <c r="P37" s="183"/>
      <c r="Q37" s="183"/>
    </row>
    <row r="38" spans="1:17" ht="15" x14ac:dyDescent="0.25">
      <c r="A38" s="218"/>
      <c r="B38" s="186" t="s">
        <v>405</v>
      </c>
      <c r="C38" s="186" t="s">
        <v>407</v>
      </c>
      <c r="D38" s="187">
        <v>4</v>
      </c>
      <c r="E38" s="187"/>
      <c r="F38" s="188"/>
      <c r="G38" s="247"/>
      <c r="H38" s="220"/>
      <c r="I38" s="178"/>
      <c r="J38" s="178"/>
      <c r="K38" s="178"/>
      <c r="L38" s="178"/>
      <c r="O38" s="220"/>
      <c r="P38" s="183"/>
      <c r="Q38" s="183"/>
    </row>
    <row r="39" spans="1:17" x14ac:dyDescent="0.2">
      <c r="A39" s="218"/>
      <c r="B39" s="186" t="s">
        <v>411</v>
      </c>
      <c r="C39" s="186" t="s">
        <v>413</v>
      </c>
      <c r="D39" s="187">
        <v>7</v>
      </c>
      <c r="E39" s="187"/>
      <c r="F39" s="188"/>
      <c r="G39" s="247"/>
      <c r="H39" s="220"/>
      <c r="I39" s="270" t="s">
        <v>1944</v>
      </c>
      <c r="J39" s="271" t="s">
        <v>1941</v>
      </c>
      <c r="K39" s="234" t="s">
        <v>2041</v>
      </c>
      <c r="L39" s="234" t="s">
        <v>2042</v>
      </c>
      <c r="M39" s="209" t="s">
        <v>2043</v>
      </c>
      <c r="O39" s="220"/>
      <c r="P39" s="183"/>
      <c r="Q39" s="183"/>
    </row>
    <row r="40" spans="1:17" x14ac:dyDescent="0.2">
      <c r="A40" s="218"/>
      <c r="B40" s="186"/>
      <c r="C40" s="186" t="s">
        <v>1551</v>
      </c>
      <c r="D40" s="187">
        <v>1</v>
      </c>
      <c r="E40" s="187"/>
      <c r="F40" s="188"/>
      <c r="G40" s="247"/>
      <c r="H40" s="220"/>
      <c r="I40" s="189" t="s">
        <v>98</v>
      </c>
      <c r="J40" s="236" t="s">
        <v>103</v>
      </c>
      <c r="K40" s="240">
        <v>65</v>
      </c>
      <c r="L40" s="240">
        <v>36</v>
      </c>
      <c r="M40" s="241">
        <v>19</v>
      </c>
      <c r="O40" s="220"/>
      <c r="P40" s="183"/>
      <c r="Q40" s="183"/>
    </row>
    <row r="41" spans="1:17" x14ac:dyDescent="0.2">
      <c r="A41" s="218"/>
      <c r="B41" s="186" t="s">
        <v>425</v>
      </c>
      <c r="C41" s="186" t="s">
        <v>427</v>
      </c>
      <c r="D41" s="187">
        <v>10</v>
      </c>
      <c r="E41" s="187">
        <v>4</v>
      </c>
      <c r="F41" s="188">
        <v>3</v>
      </c>
      <c r="G41" s="247"/>
      <c r="H41" s="220"/>
      <c r="I41" s="239"/>
      <c r="J41" s="236" t="s">
        <v>519</v>
      </c>
      <c r="K41" s="240">
        <v>29</v>
      </c>
      <c r="L41" s="240">
        <v>15</v>
      </c>
      <c r="M41" s="241">
        <v>6</v>
      </c>
      <c r="O41" s="220"/>
      <c r="P41" s="183"/>
      <c r="Q41" s="183"/>
    </row>
    <row r="42" spans="1:17" x14ac:dyDescent="0.2">
      <c r="A42" s="218"/>
      <c r="B42" s="186" t="s">
        <v>441</v>
      </c>
      <c r="C42" s="186" t="s">
        <v>443</v>
      </c>
      <c r="D42" s="187">
        <v>7</v>
      </c>
      <c r="E42" s="187">
        <v>3</v>
      </c>
      <c r="F42" s="188"/>
      <c r="G42" s="247"/>
      <c r="H42" s="220"/>
      <c r="I42" s="199"/>
      <c r="J42" s="236" t="s">
        <v>533</v>
      </c>
      <c r="K42" s="240">
        <v>60</v>
      </c>
      <c r="L42" s="240">
        <v>16</v>
      </c>
      <c r="M42" s="241">
        <v>2</v>
      </c>
      <c r="O42" s="220"/>
      <c r="P42" s="183"/>
      <c r="Q42" s="183"/>
    </row>
    <row r="43" spans="1:17" x14ac:dyDescent="0.2">
      <c r="A43" s="218"/>
      <c r="B43" s="186" t="s">
        <v>454</v>
      </c>
      <c r="C43" s="186" t="s">
        <v>467</v>
      </c>
      <c r="D43" s="187">
        <v>4</v>
      </c>
      <c r="E43" s="187"/>
      <c r="F43" s="188"/>
      <c r="G43" s="247"/>
      <c r="H43" s="220"/>
      <c r="I43" s="267" t="s">
        <v>2022</v>
      </c>
      <c r="J43" s="237"/>
      <c r="K43" s="242">
        <v>154</v>
      </c>
      <c r="L43" s="242">
        <v>67</v>
      </c>
      <c r="M43" s="243">
        <v>27</v>
      </c>
      <c r="O43" s="220"/>
      <c r="P43" s="183"/>
      <c r="Q43" s="183"/>
    </row>
    <row r="44" spans="1:17" x14ac:dyDescent="0.2">
      <c r="A44" s="218"/>
      <c r="B44" s="186"/>
      <c r="C44" s="186" t="s">
        <v>456</v>
      </c>
      <c r="D44" s="187">
        <v>5</v>
      </c>
      <c r="E44" s="187">
        <v>1</v>
      </c>
      <c r="F44" s="188">
        <v>1</v>
      </c>
      <c r="G44" s="247"/>
      <c r="H44" s="220"/>
      <c r="I44" s="189" t="s">
        <v>683</v>
      </c>
      <c r="J44" s="236" t="s">
        <v>103</v>
      </c>
      <c r="K44" s="240">
        <v>10</v>
      </c>
      <c r="L44" s="240">
        <v>6</v>
      </c>
      <c r="M44" s="241">
        <v>3</v>
      </c>
      <c r="O44" s="220"/>
      <c r="P44" s="183"/>
      <c r="Q44" s="183"/>
    </row>
    <row r="45" spans="1:17" x14ac:dyDescent="0.2">
      <c r="A45" s="218"/>
      <c r="B45" s="186" t="s">
        <v>474</v>
      </c>
      <c r="C45" s="186" t="s">
        <v>476</v>
      </c>
      <c r="D45" s="187">
        <v>4</v>
      </c>
      <c r="E45" s="187"/>
      <c r="F45" s="188"/>
      <c r="G45" s="247"/>
      <c r="H45" s="220"/>
      <c r="I45" s="239"/>
      <c r="J45" s="236" t="s">
        <v>519</v>
      </c>
      <c r="K45" s="240">
        <v>1</v>
      </c>
      <c r="L45" s="240"/>
      <c r="M45" s="241"/>
      <c r="O45" s="220"/>
      <c r="P45" s="183"/>
      <c r="Q45" s="183"/>
    </row>
    <row r="46" spans="1:17" x14ac:dyDescent="0.2">
      <c r="A46" s="218"/>
      <c r="B46" s="263" t="s">
        <v>1949</v>
      </c>
      <c r="C46" s="264"/>
      <c r="D46" s="265">
        <v>195</v>
      </c>
      <c r="E46" s="265">
        <v>79</v>
      </c>
      <c r="F46" s="266">
        <v>30</v>
      </c>
      <c r="G46" s="248"/>
      <c r="H46" s="221"/>
      <c r="I46" s="199"/>
      <c r="J46" s="236" t="s">
        <v>533</v>
      </c>
      <c r="K46" s="240">
        <v>30</v>
      </c>
      <c r="L46" s="240">
        <v>6</v>
      </c>
      <c r="M46" s="241"/>
      <c r="O46" s="221"/>
      <c r="P46" s="217"/>
      <c r="Q46" s="217"/>
    </row>
    <row r="47" spans="1:17" x14ac:dyDescent="0.2">
      <c r="A47" s="200"/>
      <c r="B47" s="207"/>
      <c r="C47" s="207"/>
      <c r="D47" s="207"/>
      <c r="E47" s="207"/>
      <c r="F47" s="207"/>
      <c r="G47" s="199"/>
      <c r="H47" s="218"/>
      <c r="I47" s="267" t="s">
        <v>2022</v>
      </c>
      <c r="J47" s="237"/>
      <c r="K47" s="242">
        <v>41</v>
      </c>
      <c r="L47" s="242">
        <v>12</v>
      </c>
      <c r="M47" s="243">
        <v>3</v>
      </c>
      <c r="O47" s="218"/>
      <c r="P47" s="182"/>
      <c r="Q47" s="182"/>
    </row>
    <row r="48" spans="1:17" x14ac:dyDescent="0.2">
      <c r="D48" s="212">
        <f>+D46</f>
        <v>195</v>
      </c>
      <c r="E48" s="212">
        <f t="shared" ref="E48:F48" si="0">+E46</f>
        <v>79</v>
      </c>
      <c r="F48" s="212">
        <f t="shared" si="0"/>
        <v>30</v>
      </c>
      <c r="G48" s="212"/>
      <c r="H48" s="222"/>
      <c r="I48" s="192" t="s">
        <v>1949</v>
      </c>
      <c r="J48" s="238"/>
      <c r="K48" s="193">
        <v>195</v>
      </c>
      <c r="L48" s="193">
        <v>79</v>
      </c>
      <c r="M48" s="194">
        <v>30</v>
      </c>
      <c r="O48" s="222"/>
      <c r="P48" s="229"/>
      <c r="Q48" s="229"/>
    </row>
    <row r="49" spans="4:14" x14ac:dyDescent="0.2">
      <c r="D49" s="213">
        <f>+D48-E48</f>
        <v>116</v>
      </c>
      <c r="E49" s="213">
        <f>+E48-F49</f>
        <v>64</v>
      </c>
      <c r="F49" s="213">
        <v>15</v>
      </c>
      <c r="G49" s="213"/>
      <c r="H49" s="244"/>
      <c r="I49" s="245"/>
      <c r="J49" s="245"/>
      <c r="K49" s="245"/>
      <c r="L49" s="207"/>
      <c r="M49" s="207"/>
      <c r="N49" s="199"/>
    </row>
    <row r="50" spans="4:14" x14ac:dyDescent="0.2">
      <c r="D50" s="213" t="s">
        <v>2058</v>
      </c>
      <c r="E50" s="213" t="s">
        <v>2059</v>
      </c>
      <c r="F50" s="213" t="s">
        <v>2060</v>
      </c>
      <c r="G50" s="213"/>
      <c r="H50" s="213"/>
      <c r="I50" s="213"/>
      <c r="J50" s="213"/>
      <c r="K50" s="213"/>
    </row>
  </sheetData>
  <pageMargins left="0.7" right="0.7" top="0.75" bottom="0.75" header="0.3" footer="0.3"/>
  <pageSetup orientation="portrait" horizontalDpi="4294967295" verticalDpi="4294967295" r:id="rId8"/>
  <drawing r:id="rId9"/>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tabColor rgb="FF0070C0"/>
  </sheetPr>
  <dimension ref="B1:AV113"/>
  <sheetViews>
    <sheetView zoomScaleNormal="100" workbookViewId="0">
      <selection activeCell="F108" sqref="F108:M11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155</v>
      </c>
      <c r="O10" s="2"/>
    </row>
    <row r="11" spans="2:24" ht="3.95" customHeight="1" x14ac:dyDescent="0.25">
      <c r="B11" s="2"/>
      <c r="D11" s="6"/>
      <c r="O11" s="2"/>
    </row>
    <row r="12" spans="2:24" ht="36" customHeight="1" x14ac:dyDescent="0.25">
      <c r="B12" s="2"/>
      <c r="D12" s="338" t="s">
        <v>5</v>
      </c>
      <c r="E12" s="339"/>
      <c r="F12" s="417" t="s">
        <v>156</v>
      </c>
      <c r="G12" s="418"/>
      <c r="H12" s="418"/>
      <c r="I12" s="418"/>
      <c r="J12" s="418"/>
      <c r="K12" s="418"/>
      <c r="L12" s="418"/>
      <c r="M12" s="419"/>
      <c r="O12" s="2"/>
      <c r="W12" s="3" t="str">
        <f>+F23</f>
        <v>Trimestral</v>
      </c>
      <c r="X12" s="3" t="str">
        <f>+F71</f>
        <v>Septiembre</v>
      </c>
    </row>
    <row r="13" spans="2:24" ht="3.95" customHeight="1" x14ac:dyDescent="0.25">
      <c r="B13" s="2"/>
      <c r="O13" s="2"/>
    </row>
    <row r="14" spans="2:24" ht="36" customHeight="1" x14ac:dyDescent="0.25">
      <c r="B14" s="2"/>
      <c r="D14" s="338" t="s">
        <v>6</v>
      </c>
      <c r="E14" s="339"/>
      <c r="F14" s="340" t="s">
        <v>1750</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8">
        <v>3790</v>
      </c>
      <c r="G22" s="337" t="s">
        <v>9</v>
      </c>
      <c r="H22" s="337"/>
      <c r="I22" s="8">
        <v>4000</v>
      </c>
      <c r="K22" s="337" t="s">
        <v>10</v>
      </c>
      <c r="L22" s="337"/>
      <c r="M22" s="9" t="s">
        <v>496</v>
      </c>
      <c r="O22" s="2"/>
    </row>
    <row r="23" spans="2:17" ht="19.5" customHeight="1" x14ac:dyDescent="0.25">
      <c r="B23" s="2"/>
      <c r="D23" s="337" t="s">
        <v>11</v>
      </c>
      <c r="E23" s="337"/>
      <c r="F23" s="4" t="s">
        <v>71</v>
      </c>
      <c r="G23" s="337" t="s">
        <v>12</v>
      </c>
      <c r="H23" s="337"/>
      <c r="I23" s="4" t="s">
        <v>553</v>
      </c>
      <c r="K23" s="337" t="s">
        <v>13</v>
      </c>
      <c r="L23" s="337"/>
      <c r="M23" s="9" t="s">
        <v>496</v>
      </c>
      <c r="O23" s="2"/>
    </row>
    <row r="24" spans="2:17" ht="20.100000000000001" customHeight="1" x14ac:dyDescent="0.25">
      <c r="B24" s="2"/>
      <c r="D24" s="337" t="s">
        <v>14</v>
      </c>
      <c r="E24" s="337"/>
      <c r="F24" s="4" t="s">
        <v>498</v>
      </c>
      <c r="G24" s="337" t="s">
        <v>15</v>
      </c>
      <c r="H24" s="337"/>
      <c r="I24" s="4" t="s">
        <v>519</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99</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NA</v>
      </c>
    </row>
    <row r="31" spans="2:17" ht="24" customHeight="1" x14ac:dyDescent="0.25">
      <c r="B31" s="2"/>
      <c r="D31" s="347"/>
      <c r="E31" s="348"/>
      <c r="F31" s="4" t="s">
        <v>144</v>
      </c>
      <c r="G31" s="340" t="s">
        <v>145</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500</v>
      </c>
      <c r="G33" s="340"/>
      <c r="H33" s="341"/>
      <c r="I33" s="341"/>
      <c r="J33" s="341"/>
      <c r="K33" s="341"/>
      <c r="L33" s="341"/>
      <c r="M33" s="342"/>
      <c r="O33" s="2"/>
      <c r="Q33" s="3" t="str">
        <f>+IFERROR(IF(VLOOKUP(G33,base!$A$26:$C$40,3,FALSE)=F31,1,0),"")</f>
        <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1712</v>
      </c>
      <c r="G35" s="340" t="s">
        <v>1588</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501</v>
      </c>
      <c r="G45" s="340" t="s">
        <v>502</v>
      </c>
      <c r="H45" s="341"/>
      <c r="I45" s="341"/>
      <c r="J45" s="341"/>
      <c r="K45" s="341"/>
      <c r="L45" s="341"/>
      <c r="M45" s="342"/>
      <c r="O45" s="2"/>
      <c r="Q45" s="3" t="str">
        <f>+IFERROR(VLOOKUP(G45,base!$A$41:$C$45,3,FALSE),"")</f>
        <v>misional</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503</v>
      </c>
      <c r="G47" s="340" t="s">
        <v>504</v>
      </c>
      <c r="H47" s="341"/>
      <c r="I47" s="341"/>
      <c r="J47" s="341"/>
      <c r="K47" s="341"/>
      <c r="L47" s="341"/>
      <c r="M47" s="342"/>
      <c r="O47" s="2"/>
      <c r="Q47" s="3">
        <f>+IF(VLOOKUP(G47,base!$A$46:$C$66,3,FALSE)=F45,1,0)</f>
        <v>1</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535</v>
      </c>
      <c r="G49" s="340" t="s">
        <v>30</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496</v>
      </c>
      <c r="G51" s="337" t="s">
        <v>32</v>
      </c>
      <c r="H51" s="337"/>
      <c r="I51" s="8">
        <v>15042</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48.75" customHeight="1" x14ac:dyDescent="0.25">
      <c r="B59" s="2"/>
      <c r="D59" s="337" t="s">
        <v>34</v>
      </c>
      <c r="E59" s="337"/>
      <c r="F59" s="344" t="s">
        <v>1738</v>
      </c>
      <c r="G59" s="344"/>
      <c r="H59" s="344"/>
      <c r="I59" s="344"/>
      <c r="J59" s="344"/>
      <c r="K59" s="344"/>
      <c r="L59" s="344"/>
      <c r="M59" s="344"/>
      <c r="O59" s="2"/>
    </row>
    <row r="60" spans="2:15" ht="41.25" customHeight="1" x14ac:dyDescent="0.25">
      <c r="B60" s="2"/>
      <c r="D60" s="359" t="s">
        <v>35</v>
      </c>
      <c r="E60" s="359"/>
      <c r="F60" s="344" t="s">
        <v>560</v>
      </c>
      <c r="G60" s="344"/>
      <c r="H60" s="344"/>
      <c r="I60" s="344"/>
      <c r="J60" s="344"/>
      <c r="K60" s="344"/>
      <c r="L60" s="344"/>
      <c r="M60" s="344"/>
      <c r="O60" s="2"/>
    </row>
    <row r="61" spans="2:15" ht="27" customHeight="1" x14ac:dyDescent="0.25">
      <c r="B61" s="2"/>
      <c r="D61" s="359" t="s">
        <v>36</v>
      </c>
      <c r="E61" s="359"/>
      <c r="F61" s="344" t="s">
        <v>1737</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43" t="s">
        <v>39</v>
      </c>
      <c r="E71" s="343"/>
      <c r="F71" s="4" t="s">
        <v>55</v>
      </c>
      <c r="G71" s="3">
        <v>9</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60" t="s">
        <v>50</v>
      </c>
      <c r="E80" s="360"/>
      <c r="F80" s="16" t="s">
        <v>500</v>
      </c>
      <c r="G80" s="16" t="s">
        <v>500</v>
      </c>
      <c r="H80" s="16" t="s">
        <v>500</v>
      </c>
      <c r="I80" s="16" t="s">
        <v>500</v>
      </c>
      <c r="J80" s="16" t="s">
        <v>500</v>
      </c>
      <c r="K80" s="16" t="s">
        <v>500</v>
      </c>
      <c r="L80" s="16" t="s">
        <v>500</v>
      </c>
      <c r="M80" s="16" t="s">
        <v>500</v>
      </c>
      <c r="O80" s="2"/>
      <c r="AE80" s="3" t="s">
        <v>50</v>
      </c>
      <c r="AF80" s="3">
        <v>6</v>
      </c>
      <c r="AG80" s="3">
        <f t="shared" si="0"/>
        <v>0</v>
      </c>
      <c r="AH80" s="3">
        <f>+IF(AG80=0,0,IF(AG80=1,(SUM($AG$75:AG80)-1),1))</f>
        <v>0</v>
      </c>
      <c r="AI80" s="3">
        <f t="shared" si="1"/>
        <v>0</v>
      </c>
      <c r="AJ80" s="3">
        <f t="shared" si="2"/>
        <v>0</v>
      </c>
      <c r="AK80" s="3">
        <f t="shared" si="3"/>
        <v>0</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0</v>
      </c>
      <c r="AH81" s="3">
        <f>+IF(AG81=0,0,IF(AG81=1,(SUM($AG$75:AG81)-1),1))</f>
        <v>0</v>
      </c>
      <c r="AI81" s="3">
        <f t="shared" si="1"/>
        <v>0</v>
      </c>
      <c r="AJ81" s="3">
        <f t="shared" si="2"/>
        <v>0</v>
      </c>
      <c r="AK81" s="3">
        <f t="shared" si="3"/>
        <v>0</v>
      </c>
    </row>
    <row r="82" spans="2:37" x14ac:dyDescent="0.25">
      <c r="B82" s="2"/>
      <c r="D82" s="360" t="s">
        <v>54</v>
      </c>
      <c r="E82" s="360"/>
      <c r="F82" s="16" t="s">
        <v>500</v>
      </c>
      <c r="G82" s="16" t="s">
        <v>500</v>
      </c>
      <c r="H82" s="16" t="s">
        <v>500</v>
      </c>
      <c r="I82" s="16" t="s">
        <v>500</v>
      </c>
      <c r="J82" s="16" t="s">
        <v>500</v>
      </c>
      <c r="K82" s="16" t="s">
        <v>500</v>
      </c>
      <c r="L82" s="16" t="s">
        <v>500</v>
      </c>
      <c r="M82" s="16" t="s">
        <v>500</v>
      </c>
      <c r="O82" s="2"/>
      <c r="AE82" s="3" t="s">
        <v>54</v>
      </c>
      <c r="AF82" s="3">
        <v>8</v>
      </c>
      <c r="AG82" s="3">
        <f t="shared" si="0"/>
        <v>0</v>
      </c>
      <c r="AH82" s="3">
        <f>+IF(AG82=0,0,IF(AG82=1,(SUM($AG$75:AG82)-1),1))</f>
        <v>0</v>
      </c>
      <c r="AI82" s="3">
        <f t="shared" si="1"/>
        <v>0</v>
      </c>
      <c r="AJ82" s="3">
        <f t="shared" si="2"/>
        <v>0</v>
      </c>
      <c r="AK82" s="3">
        <f t="shared" si="3"/>
        <v>0</v>
      </c>
    </row>
    <row r="83" spans="2:37" x14ac:dyDescent="0.25">
      <c r="B83" s="2"/>
      <c r="D83" s="360" t="s">
        <v>55</v>
      </c>
      <c r="E83" s="360"/>
      <c r="F83" s="16" t="s">
        <v>500</v>
      </c>
      <c r="G83" s="16">
        <v>0.129</v>
      </c>
      <c r="H83" s="16">
        <v>0.13</v>
      </c>
      <c r="I83" s="16">
        <v>0.249</v>
      </c>
      <c r="J83" s="16">
        <v>0.25</v>
      </c>
      <c r="K83" s="16">
        <v>0.499</v>
      </c>
      <c r="L83" s="16">
        <v>0.5</v>
      </c>
      <c r="M83" s="16" t="s">
        <v>500</v>
      </c>
      <c r="O83" s="2"/>
      <c r="AE83" s="3" t="s">
        <v>55</v>
      </c>
      <c r="AF83" s="3">
        <v>9</v>
      </c>
      <c r="AG83" s="3">
        <f t="shared" si="0"/>
        <v>1</v>
      </c>
      <c r="AH83" s="3">
        <f>+IF(AG83=0,0,IF(AG83=1,(SUM($AG$75:AG83)-1),1))</f>
        <v>0</v>
      </c>
      <c r="AI83" s="3">
        <f t="shared" si="1"/>
        <v>0</v>
      </c>
      <c r="AJ83" s="3">
        <f t="shared" si="2"/>
        <v>1</v>
      </c>
      <c r="AK83" s="3">
        <f t="shared" si="3"/>
        <v>1</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1</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2</v>
      </c>
      <c r="AI85" s="3">
        <f t="shared" si="1"/>
        <v>0</v>
      </c>
      <c r="AJ85" s="3">
        <f t="shared" si="2"/>
        <v>0</v>
      </c>
      <c r="AK85" s="3">
        <f t="shared" si="3"/>
        <v>0</v>
      </c>
    </row>
    <row r="86" spans="2:37" x14ac:dyDescent="0.25">
      <c r="B86" s="2"/>
      <c r="D86" s="360" t="s">
        <v>58</v>
      </c>
      <c r="E86" s="360"/>
      <c r="F86" s="16" t="s">
        <v>500</v>
      </c>
      <c r="G86" s="16">
        <v>0.499</v>
      </c>
      <c r="H86" s="16">
        <v>0.5</v>
      </c>
      <c r="I86" s="16">
        <v>0.77900000000000003</v>
      </c>
      <c r="J86" s="16">
        <v>0.78</v>
      </c>
      <c r="K86" s="16">
        <v>0.999</v>
      </c>
      <c r="L86" s="16">
        <v>1</v>
      </c>
      <c r="M86" s="16" t="s">
        <v>500</v>
      </c>
      <c r="O86" s="2"/>
      <c r="AE86" s="3" t="s">
        <v>58</v>
      </c>
      <c r="AF86" s="65">
        <v>12</v>
      </c>
      <c r="AG86" s="3">
        <f t="shared" si="0"/>
        <v>1</v>
      </c>
      <c r="AH86" s="3">
        <f>+IF(AG86=0,0,IF(AG86=1,(SUM($AG$75:AG86)-1),1))</f>
        <v>3</v>
      </c>
      <c r="AI86" s="3">
        <f t="shared" si="1"/>
        <v>1</v>
      </c>
      <c r="AJ86" s="3">
        <f t="shared" si="2"/>
        <v>0</v>
      </c>
      <c r="AK86" s="3">
        <f t="shared" si="3"/>
        <v>1</v>
      </c>
    </row>
    <row r="87" spans="2:37" ht="3.75" customHeight="1" x14ac:dyDescent="0.25">
      <c r="B87" s="2"/>
      <c r="O87" s="2"/>
    </row>
    <row r="88" spans="2:37" ht="66" customHeight="1" x14ac:dyDescent="0.25">
      <c r="B88" s="2"/>
      <c r="D88" s="338" t="s">
        <v>59</v>
      </c>
      <c r="E88" s="339"/>
      <c r="F88" s="340"/>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4.25" customHeight="1" x14ac:dyDescent="0.25">
      <c r="B97" s="2"/>
      <c r="D97" s="359" t="s">
        <v>35</v>
      </c>
      <c r="E97" s="359"/>
      <c r="F97" s="344" t="s">
        <v>561</v>
      </c>
      <c r="G97" s="344"/>
      <c r="H97" s="344"/>
      <c r="I97" s="344"/>
      <c r="J97" s="344"/>
      <c r="K97" s="344"/>
      <c r="L97" s="344"/>
      <c r="M97" s="344"/>
      <c r="O97" s="2"/>
    </row>
    <row r="98" spans="2:15" ht="28.5" customHeight="1" x14ac:dyDescent="0.25">
      <c r="B98" s="2"/>
      <c r="D98" s="359" t="s">
        <v>36</v>
      </c>
      <c r="E98" s="359"/>
      <c r="F98" s="344" t="s">
        <v>1736</v>
      </c>
      <c r="G98" s="344"/>
      <c r="H98" s="344"/>
      <c r="I98" s="344"/>
      <c r="J98" s="344"/>
      <c r="K98" s="344"/>
      <c r="L98" s="344"/>
      <c r="M98" s="344"/>
      <c r="O98" s="2"/>
    </row>
    <row r="99" spans="2:15" ht="3.95" customHeight="1" x14ac:dyDescent="0.25">
      <c r="B99" s="2"/>
      <c r="O99" s="2"/>
    </row>
    <row r="100" spans="2:15" ht="141" customHeight="1" x14ac:dyDescent="0.25">
      <c r="B100" s="2"/>
      <c r="D100" s="338" t="s">
        <v>62</v>
      </c>
      <c r="E100" s="339"/>
      <c r="F100" s="340" t="s">
        <v>105</v>
      </c>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496</v>
      </c>
      <c r="K102" s="20"/>
      <c r="O102" s="2"/>
    </row>
    <row r="103" spans="2:15" ht="19.5" customHeight="1" x14ac:dyDescent="0.25">
      <c r="B103" s="2"/>
      <c r="D103" s="331"/>
      <c r="E103" s="332"/>
      <c r="F103" s="19" t="s">
        <v>66</v>
      </c>
      <c r="G103" s="4" t="s">
        <v>1734</v>
      </c>
      <c r="K103" s="21"/>
      <c r="O103" s="2"/>
    </row>
    <row r="104" spans="2:15" ht="27.75" customHeight="1" x14ac:dyDescent="0.25">
      <c r="B104" s="2"/>
      <c r="D104" s="331"/>
      <c r="E104" s="332"/>
      <c r="F104" s="19" t="s">
        <v>67</v>
      </c>
      <c r="G104" s="365" t="s">
        <v>1735</v>
      </c>
      <c r="H104" s="366"/>
      <c r="I104" s="366"/>
      <c r="J104" s="366"/>
      <c r="K104" s="366"/>
      <c r="L104" s="366"/>
      <c r="M104" s="367"/>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65" t="str">
        <f>+VLOOKUP(H10,tablero!$P$5:$R$201,3,FALSE)</f>
        <v xml:space="preserve">Director(a) Niñez y Adolescencia </v>
      </c>
      <c r="H108" s="366"/>
      <c r="I108" s="366"/>
      <c r="J108" s="366"/>
      <c r="K108" s="366"/>
      <c r="L108" s="366"/>
      <c r="M108" s="367"/>
      <c r="O108" s="2"/>
    </row>
    <row r="109" spans="2:15" ht="17.25" customHeight="1" x14ac:dyDescent="0.25">
      <c r="B109" s="2"/>
      <c r="D109" s="331"/>
      <c r="E109" s="332"/>
      <c r="F109" s="19" t="s">
        <v>2042</v>
      </c>
      <c r="G109" s="365" t="str">
        <f>+IF(M23="Si","Coordinador(a) Planeación y Sistemas","")</f>
        <v>Coordinador(a) Planeación y Sistemas</v>
      </c>
      <c r="H109" s="366"/>
      <c r="I109" s="366"/>
      <c r="J109" s="366"/>
      <c r="K109" s="366"/>
      <c r="L109" s="366"/>
      <c r="M109" s="367"/>
      <c r="O109" s="2"/>
    </row>
    <row r="110" spans="2:15" ht="17.25" customHeight="1" x14ac:dyDescent="0.25">
      <c r="B110" s="2"/>
      <c r="D110" s="331"/>
      <c r="E110" s="332"/>
      <c r="F110" s="19" t="s">
        <v>2043</v>
      </c>
      <c r="G110" s="365" t="str">
        <f>+IF(M24="Si","Coordinador(a) Centro Zonal","")</f>
        <v/>
      </c>
      <c r="H110" s="366"/>
      <c r="I110" s="366"/>
      <c r="J110" s="366"/>
      <c r="K110" s="366"/>
      <c r="L110" s="366"/>
      <c r="M110" s="367"/>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F51 G102">
    <cfRule type="expression" dxfId="3078" priority="29">
      <formula>+IF($F$43="no",1,0)</formula>
    </cfRule>
  </conditionalFormatting>
  <conditionalFormatting sqref="F32:M33">
    <cfRule type="expression" dxfId="3077" priority="28">
      <formula>+IF($Q$30="NA",1,0)</formula>
    </cfRule>
  </conditionalFormatting>
  <conditionalFormatting sqref="F33:M33">
    <cfRule type="expression" dxfId="3076" priority="27">
      <formula>+IF($Q$33=0,1,0)</formula>
    </cfRule>
  </conditionalFormatting>
  <conditionalFormatting sqref="F47:M47">
    <cfRule type="expression" dxfId="3075" priority="26">
      <formula>+IF($Q$47=0,1,0)</formula>
    </cfRule>
  </conditionalFormatting>
  <conditionalFormatting sqref="F73:G73">
    <cfRule type="cellIs" dxfId="3074" priority="12" operator="equal">
      <formula>"optimo"</formula>
    </cfRule>
    <cfRule type="cellIs" dxfId="3073" priority="13" operator="equal">
      <formula>"critico"</formula>
    </cfRule>
  </conditionalFormatting>
  <conditionalFormatting sqref="H73:I73">
    <cfRule type="cellIs" dxfId="3072" priority="10" operator="equal">
      <formula>"Adecuado"</formula>
    </cfRule>
    <cfRule type="cellIs" dxfId="3071" priority="11" operator="equal">
      <formula>"en riesgo"</formula>
    </cfRule>
  </conditionalFormatting>
  <conditionalFormatting sqref="J73:K73">
    <cfRule type="cellIs" dxfId="3070" priority="8" operator="equal">
      <formula>"Adecuado"</formula>
    </cfRule>
    <cfRule type="cellIs" dxfId="3069" priority="9" operator="equal">
      <formula>"en riesgo"</formula>
    </cfRule>
  </conditionalFormatting>
  <conditionalFormatting sqref="L73:M73">
    <cfRule type="cellIs" dxfId="3068" priority="6" operator="equal">
      <formula>"optimo"</formula>
    </cfRule>
    <cfRule type="cellIs" dxfId="3067" priority="7" operator="equal">
      <formula>"critico"</formula>
    </cfRule>
  </conditionalFormatting>
  <conditionalFormatting sqref="F75:M86">
    <cfRule type="expression" dxfId="3066" priority="5">
      <formula>+IF($AK75=0,1)</formula>
    </cfRule>
  </conditionalFormatting>
  <conditionalFormatting sqref="F103:G104">
    <cfRule type="expression" dxfId="3065" priority="4">
      <formula>+IF($G$102="No",1,0)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tabColor rgb="FF0070C0"/>
  </sheetPr>
  <dimension ref="B1:AV113"/>
  <sheetViews>
    <sheetView zoomScaleNormal="100" workbookViewId="0">
      <selection activeCell="P1" sqref="P1"/>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157</v>
      </c>
      <c r="O10" s="2"/>
    </row>
    <row r="11" spans="2:24" ht="3.95" customHeight="1" x14ac:dyDescent="0.25">
      <c r="B11" s="2"/>
      <c r="D11" s="6"/>
      <c r="O11" s="2"/>
    </row>
    <row r="12" spans="2:24" ht="36" customHeight="1" x14ac:dyDescent="0.25">
      <c r="B12" s="2"/>
      <c r="D12" s="338" t="s">
        <v>5</v>
      </c>
      <c r="E12" s="339"/>
      <c r="F12" s="340" t="s">
        <v>158</v>
      </c>
      <c r="G12" s="341"/>
      <c r="H12" s="341"/>
      <c r="I12" s="341"/>
      <c r="J12" s="341"/>
      <c r="K12" s="341"/>
      <c r="L12" s="341"/>
      <c r="M12" s="342"/>
      <c r="O12" s="2"/>
      <c r="W12" s="3" t="str">
        <f>+F23</f>
        <v>Mensual</v>
      </c>
      <c r="X12" s="3" t="str">
        <f>+F71</f>
        <v>Marzo</v>
      </c>
    </row>
    <row r="13" spans="2:24" ht="3.95" customHeight="1" x14ac:dyDescent="0.25">
      <c r="B13" s="2"/>
      <c r="O13" s="2"/>
    </row>
    <row r="14" spans="2:24" ht="36" customHeight="1" x14ac:dyDescent="0.25">
      <c r="B14" s="2"/>
      <c r="D14" s="338" t="s">
        <v>6</v>
      </c>
      <c r="E14" s="339"/>
      <c r="F14" s="340" t="s">
        <v>1708</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8">
        <v>199979</v>
      </c>
      <c r="G22" s="337" t="s">
        <v>9</v>
      </c>
      <c r="H22" s="337"/>
      <c r="I22" s="8">
        <v>210295</v>
      </c>
      <c r="K22" s="337" t="s">
        <v>10</v>
      </c>
      <c r="L22" s="337"/>
      <c r="M22" s="9" t="s">
        <v>496</v>
      </c>
      <c r="O22" s="2"/>
    </row>
    <row r="23" spans="2:17" ht="19.5" customHeight="1" x14ac:dyDescent="0.25">
      <c r="B23" s="2"/>
      <c r="D23" s="337" t="s">
        <v>11</v>
      </c>
      <c r="E23" s="337"/>
      <c r="F23" s="4" t="s">
        <v>84</v>
      </c>
      <c r="G23" s="337" t="s">
        <v>12</v>
      </c>
      <c r="H23" s="337"/>
      <c r="I23" s="4" t="s">
        <v>553</v>
      </c>
      <c r="K23" s="337" t="s">
        <v>13</v>
      </c>
      <c r="L23" s="337"/>
      <c r="M23" s="9" t="s">
        <v>496</v>
      </c>
      <c r="O23" s="2"/>
    </row>
    <row r="24" spans="2:17" ht="20.100000000000001" customHeight="1" x14ac:dyDescent="0.25">
      <c r="B24" s="2"/>
      <c r="D24" s="337" t="s">
        <v>14</v>
      </c>
      <c r="E24" s="337"/>
      <c r="F24" s="4" t="s">
        <v>498</v>
      </c>
      <c r="G24" s="337" t="s">
        <v>15</v>
      </c>
      <c r="H24" s="337"/>
      <c r="I24" s="4" t="s">
        <v>519</v>
      </c>
      <c r="K24" s="337" t="s">
        <v>16</v>
      </c>
      <c r="L24" s="337"/>
      <c r="M24" s="9" t="s">
        <v>496</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99</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NA</v>
      </c>
    </row>
    <row r="31" spans="2:17" ht="24" customHeight="1" x14ac:dyDescent="0.25">
      <c r="B31" s="2"/>
      <c r="D31" s="347"/>
      <c r="E31" s="348"/>
      <c r="F31" s="4" t="s">
        <v>144</v>
      </c>
      <c r="G31" s="340" t="s">
        <v>145</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500</v>
      </c>
      <c r="G33" s="340"/>
      <c r="H33" s="341"/>
      <c r="I33" s="341"/>
      <c r="J33" s="341"/>
      <c r="K33" s="341"/>
      <c r="L33" s="341"/>
      <c r="M33" s="342"/>
      <c r="O33" s="2"/>
      <c r="Q33" s="3" t="str">
        <f>+IFERROR(IF(VLOOKUP(G33,base!$A$26:$C$40,3,FALSE)=F31,1,0),"")</f>
        <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1712</v>
      </c>
      <c r="G35" s="340" t="s">
        <v>1588</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501</v>
      </c>
      <c r="G45" s="340" t="s">
        <v>502</v>
      </c>
      <c r="H45" s="341"/>
      <c r="I45" s="341"/>
      <c r="J45" s="341"/>
      <c r="K45" s="341"/>
      <c r="L45" s="341"/>
      <c r="M45" s="342"/>
      <c r="O45" s="2"/>
      <c r="Q45" s="3" t="str">
        <f>+IFERROR(VLOOKUP(G45,base!$A$41:$C$45,3,FALSE),"")</f>
        <v>misional</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503</v>
      </c>
      <c r="G47" s="340" t="s">
        <v>504</v>
      </c>
      <c r="H47" s="341"/>
      <c r="I47" s="341"/>
      <c r="J47" s="341"/>
      <c r="K47" s="341"/>
      <c r="L47" s="341"/>
      <c r="M47" s="342"/>
      <c r="O47" s="2"/>
      <c r="Q47" s="3">
        <f>+IF(VLOOKUP(G47,base!$A$46:$C$66,3,FALSE)=F45,1,0)</f>
        <v>1</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555</v>
      </c>
      <c r="G49" s="340" t="s">
        <v>100</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496</v>
      </c>
      <c r="G51" s="337" t="s">
        <v>32</v>
      </c>
      <c r="H51" s="337"/>
      <c r="I51" s="8">
        <v>1000000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5.5" customHeight="1" x14ac:dyDescent="0.25">
      <c r="B59" s="2"/>
      <c r="D59" s="337" t="s">
        <v>34</v>
      </c>
      <c r="E59" s="337"/>
      <c r="F59" s="344" t="s">
        <v>2188</v>
      </c>
      <c r="G59" s="344"/>
      <c r="H59" s="344"/>
      <c r="I59" s="344"/>
      <c r="J59" s="344"/>
      <c r="K59" s="344"/>
      <c r="L59" s="344"/>
      <c r="M59" s="344"/>
      <c r="O59" s="2"/>
    </row>
    <row r="60" spans="2:15" ht="27" customHeight="1" x14ac:dyDescent="0.25">
      <c r="B60" s="2"/>
      <c r="D60" s="359" t="s">
        <v>35</v>
      </c>
      <c r="E60" s="359"/>
      <c r="F60" s="344" t="s">
        <v>2189</v>
      </c>
      <c r="G60" s="344"/>
      <c r="H60" s="344"/>
      <c r="I60" s="344"/>
      <c r="J60" s="344"/>
      <c r="K60" s="344"/>
      <c r="L60" s="344"/>
      <c r="M60" s="344"/>
      <c r="O60" s="2"/>
    </row>
    <row r="61" spans="2:15" ht="27" customHeight="1" x14ac:dyDescent="0.25">
      <c r="B61" s="2"/>
      <c r="D61" s="359" t="s">
        <v>36</v>
      </c>
      <c r="E61" s="359"/>
      <c r="F61" s="344" t="s">
        <v>2190</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43" t="s">
        <v>39</v>
      </c>
      <c r="E71" s="343"/>
      <c r="F71" s="4" t="s">
        <v>47</v>
      </c>
      <c r="G71" s="3">
        <v>3</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v>0.02</v>
      </c>
      <c r="H77" s="16">
        <v>2.1000000000000001E-2</v>
      </c>
      <c r="I77" s="16">
        <v>0.03</v>
      </c>
      <c r="J77" s="16">
        <v>3.1E-2</v>
      </c>
      <c r="K77" s="16">
        <v>4.9000000000000002E-2</v>
      </c>
      <c r="L77" s="16">
        <v>0.05</v>
      </c>
      <c r="M77" s="16" t="s">
        <v>500</v>
      </c>
      <c r="O77" s="2"/>
      <c r="AE77" s="3" t="s">
        <v>47</v>
      </c>
      <c r="AF77" s="3">
        <v>3</v>
      </c>
      <c r="AG77" s="3">
        <f t="shared" si="0"/>
        <v>1</v>
      </c>
      <c r="AH77" s="3">
        <f>+IF(AG77=0,0,IF(AG77=1,(SUM($AG$75:AG77)-1),1))</f>
        <v>0</v>
      </c>
      <c r="AI77" s="3">
        <f t="shared" si="1"/>
        <v>0</v>
      </c>
      <c r="AJ77" s="3">
        <f t="shared" si="2"/>
        <v>1</v>
      </c>
      <c r="AK77" s="3">
        <f t="shared" si="3"/>
        <v>1</v>
      </c>
    </row>
    <row r="78" spans="2:37" x14ac:dyDescent="0.25">
      <c r="B78" s="2"/>
      <c r="D78" s="360" t="s">
        <v>48</v>
      </c>
      <c r="E78" s="360"/>
      <c r="F78" s="16" t="s">
        <v>500</v>
      </c>
      <c r="G78" s="16">
        <v>0.06</v>
      </c>
      <c r="H78" s="16">
        <v>6.0999999999999999E-2</v>
      </c>
      <c r="I78" s="16">
        <v>7.0000000000000007E-2</v>
      </c>
      <c r="J78" s="16">
        <v>7.1000000000000008E-2</v>
      </c>
      <c r="K78" s="16">
        <v>8.8999999999999996E-2</v>
      </c>
      <c r="L78" s="16">
        <v>0.09</v>
      </c>
      <c r="M78" s="16" t="s">
        <v>500</v>
      </c>
      <c r="O78" s="2"/>
      <c r="AE78" s="3" t="s">
        <v>48</v>
      </c>
      <c r="AF78" s="3">
        <v>4</v>
      </c>
      <c r="AG78" s="3">
        <f t="shared" si="0"/>
        <v>1</v>
      </c>
      <c r="AH78" s="3">
        <f>+IF(AG78=0,0,IF(AG78=1,(SUM($AG$75:AG78)-1),1))</f>
        <v>1</v>
      </c>
      <c r="AI78" s="3">
        <f t="shared" si="1"/>
        <v>1</v>
      </c>
      <c r="AJ78" s="3">
        <f t="shared" si="2"/>
        <v>0</v>
      </c>
      <c r="AK78" s="3">
        <f t="shared" si="3"/>
        <v>1</v>
      </c>
    </row>
    <row r="79" spans="2:37" x14ac:dyDescent="0.25">
      <c r="B79" s="2"/>
      <c r="D79" s="360" t="s">
        <v>49</v>
      </c>
      <c r="E79" s="360"/>
      <c r="F79" s="16" t="s">
        <v>500</v>
      </c>
      <c r="G79" s="16">
        <v>0.06</v>
      </c>
      <c r="H79" s="16">
        <v>6.0999999999999999E-2</v>
      </c>
      <c r="I79" s="16">
        <v>7.0000000000000007E-2</v>
      </c>
      <c r="J79" s="16">
        <v>7.1000000000000008E-2</v>
      </c>
      <c r="K79" s="16">
        <v>8.8999999999999996E-2</v>
      </c>
      <c r="L79" s="16">
        <v>0.09</v>
      </c>
      <c r="O79" s="2"/>
      <c r="AE79" s="3" t="s">
        <v>49</v>
      </c>
      <c r="AF79" s="3">
        <v>5</v>
      </c>
      <c r="AG79" s="3">
        <f t="shared" si="0"/>
        <v>1</v>
      </c>
      <c r="AH79" s="3">
        <f>+IF(AG79=0,0,IF(AG79=1,(SUM($AG$75:AG79)-1),1))</f>
        <v>2</v>
      </c>
      <c r="AI79" s="3">
        <f t="shared" si="1"/>
        <v>1</v>
      </c>
      <c r="AJ79" s="3">
        <f t="shared" si="2"/>
        <v>0</v>
      </c>
      <c r="AK79" s="3">
        <f t="shared" si="3"/>
        <v>1</v>
      </c>
    </row>
    <row r="80" spans="2:37" x14ac:dyDescent="0.25">
      <c r="B80" s="2"/>
      <c r="D80" s="360" t="s">
        <v>50</v>
      </c>
      <c r="E80" s="360"/>
      <c r="F80" s="16" t="s">
        <v>500</v>
      </c>
      <c r="G80" s="16">
        <v>7.0000000000000007E-2</v>
      </c>
      <c r="H80" s="16">
        <v>7.1000000000000008E-2</v>
      </c>
      <c r="I80" s="16">
        <v>0.09</v>
      </c>
      <c r="J80" s="16">
        <v>9.0999999999999998E-2</v>
      </c>
      <c r="K80" s="16">
        <v>0.11899999999999999</v>
      </c>
      <c r="L80" s="16">
        <v>0.12</v>
      </c>
      <c r="M80" s="16" t="s">
        <v>500</v>
      </c>
      <c r="O80" s="2"/>
      <c r="AE80" s="3" t="s">
        <v>50</v>
      </c>
      <c r="AF80" s="3">
        <v>6</v>
      </c>
      <c r="AG80" s="3">
        <f t="shared" si="0"/>
        <v>1</v>
      </c>
      <c r="AH80" s="3">
        <f>+IF(AG80=0,0,IF(AG80=1,(SUM($AG$75:AG80)-1),1))</f>
        <v>3</v>
      </c>
      <c r="AI80" s="3">
        <f t="shared" si="1"/>
        <v>1</v>
      </c>
      <c r="AJ80" s="3">
        <f t="shared" si="2"/>
        <v>0</v>
      </c>
      <c r="AK80" s="3">
        <f t="shared" si="3"/>
        <v>1</v>
      </c>
    </row>
    <row r="81" spans="2:37" x14ac:dyDescent="0.25">
      <c r="B81" s="2"/>
      <c r="D81" s="360" t="s">
        <v>53</v>
      </c>
      <c r="E81" s="360"/>
      <c r="F81" s="16" t="s">
        <v>500</v>
      </c>
      <c r="G81" s="16">
        <v>0.2</v>
      </c>
      <c r="H81" s="16">
        <v>0.20100000000000001</v>
      </c>
      <c r="I81" s="16">
        <v>0.35</v>
      </c>
      <c r="J81" s="16">
        <v>0.35099999999999998</v>
      </c>
      <c r="K81" s="16">
        <v>0.39900000000000002</v>
      </c>
      <c r="L81" s="16">
        <v>0.4</v>
      </c>
      <c r="M81" s="16" t="s">
        <v>500</v>
      </c>
      <c r="O81" s="2"/>
      <c r="AE81" s="3" t="s">
        <v>53</v>
      </c>
      <c r="AF81" s="3">
        <v>7</v>
      </c>
      <c r="AG81" s="3">
        <f t="shared" si="0"/>
        <v>1</v>
      </c>
      <c r="AH81" s="3">
        <f>+IF(AG81=0,0,IF(AG81=1,(SUM($AG$75:AG81)-1),1))</f>
        <v>4</v>
      </c>
      <c r="AI81" s="3">
        <f t="shared" si="1"/>
        <v>1</v>
      </c>
      <c r="AJ81" s="3">
        <f t="shared" si="2"/>
        <v>0</v>
      </c>
      <c r="AK81" s="3">
        <f t="shared" si="3"/>
        <v>1</v>
      </c>
    </row>
    <row r="82" spans="2:37" x14ac:dyDescent="0.25">
      <c r="B82" s="2"/>
      <c r="D82" s="360" t="s">
        <v>54</v>
      </c>
      <c r="E82" s="360"/>
      <c r="F82" s="16" t="s">
        <v>500</v>
      </c>
      <c r="G82" s="16">
        <v>0.5</v>
      </c>
      <c r="H82" s="16">
        <v>0.501</v>
      </c>
      <c r="I82" s="16">
        <v>0.6</v>
      </c>
      <c r="J82" s="16">
        <v>0.60099999999999998</v>
      </c>
      <c r="K82" s="16">
        <v>0.69899999999999995</v>
      </c>
      <c r="L82" s="16">
        <v>0.7</v>
      </c>
      <c r="M82" s="16" t="s">
        <v>500</v>
      </c>
      <c r="O82" s="2"/>
      <c r="AE82" s="3" t="s">
        <v>54</v>
      </c>
      <c r="AF82" s="3">
        <v>8</v>
      </c>
      <c r="AG82" s="3">
        <f t="shared" si="0"/>
        <v>1</v>
      </c>
      <c r="AH82" s="3">
        <f>+IF(AG82=0,0,IF(AG82=1,(SUM($AG$75:AG82)-1),1))</f>
        <v>5</v>
      </c>
      <c r="AI82" s="3">
        <f t="shared" si="1"/>
        <v>1</v>
      </c>
      <c r="AJ82" s="3">
        <f t="shared" si="2"/>
        <v>0</v>
      </c>
      <c r="AK82" s="3">
        <f t="shared" si="3"/>
        <v>1</v>
      </c>
    </row>
    <row r="83" spans="2:37" x14ac:dyDescent="0.25">
      <c r="B83" s="2"/>
      <c r="D83" s="360" t="s">
        <v>55</v>
      </c>
      <c r="E83" s="360"/>
      <c r="F83" s="16" t="s">
        <v>500</v>
      </c>
      <c r="G83" s="16">
        <v>0.7</v>
      </c>
      <c r="H83" s="16">
        <v>0.70099999999999996</v>
      </c>
      <c r="I83" s="16">
        <v>0.8</v>
      </c>
      <c r="J83" s="16">
        <v>0.80100000000000005</v>
      </c>
      <c r="K83" s="16">
        <v>0.999</v>
      </c>
      <c r="L83" s="22"/>
      <c r="M83" s="16">
        <v>1</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60" t="s">
        <v>56</v>
      </c>
      <c r="E84" s="360"/>
      <c r="F84" s="16" t="s">
        <v>500</v>
      </c>
      <c r="G84" s="16">
        <v>0.7</v>
      </c>
      <c r="H84" s="16">
        <v>0.70099999999999996</v>
      </c>
      <c r="I84" s="16">
        <v>0.8</v>
      </c>
      <c r="J84" s="16">
        <v>0.80100000000000005</v>
      </c>
      <c r="K84" s="16">
        <v>0.999</v>
      </c>
      <c r="L84" s="22"/>
      <c r="M84" s="16">
        <v>1</v>
      </c>
      <c r="O84" s="2"/>
      <c r="AE84" s="3" t="s">
        <v>56</v>
      </c>
      <c r="AF84" s="3">
        <v>10</v>
      </c>
      <c r="AG84" s="3">
        <f t="shared" si="0"/>
        <v>1</v>
      </c>
      <c r="AH84" s="3">
        <f>+IF(AG84=0,0,IF(AG84=1,(SUM($AG$75:AG84)-1),1))</f>
        <v>7</v>
      </c>
      <c r="AI84" s="3">
        <f t="shared" si="1"/>
        <v>1</v>
      </c>
      <c r="AJ84" s="3">
        <f t="shared" si="2"/>
        <v>0</v>
      </c>
      <c r="AK84" s="3">
        <f t="shared" si="3"/>
        <v>1</v>
      </c>
    </row>
    <row r="85" spans="2:37" x14ac:dyDescent="0.25">
      <c r="B85" s="2"/>
      <c r="D85" s="360" t="s">
        <v>57</v>
      </c>
      <c r="E85" s="360"/>
      <c r="F85" s="16" t="s">
        <v>500</v>
      </c>
      <c r="G85" s="16">
        <v>0.7</v>
      </c>
      <c r="H85" s="16">
        <v>0.70099999999999996</v>
      </c>
      <c r="I85" s="16">
        <v>0.8</v>
      </c>
      <c r="J85" s="16">
        <v>0.80100000000000005</v>
      </c>
      <c r="K85" s="16">
        <v>0.999</v>
      </c>
      <c r="L85" s="22"/>
      <c r="M85" s="16">
        <v>1</v>
      </c>
      <c r="O85" s="2"/>
      <c r="AE85" s="3" t="s">
        <v>57</v>
      </c>
      <c r="AF85" s="3">
        <v>11</v>
      </c>
      <c r="AG85" s="3">
        <f t="shared" si="0"/>
        <v>1</v>
      </c>
      <c r="AH85" s="3">
        <f>+IF(AG85=0,0,IF(AG85=1,(SUM($AG$75:AG85)-1),1))</f>
        <v>8</v>
      </c>
      <c r="AI85" s="3">
        <f t="shared" si="1"/>
        <v>1</v>
      </c>
      <c r="AJ85" s="3">
        <f t="shared" si="2"/>
        <v>0</v>
      </c>
      <c r="AK85" s="3">
        <f t="shared" si="3"/>
        <v>1</v>
      </c>
    </row>
    <row r="86" spans="2:37" x14ac:dyDescent="0.25">
      <c r="B86" s="2"/>
      <c r="D86" s="360" t="s">
        <v>58</v>
      </c>
      <c r="E86" s="360"/>
      <c r="F86" s="16" t="s">
        <v>500</v>
      </c>
      <c r="G86" s="16">
        <v>0.7</v>
      </c>
      <c r="H86" s="16">
        <v>0.70099999999999996</v>
      </c>
      <c r="I86" s="16">
        <v>0.8</v>
      </c>
      <c r="J86" s="16">
        <v>0.80100000000000005</v>
      </c>
      <c r="K86" s="16">
        <v>0.999</v>
      </c>
      <c r="L86" s="22"/>
      <c r="M86" s="16">
        <v>1</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45.75" customHeight="1" x14ac:dyDescent="0.25">
      <c r="B88" s="2"/>
      <c r="D88" s="338" t="s">
        <v>59</v>
      </c>
      <c r="E88" s="339"/>
      <c r="F88" s="340"/>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28.5" customHeight="1" x14ac:dyDescent="0.25">
      <c r="B97" s="2"/>
      <c r="D97" s="359" t="s">
        <v>35</v>
      </c>
      <c r="E97" s="359"/>
      <c r="F97" s="344" t="s">
        <v>550</v>
      </c>
      <c r="G97" s="344"/>
      <c r="H97" s="344"/>
      <c r="I97" s="344"/>
      <c r="J97" s="344"/>
      <c r="K97" s="344"/>
      <c r="L97" s="344"/>
      <c r="M97" s="344"/>
      <c r="O97" s="2"/>
    </row>
    <row r="98" spans="2:15" ht="28.5" customHeight="1" x14ac:dyDescent="0.25">
      <c r="B98" s="2"/>
      <c r="D98" s="359" t="s">
        <v>36</v>
      </c>
      <c r="E98" s="359"/>
      <c r="F98" s="344" t="s">
        <v>551</v>
      </c>
      <c r="G98" s="344"/>
      <c r="H98" s="344"/>
      <c r="I98" s="344"/>
      <c r="J98" s="344"/>
      <c r="K98" s="344"/>
      <c r="L98" s="344"/>
      <c r="M98" s="344"/>
      <c r="O98" s="2"/>
    </row>
    <row r="99" spans="2:15" ht="3.95" customHeight="1" x14ac:dyDescent="0.25">
      <c r="B99" s="2"/>
      <c r="O99" s="2"/>
    </row>
    <row r="100" spans="2:15" ht="101.25" customHeight="1" x14ac:dyDescent="0.25">
      <c r="B100" s="2"/>
      <c r="D100" s="338" t="s">
        <v>62</v>
      </c>
      <c r="E100" s="339"/>
      <c r="F100" s="340" t="s">
        <v>106</v>
      </c>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496</v>
      </c>
      <c r="K102" s="20"/>
      <c r="O102" s="2"/>
    </row>
    <row r="103" spans="2:15" ht="19.5" customHeight="1" x14ac:dyDescent="0.25">
      <c r="B103" s="2"/>
      <c r="D103" s="331"/>
      <c r="E103" s="332"/>
      <c r="F103" s="19" t="s">
        <v>66</v>
      </c>
      <c r="G103" s="4" t="s">
        <v>1739</v>
      </c>
      <c r="K103" s="21"/>
      <c r="O103" s="2"/>
    </row>
    <row r="104" spans="2:15" ht="27.75" customHeight="1" x14ac:dyDescent="0.25">
      <c r="B104" s="2"/>
      <c r="D104" s="331"/>
      <c r="E104" s="332"/>
      <c r="F104" s="19" t="s">
        <v>67</v>
      </c>
      <c r="G104" s="333" t="s">
        <v>1740</v>
      </c>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 xml:space="preserve">Director(a) Niñez y Adolescencia </v>
      </c>
      <c r="H108" s="334"/>
      <c r="I108" s="334"/>
      <c r="J108" s="334"/>
      <c r="K108" s="334"/>
      <c r="L108" s="334"/>
      <c r="M108" s="335"/>
      <c r="O108" s="2"/>
    </row>
    <row r="109" spans="2:15" ht="17.25" customHeight="1" x14ac:dyDescent="0.25">
      <c r="B109" s="2"/>
      <c r="D109" s="331"/>
      <c r="E109" s="332"/>
      <c r="F109" s="19" t="s">
        <v>2042</v>
      </c>
      <c r="G109" s="333" t="str">
        <f>+IF(M23="Si","Coordinador(a) Planeación y Sistemas","")</f>
        <v>Coordinador(a) Planeación y Sistemas</v>
      </c>
      <c r="H109" s="334"/>
      <c r="I109" s="334"/>
      <c r="J109" s="334"/>
      <c r="K109" s="334"/>
      <c r="L109" s="334"/>
      <c r="M109" s="335"/>
      <c r="O109" s="2"/>
    </row>
    <row r="110" spans="2:15" ht="17.25" customHeight="1" x14ac:dyDescent="0.25">
      <c r="B110" s="2"/>
      <c r="D110" s="331"/>
      <c r="E110" s="332"/>
      <c r="F110" s="19" t="s">
        <v>2043</v>
      </c>
      <c r="G110" s="333" t="str">
        <f>+IF(M24="Si","Coordinador(a) Centro Zonal","")</f>
        <v>Coordinador(a) Centro Zonal</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F51 G102">
    <cfRule type="expression" dxfId="3064" priority="30">
      <formula>+IF($F$43="no",1,0)</formula>
    </cfRule>
  </conditionalFormatting>
  <conditionalFormatting sqref="F32:M33">
    <cfRule type="expression" dxfId="3063" priority="29">
      <formula>+IF($Q$30="NA",1,0)</formula>
    </cfRule>
  </conditionalFormatting>
  <conditionalFormatting sqref="F33:M33">
    <cfRule type="expression" dxfId="3062" priority="28">
      <formula>+IF($Q$33=0,1,0)</formula>
    </cfRule>
  </conditionalFormatting>
  <conditionalFormatting sqref="F47:M47">
    <cfRule type="expression" dxfId="3061" priority="27">
      <formula>+IF($Q$47=0,1,0)</formula>
    </cfRule>
  </conditionalFormatting>
  <conditionalFormatting sqref="F73:G73">
    <cfRule type="cellIs" dxfId="3060" priority="13" operator="equal">
      <formula>"optimo"</formula>
    </cfRule>
    <cfRule type="cellIs" dxfId="3059" priority="14" operator="equal">
      <formula>"critico"</formula>
    </cfRule>
  </conditionalFormatting>
  <conditionalFormatting sqref="H73:I73">
    <cfRule type="cellIs" dxfId="3058" priority="11" operator="equal">
      <formula>"Adecuado"</formula>
    </cfRule>
    <cfRule type="cellIs" dxfId="3057" priority="12" operator="equal">
      <formula>"en riesgo"</formula>
    </cfRule>
  </conditionalFormatting>
  <conditionalFormatting sqref="J73:K73">
    <cfRule type="cellIs" dxfId="3056" priority="9" operator="equal">
      <formula>"Adecuado"</formula>
    </cfRule>
    <cfRule type="cellIs" dxfId="3055" priority="10" operator="equal">
      <formula>"en riesgo"</formula>
    </cfRule>
  </conditionalFormatting>
  <conditionalFormatting sqref="L73:M73">
    <cfRule type="cellIs" dxfId="3054" priority="7" operator="equal">
      <formula>"optimo"</formula>
    </cfRule>
    <cfRule type="cellIs" dxfId="3053" priority="8" operator="equal">
      <formula>"critico"</formula>
    </cfRule>
  </conditionalFormatting>
  <conditionalFormatting sqref="F75:M78 F79:F86">
    <cfRule type="expression" dxfId="3052" priority="6">
      <formula>+IF($AK75=0,1)</formula>
    </cfRule>
  </conditionalFormatting>
  <conditionalFormatting sqref="F103:G104">
    <cfRule type="expression" dxfId="3051" priority="5">
      <formula>+IF($G$102="No",1,0)</formula>
    </cfRule>
  </conditionalFormatting>
  <conditionalFormatting sqref="G80:M86">
    <cfRule type="expression" dxfId="3050" priority="57">
      <formula>+IF($AK79=0,1)</formula>
    </cfRule>
  </conditionalFormatting>
  <conditionalFormatting sqref="G79:L79">
    <cfRule type="expression" dxfId="3049" priority="1">
      <formula>+IF($AK79=0,1)</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tabColor rgb="FF0070C0"/>
  </sheetPr>
  <dimension ref="B1:AV113"/>
  <sheetViews>
    <sheetView zoomScaleNormal="100" workbookViewId="0">
      <selection activeCell="P1" sqref="P1"/>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159</v>
      </c>
      <c r="O10" s="2"/>
    </row>
    <row r="11" spans="2:24" ht="3.95" customHeight="1" x14ac:dyDescent="0.25">
      <c r="B11" s="2"/>
      <c r="D11" s="6"/>
      <c r="O11" s="2"/>
    </row>
    <row r="12" spans="2:24" ht="36" customHeight="1" x14ac:dyDescent="0.25">
      <c r="B12" s="2"/>
      <c r="D12" s="338" t="s">
        <v>5</v>
      </c>
      <c r="E12" s="339"/>
      <c r="F12" s="340" t="s">
        <v>160</v>
      </c>
      <c r="G12" s="341"/>
      <c r="H12" s="341"/>
      <c r="I12" s="341"/>
      <c r="J12" s="341"/>
      <c r="K12" s="341"/>
      <c r="L12" s="341"/>
      <c r="M12" s="342"/>
      <c r="O12" s="2"/>
      <c r="W12" s="3" t="str">
        <f>+F23</f>
        <v>Semestral</v>
      </c>
      <c r="X12" s="3" t="str">
        <f>+F71</f>
        <v>Junio</v>
      </c>
    </row>
    <row r="13" spans="2:24" ht="3.95" customHeight="1" x14ac:dyDescent="0.25">
      <c r="B13" s="2"/>
      <c r="O13" s="2"/>
    </row>
    <row r="14" spans="2:24" ht="36" customHeight="1" x14ac:dyDescent="0.25">
      <c r="B14" s="2"/>
      <c r="D14" s="338" t="s">
        <v>6</v>
      </c>
      <c r="E14" s="339"/>
      <c r="F14" s="340" t="s">
        <v>552</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8" t="s">
        <v>512</v>
      </c>
      <c r="G22" s="337" t="s">
        <v>9</v>
      </c>
      <c r="H22" s="337"/>
      <c r="I22" s="8">
        <v>436</v>
      </c>
      <c r="K22" s="337" t="s">
        <v>10</v>
      </c>
      <c r="L22" s="337"/>
      <c r="M22" s="9" t="s">
        <v>496</v>
      </c>
      <c r="O22" s="2"/>
    </row>
    <row r="23" spans="2:17" ht="19.5" customHeight="1" x14ac:dyDescent="0.25">
      <c r="B23" s="2"/>
      <c r="D23" s="337" t="s">
        <v>11</v>
      </c>
      <c r="E23" s="337"/>
      <c r="F23" s="4" t="s">
        <v>104</v>
      </c>
      <c r="G23" s="337" t="s">
        <v>12</v>
      </c>
      <c r="H23" s="337"/>
      <c r="I23" s="4" t="s">
        <v>553</v>
      </c>
      <c r="K23" s="337" t="s">
        <v>13</v>
      </c>
      <c r="L23" s="337"/>
      <c r="M23" s="9" t="s">
        <v>2</v>
      </c>
      <c r="O23" s="2"/>
    </row>
    <row r="24" spans="2:17" ht="20.100000000000001" customHeight="1" x14ac:dyDescent="0.25">
      <c r="B24" s="2"/>
      <c r="D24" s="337" t="s">
        <v>14</v>
      </c>
      <c r="E24" s="337"/>
      <c r="F24" s="4" t="s">
        <v>498</v>
      </c>
      <c r="G24" s="337" t="s">
        <v>15</v>
      </c>
      <c r="H24" s="337"/>
      <c r="I24" s="4" t="s">
        <v>554</v>
      </c>
      <c r="K24" s="337" t="s">
        <v>16</v>
      </c>
      <c r="L24" s="337"/>
      <c r="M24" s="9" t="s">
        <v>2</v>
      </c>
      <c r="O24" s="2"/>
    </row>
    <row r="25" spans="2:17" ht="20.100000000000001" customHeight="1" x14ac:dyDescent="0.25">
      <c r="B25" s="2"/>
      <c r="D25" s="337" t="s">
        <v>17</v>
      </c>
      <c r="E25" s="337"/>
      <c r="F25" s="4" t="s">
        <v>534</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99</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NA</v>
      </c>
    </row>
    <row r="31" spans="2:17" ht="24" customHeight="1" x14ac:dyDescent="0.25">
      <c r="B31" s="2"/>
      <c r="D31" s="347"/>
      <c r="E31" s="348"/>
      <c r="F31" s="4" t="s">
        <v>144</v>
      </c>
      <c r="G31" s="340" t="s">
        <v>145</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500</v>
      </c>
      <c r="G33" s="340"/>
      <c r="H33" s="341"/>
      <c r="I33" s="341"/>
      <c r="J33" s="341"/>
      <c r="K33" s="341"/>
      <c r="L33" s="341"/>
      <c r="M33" s="342"/>
      <c r="O33" s="2"/>
      <c r="Q33" s="3" t="str">
        <f>+IFERROR(IF(VLOOKUP(G33,base!$A$26:$C$40,3,FALSE)=F31,1,0),"")</f>
        <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1712</v>
      </c>
      <c r="G35" s="340" t="s">
        <v>1588</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501</v>
      </c>
      <c r="G45" s="340" t="s">
        <v>502</v>
      </c>
      <c r="H45" s="341"/>
      <c r="I45" s="341"/>
      <c r="J45" s="341"/>
      <c r="K45" s="341"/>
      <c r="L45" s="341"/>
      <c r="M45" s="342"/>
      <c r="O45" s="2"/>
      <c r="Q45" s="3" t="str">
        <f>+IFERROR(VLOOKUP(G45,base!$A$41:$C$45,3,FALSE),"")</f>
        <v>misional</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503</v>
      </c>
      <c r="G47" s="340" t="s">
        <v>504</v>
      </c>
      <c r="H47" s="341"/>
      <c r="I47" s="341"/>
      <c r="J47" s="341"/>
      <c r="K47" s="341"/>
      <c r="L47" s="341"/>
      <c r="M47" s="342"/>
      <c r="O47" s="2"/>
      <c r="Q47" s="3">
        <f>+IF(VLOOKUP(G47,base!$A$46:$C$66,3,FALSE)=F45,1,0)</f>
        <v>1</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555</v>
      </c>
      <c r="G49" s="340" t="s">
        <v>100</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496</v>
      </c>
      <c r="G51" s="337" t="s">
        <v>32</v>
      </c>
      <c r="H51" s="337"/>
      <c r="I51" s="8">
        <v>1744</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75" customHeight="1" x14ac:dyDescent="0.25">
      <c r="B59" s="2"/>
      <c r="D59" s="337" t="s">
        <v>34</v>
      </c>
      <c r="E59" s="337"/>
      <c r="F59" s="344" t="s">
        <v>556</v>
      </c>
      <c r="G59" s="344"/>
      <c r="H59" s="344"/>
      <c r="I59" s="344"/>
      <c r="J59" s="344"/>
      <c r="K59" s="344"/>
      <c r="L59" s="344"/>
      <c r="M59" s="344"/>
      <c r="O59" s="2"/>
    </row>
    <row r="60" spans="2:15" ht="27" customHeight="1" x14ac:dyDescent="0.25">
      <c r="B60" s="2"/>
      <c r="D60" s="359" t="s">
        <v>35</v>
      </c>
      <c r="E60" s="359"/>
      <c r="F60" s="344" t="s">
        <v>160</v>
      </c>
      <c r="G60" s="344"/>
      <c r="H60" s="344"/>
      <c r="I60" s="344"/>
      <c r="J60" s="344"/>
      <c r="K60" s="344"/>
      <c r="L60" s="344"/>
      <c r="M60" s="344"/>
      <c r="O60" s="2"/>
    </row>
    <row r="61" spans="2:15" ht="27" customHeight="1" x14ac:dyDescent="0.25">
      <c r="B61" s="2"/>
      <c r="D61" s="359" t="s">
        <v>36</v>
      </c>
      <c r="E61" s="359"/>
      <c r="F61" s="344" t="s">
        <v>557</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6</v>
      </c>
    </row>
    <row r="70" spans="2:37" ht="3.95" customHeight="1" x14ac:dyDescent="0.25">
      <c r="B70" s="2"/>
      <c r="D70" s="7"/>
      <c r="E70" s="7"/>
      <c r="O70" s="2"/>
    </row>
    <row r="71" spans="2:37" ht="18.75" customHeight="1" x14ac:dyDescent="0.25">
      <c r="B71" s="2"/>
      <c r="D71" s="343" t="s">
        <v>39</v>
      </c>
      <c r="E71" s="343"/>
      <c r="F71" s="4" t="s">
        <v>50</v>
      </c>
      <c r="G71" s="3">
        <v>6</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60" t="s">
        <v>50</v>
      </c>
      <c r="E80" s="360"/>
      <c r="F80" s="16" t="s">
        <v>500</v>
      </c>
      <c r="G80" s="16">
        <v>0.14000000000000001</v>
      </c>
      <c r="H80" s="16">
        <v>0.14099999999999999</v>
      </c>
      <c r="I80" s="16">
        <v>0.26</v>
      </c>
      <c r="J80" s="16">
        <v>0.26100000000000001</v>
      </c>
      <c r="K80" s="16">
        <v>0.29899999999999999</v>
      </c>
      <c r="L80" s="16">
        <v>0.3</v>
      </c>
      <c r="M80" s="16" t="s">
        <v>500</v>
      </c>
      <c r="O80" s="2"/>
      <c r="AE80" s="3" t="s">
        <v>50</v>
      </c>
      <c r="AF80" s="3">
        <v>6</v>
      </c>
      <c r="AG80" s="3">
        <f t="shared" si="0"/>
        <v>1</v>
      </c>
      <c r="AH80" s="3">
        <f>+IF(AG80=0,0,IF(AG80=1,(SUM($AG$75:AG80)-1),1))</f>
        <v>0</v>
      </c>
      <c r="AI80" s="3">
        <f t="shared" si="1"/>
        <v>0</v>
      </c>
      <c r="AJ80" s="3">
        <f t="shared" si="2"/>
        <v>1</v>
      </c>
      <c r="AK80" s="3">
        <f t="shared" si="3"/>
        <v>1</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1</v>
      </c>
      <c r="AI81" s="3">
        <f t="shared" si="1"/>
        <v>0</v>
      </c>
      <c r="AJ81" s="3">
        <f t="shared" si="2"/>
        <v>0</v>
      </c>
      <c r="AK81" s="3">
        <f t="shared" si="3"/>
        <v>0</v>
      </c>
    </row>
    <row r="82" spans="2:37" x14ac:dyDescent="0.25">
      <c r="B82" s="2"/>
      <c r="D82" s="360" t="s">
        <v>54</v>
      </c>
      <c r="E82" s="360"/>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2</v>
      </c>
      <c r="AI82" s="3">
        <f t="shared" si="1"/>
        <v>0</v>
      </c>
      <c r="AJ82" s="3">
        <f t="shared" si="2"/>
        <v>0</v>
      </c>
      <c r="AK82" s="3">
        <f t="shared" si="3"/>
        <v>0</v>
      </c>
    </row>
    <row r="83" spans="2:37" x14ac:dyDescent="0.25">
      <c r="B83" s="2"/>
      <c r="D83" s="360" t="s">
        <v>55</v>
      </c>
      <c r="E83" s="360"/>
      <c r="F83" s="16" t="s">
        <v>500</v>
      </c>
      <c r="G83" s="16" t="s">
        <v>500</v>
      </c>
      <c r="H83" s="16" t="s">
        <v>500</v>
      </c>
      <c r="I83" s="16" t="s">
        <v>500</v>
      </c>
      <c r="J83" s="16" t="s">
        <v>500</v>
      </c>
      <c r="K83" s="16" t="s">
        <v>500</v>
      </c>
      <c r="L83" s="16" t="s">
        <v>500</v>
      </c>
      <c r="M83" s="16" t="s">
        <v>500</v>
      </c>
      <c r="O83" s="2"/>
      <c r="AE83" s="3" t="s">
        <v>55</v>
      </c>
      <c r="AF83" s="3">
        <v>9</v>
      </c>
      <c r="AG83" s="3">
        <f t="shared" si="0"/>
        <v>1</v>
      </c>
      <c r="AH83" s="3">
        <f>+IF(AG83=0,0,IF(AG83=1,(SUM($AG$75:AG83)-1),1))</f>
        <v>3</v>
      </c>
      <c r="AI83" s="3">
        <f t="shared" si="1"/>
        <v>0</v>
      </c>
      <c r="AJ83" s="3">
        <f t="shared" si="2"/>
        <v>0</v>
      </c>
      <c r="AK83" s="3">
        <f t="shared" si="3"/>
        <v>0</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4</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5</v>
      </c>
      <c r="AI85" s="3">
        <f t="shared" si="1"/>
        <v>0</v>
      </c>
      <c r="AJ85" s="3">
        <f t="shared" si="2"/>
        <v>0</v>
      </c>
      <c r="AK85" s="3">
        <f t="shared" si="3"/>
        <v>0</v>
      </c>
    </row>
    <row r="86" spans="2:37" x14ac:dyDescent="0.25">
      <c r="B86" s="2"/>
      <c r="D86" s="360" t="s">
        <v>58</v>
      </c>
      <c r="E86" s="360"/>
      <c r="F86" s="16" t="s">
        <v>500</v>
      </c>
      <c r="G86" s="16">
        <v>0.8</v>
      </c>
      <c r="H86" s="16">
        <v>0.80100000000000005</v>
      </c>
      <c r="I86" s="16">
        <v>0.92</v>
      </c>
      <c r="J86" s="16">
        <v>0.92100000000000004</v>
      </c>
      <c r="K86" s="16">
        <v>0.999</v>
      </c>
      <c r="L86" s="16"/>
      <c r="M86" s="16">
        <v>1</v>
      </c>
      <c r="O86" s="2"/>
      <c r="AE86" s="3" t="s">
        <v>58</v>
      </c>
      <c r="AF86" s="65">
        <v>12</v>
      </c>
      <c r="AG86" s="3">
        <f t="shared" si="0"/>
        <v>1</v>
      </c>
      <c r="AH86" s="3">
        <f>+IF(AG86=0,0,IF(AG86=1,(SUM($AG$75:AG86)-1),1))</f>
        <v>6</v>
      </c>
      <c r="AI86" s="3">
        <f t="shared" si="1"/>
        <v>1</v>
      </c>
      <c r="AJ86" s="3">
        <f t="shared" si="2"/>
        <v>0</v>
      </c>
      <c r="AK86" s="3">
        <f t="shared" si="3"/>
        <v>1</v>
      </c>
    </row>
    <row r="87" spans="2:37" ht="3.75" customHeight="1" x14ac:dyDescent="0.25">
      <c r="B87" s="2"/>
      <c r="O87" s="2"/>
    </row>
    <row r="88" spans="2:37" ht="66" customHeight="1" x14ac:dyDescent="0.25">
      <c r="B88" s="2"/>
      <c r="D88" s="338" t="s">
        <v>59</v>
      </c>
      <c r="E88" s="339"/>
      <c r="F88" s="340"/>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28.5" customHeight="1" x14ac:dyDescent="0.25">
      <c r="B97" s="2"/>
      <c r="D97" s="359" t="s">
        <v>35</v>
      </c>
      <c r="E97" s="359"/>
      <c r="F97" s="344" t="s">
        <v>558</v>
      </c>
      <c r="G97" s="344"/>
      <c r="H97" s="344"/>
      <c r="I97" s="344"/>
      <c r="J97" s="344"/>
      <c r="K97" s="344"/>
      <c r="L97" s="344"/>
      <c r="M97" s="344"/>
      <c r="O97" s="2"/>
    </row>
    <row r="98" spans="2:15" ht="28.5" customHeight="1" x14ac:dyDescent="0.25">
      <c r="B98" s="2"/>
      <c r="D98" s="359" t="s">
        <v>36</v>
      </c>
      <c r="E98" s="359"/>
      <c r="F98" s="344" t="s">
        <v>559</v>
      </c>
      <c r="G98" s="344"/>
      <c r="H98" s="344"/>
      <c r="I98" s="344"/>
      <c r="J98" s="344"/>
      <c r="K98" s="344"/>
      <c r="L98" s="344"/>
      <c r="M98" s="344"/>
      <c r="O98" s="2"/>
    </row>
    <row r="99" spans="2:15" ht="3.95" customHeight="1" x14ac:dyDescent="0.25">
      <c r="B99" s="2"/>
      <c r="O99" s="2"/>
    </row>
    <row r="100" spans="2:15" ht="317.25" customHeight="1" x14ac:dyDescent="0.25">
      <c r="B100" s="2"/>
      <c r="D100" s="338" t="s">
        <v>62</v>
      </c>
      <c r="E100" s="339"/>
      <c r="F100" s="420" t="s">
        <v>1741</v>
      </c>
      <c r="G100" s="421"/>
      <c r="H100" s="421"/>
      <c r="I100" s="421"/>
      <c r="J100" s="421"/>
      <c r="K100" s="421"/>
      <c r="L100" s="421"/>
      <c r="M100" s="422"/>
      <c r="O100" s="2"/>
    </row>
    <row r="101" spans="2:15" ht="3.95" customHeight="1" x14ac:dyDescent="0.25">
      <c r="B101" s="2"/>
      <c r="O101" s="2"/>
    </row>
    <row r="102" spans="2:15" ht="19.5" customHeight="1" x14ac:dyDescent="0.25">
      <c r="B102" s="2"/>
      <c r="D102" s="329" t="s">
        <v>64</v>
      </c>
      <c r="E102" s="330"/>
      <c r="F102" s="19" t="s">
        <v>65</v>
      </c>
      <c r="G102" s="4" t="s">
        <v>2</v>
      </c>
      <c r="K102" s="20"/>
      <c r="O102" s="2"/>
    </row>
    <row r="103" spans="2:15" ht="19.5" customHeight="1" x14ac:dyDescent="0.25">
      <c r="B103" s="2"/>
      <c r="D103" s="331"/>
      <c r="E103" s="332"/>
      <c r="F103" s="19" t="s">
        <v>66</v>
      </c>
      <c r="G103" s="4"/>
      <c r="K103" s="21"/>
      <c r="O103" s="2"/>
    </row>
    <row r="104" spans="2:15" ht="27.75" customHeight="1" x14ac:dyDescent="0.25">
      <c r="B104" s="2"/>
      <c r="D104" s="331"/>
      <c r="E104" s="332"/>
      <c r="F104" s="19" t="s">
        <v>67</v>
      </c>
      <c r="G104" s="333"/>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 xml:space="preserve">Director(a) Niñez y Adolescencia </v>
      </c>
      <c r="H108" s="334"/>
      <c r="I108" s="334"/>
      <c r="J108" s="334"/>
      <c r="K108" s="334"/>
      <c r="L108" s="334"/>
      <c r="M108" s="335"/>
      <c r="O108" s="2"/>
    </row>
    <row r="109" spans="2:15" ht="17.25" customHeight="1" x14ac:dyDescent="0.25">
      <c r="B109" s="2"/>
      <c r="D109" s="331"/>
      <c r="E109" s="332"/>
      <c r="F109" s="19" t="s">
        <v>2042</v>
      </c>
      <c r="G109" s="333" t="str">
        <f>+IF(M23="Si","Coordinador(a) Planeación y Sistemas","")</f>
        <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F51 G102">
    <cfRule type="expression" dxfId="3048" priority="29">
      <formula>+IF($F$43="no",1,0)</formula>
    </cfRule>
  </conditionalFormatting>
  <conditionalFormatting sqref="F32:M33">
    <cfRule type="expression" dxfId="3047" priority="28">
      <formula>+IF($Q$30="NA",1,0)</formula>
    </cfRule>
  </conditionalFormatting>
  <conditionalFormatting sqref="F33:M33">
    <cfRule type="expression" dxfId="3046" priority="27">
      <formula>+IF($Q$33=0,1,0)</formula>
    </cfRule>
  </conditionalFormatting>
  <conditionalFormatting sqref="F47:M47">
    <cfRule type="expression" dxfId="3045" priority="26">
      <formula>+IF($Q$47=0,1,0)</formula>
    </cfRule>
  </conditionalFormatting>
  <conditionalFormatting sqref="F73:G73">
    <cfRule type="cellIs" dxfId="3044" priority="12" operator="equal">
      <formula>"optimo"</formula>
    </cfRule>
    <cfRule type="cellIs" dxfId="3043" priority="13" operator="equal">
      <formula>"critico"</formula>
    </cfRule>
  </conditionalFormatting>
  <conditionalFormatting sqref="H73:I73">
    <cfRule type="cellIs" dxfId="3042" priority="10" operator="equal">
      <formula>"Adecuado"</formula>
    </cfRule>
    <cfRule type="cellIs" dxfId="3041" priority="11" operator="equal">
      <formula>"en riesgo"</formula>
    </cfRule>
  </conditionalFormatting>
  <conditionalFormatting sqref="J73:K73">
    <cfRule type="cellIs" dxfId="3040" priority="8" operator="equal">
      <formula>"Adecuado"</formula>
    </cfRule>
    <cfRule type="cellIs" dxfId="3039" priority="9" operator="equal">
      <formula>"en riesgo"</formula>
    </cfRule>
  </conditionalFormatting>
  <conditionalFormatting sqref="L73:M73">
    <cfRule type="cellIs" dxfId="3038" priority="6" operator="equal">
      <formula>"optimo"</formula>
    </cfRule>
    <cfRule type="cellIs" dxfId="3037" priority="7" operator="equal">
      <formula>"critico"</formula>
    </cfRule>
  </conditionalFormatting>
  <conditionalFormatting sqref="F75:M86">
    <cfRule type="expression" dxfId="3036" priority="5">
      <formula>+IF($AK75=0,1)</formula>
    </cfRule>
  </conditionalFormatting>
  <conditionalFormatting sqref="F103:G104">
    <cfRule type="expression" dxfId="3035" priority="4">
      <formula>+IF($G$102="No",1,0)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tabColor rgb="FF0070C0"/>
  </sheetPr>
  <dimension ref="B1:AV113"/>
  <sheetViews>
    <sheetView zoomScaleNormal="100" workbookViewId="0">
      <selection activeCell="P1" sqref="P1"/>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161</v>
      </c>
      <c r="O10" s="2"/>
    </row>
    <row r="11" spans="2:24" ht="3.95" customHeight="1" x14ac:dyDescent="0.25">
      <c r="B11" s="2"/>
      <c r="D11" s="6"/>
      <c r="O11" s="2"/>
    </row>
    <row r="12" spans="2:24" ht="36" customHeight="1" x14ac:dyDescent="0.25">
      <c r="B12" s="2"/>
      <c r="D12" s="338" t="s">
        <v>5</v>
      </c>
      <c r="E12" s="339"/>
      <c r="F12" s="340" t="s">
        <v>1581</v>
      </c>
      <c r="G12" s="341"/>
      <c r="H12" s="341"/>
      <c r="I12" s="341"/>
      <c r="J12" s="341"/>
      <c r="K12" s="341"/>
      <c r="L12" s="341"/>
      <c r="M12" s="342"/>
      <c r="O12" s="2"/>
      <c r="W12" s="3" t="str">
        <f>+F23</f>
        <v>Mensual</v>
      </c>
      <c r="X12" s="3" t="str">
        <f>+F71</f>
        <v>Marzo</v>
      </c>
    </row>
    <row r="13" spans="2:24" ht="3.95" customHeight="1" x14ac:dyDescent="0.25">
      <c r="B13" s="2"/>
      <c r="O13" s="2"/>
    </row>
    <row r="14" spans="2:24" ht="36" customHeight="1" x14ac:dyDescent="0.25">
      <c r="B14" s="2"/>
      <c r="D14" s="338" t="s">
        <v>6</v>
      </c>
      <c r="E14" s="339"/>
      <c r="F14" s="340" t="s">
        <v>549</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8">
        <v>21264</v>
      </c>
      <c r="G22" s="337" t="s">
        <v>9</v>
      </c>
      <c r="H22" s="337"/>
      <c r="I22" s="8">
        <v>115675</v>
      </c>
      <c r="K22" s="337" t="s">
        <v>10</v>
      </c>
      <c r="L22" s="337"/>
      <c r="M22" s="9" t="s">
        <v>496</v>
      </c>
      <c r="O22" s="2"/>
    </row>
    <row r="23" spans="2:17" ht="19.5" customHeight="1" x14ac:dyDescent="0.25">
      <c r="B23" s="2"/>
      <c r="D23" s="337" t="s">
        <v>11</v>
      </c>
      <c r="E23" s="337"/>
      <c r="F23" s="4" t="s">
        <v>84</v>
      </c>
      <c r="G23" s="337" t="s">
        <v>12</v>
      </c>
      <c r="H23" s="337"/>
      <c r="I23" s="4" t="s">
        <v>1582</v>
      </c>
      <c r="K23" s="337" t="s">
        <v>13</v>
      </c>
      <c r="L23" s="337"/>
      <c r="M23" s="9" t="s">
        <v>496</v>
      </c>
      <c r="O23" s="2"/>
    </row>
    <row r="24" spans="2:17" ht="20.100000000000001" customHeight="1" x14ac:dyDescent="0.25">
      <c r="B24" s="2"/>
      <c r="D24" s="337" t="s">
        <v>14</v>
      </c>
      <c r="E24" s="337"/>
      <c r="F24" s="4" t="s">
        <v>498</v>
      </c>
      <c r="G24" s="337" t="s">
        <v>15</v>
      </c>
      <c r="H24" s="337"/>
      <c r="I24" s="4" t="s">
        <v>519</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99</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NA</v>
      </c>
    </row>
    <row r="31" spans="2:17" ht="24" customHeight="1" x14ac:dyDescent="0.25">
      <c r="B31" s="2"/>
      <c r="D31" s="347"/>
      <c r="E31" s="348"/>
      <c r="F31" s="4" t="s">
        <v>144</v>
      </c>
      <c r="G31" s="340" t="s">
        <v>145</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500</v>
      </c>
      <c r="G33" s="340"/>
      <c r="H33" s="341"/>
      <c r="I33" s="341"/>
      <c r="J33" s="341"/>
      <c r="K33" s="341"/>
      <c r="L33" s="341"/>
      <c r="M33" s="342"/>
      <c r="O33" s="2"/>
      <c r="Q33" s="3" t="str">
        <f>+IFERROR(IF(VLOOKUP(G33,base!$A$26:$C$40,3,FALSE)=F31,1,0),"")</f>
        <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1712</v>
      </c>
      <c r="G35" s="340" t="s">
        <v>1588</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2</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500</v>
      </c>
      <c r="G45" s="340" t="s">
        <v>512</v>
      </c>
      <c r="H45" s="341"/>
      <c r="I45" s="341"/>
      <c r="J45" s="341"/>
      <c r="K45" s="341"/>
      <c r="L45" s="341"/>
      <c r="M45" s="342"/>
      <c r="O45" s="2"/>
      <c r="Q45" s="3" t="str">
        <f>+IFERROR(VLOOKUP(G45,base!$A$41:$C$45,3,FALSE),"")</f>
        <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500</v>
      </c>
      <c r="G47" s="340" t="s">
        <v>512</v>
      </c>
      <c r="H47" s="341"/>
      <c r="I47" s="341"/>
      <c r="J47" s="341"/>
      <c r="K47" s="341"/>
      <c r="L47" s="341"/>
      <c r="M47" s="342"/>
      <c r="O47" s="2"/>
      <c r="Q47" s="3" t="e">
        <f>+IF(VLOOKUP(G47,base!$A$46:$C$66,3,FALSE)=F45,1,0)</f>
        <v>#N/A</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535</v>
      </c>
      <c r="G49" s="340" t="s">
        <v>30</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8"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75" customHeight="1" x14ac:dyDescent="0.25">
      <c r="B59" s="2"/>
      <c r="D59" s="337" t="s">
        <v>34</v>
      </c>
      <c r="E59" s="337"/>
      <c r="F59" s="344" t="s">
        <v>1680</v>
      </c>
      <c r="G59" s="344"/>
      <c r="H59" s="344"/>
      <c r="I59" s="344"/>
      <c r="J59" s="344"/>
      <c r="K59" s="344"/>
      <c r="L59" s="344"/>
      <c r="M59" s="344"/>
      <c r="O59" s="2"/>
    </row>
    <row r="60" spans="2:15" ht="27" customHeight="1" x14ac:dyDescent="0.25">
      <c r="B60" s="2"/>
      <c r="D60" s="359" t="s">
        <v>35</v>
      </c>
      <c r="E60" s="359"/>
      <c r="F60" s="344" t="s">
        <v>1681</v>
      </c>
      <c r="G60" s="344"/>
      <c r="H60" s="344"/>
      <c r="I60" s="344"/>
      <c r="J60" s="344"/>
      <c r="K60" s="344"/>
      <c r="L60" s="344"/>
      <c r="M60" s="344"/>
      <c r="O60" s="2"/>
    </row>
    <row r="61" spans="2:15" ht="27" customHeight="1" x14ac:dyDescent="0.25">
      <c r="B61" s="2"/>
      <c r="D61" s="359" t="s">
        <v>36</v>
      </c>
      <c r="E61" s="359"/>
      <c r="F61" s="344" t="s">
        <v>1682</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43" t="s">
        <v>39</v>
      </c>
      <c r="E71" s="343"/>
      <c r="F71" s="4" t="s">
        <v>47</v>
      </c>
      <c r="G71" s="3">
        <v>3</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v>0.03</v>
      </c>
      <c r="H77" s="16">
        <v>3.1E-2</v>
      </c>
      <c r="I77" s="16">
        <v>0.05</v>
      </c>
      <c r="J77" s="16">
        <v>5.1000000000000004E-2</v>
      </c>
      <c r="K77" s="16">
        <v>6.9000000000000006E-2</v>
      </c>
      <c r="L77" s="16">
        <v>7.0000000000000007E-2</v>
      </c>
      <c r="M77" s="16" t="s">
        <v>500</v>
      </c>
      <c r="O77" s="2"/>
      <c r="AE77" s="3" t="s">
        <v>47</v>
      </c>
      <c r="AF77" s="3">
        <v>3</v>
      </c>
      <c r="AG77" s="3">
        <f t="shared" si="0"/>
        <v>1</v>
      </c>
      <c r="AH77" s="3">
        <f>+IF(AG77=0,0,IF(AG77=1,(SUM($AG$75:AG77)-1),1))</f>
        <v>0</v>
      </c>
      <c r="AI77" s="3">
        <f t="shared" si="1"/>
        <v>0</v>
      </c>
      <c r="AJ77" s="3">
        <f t="shared" si="2"/>
        <v>1</v>
      </c>
      <c r="AK77" s="3">
        <f t="shared" si="3"/>
        <v>1</v>
      </c>
    </row>
    <row r="78" spans="2:37" x14ac:dyDescent="0.25">
      <c r="B78" s="2"/>
      <c r="D78" s="360" t="s">
        <v>48</v>
      </c>
      <c r="E78" s="360"/>
      <c r="F78" s="16" t="s">
        <v>500</v>
      </c>
      <c r="G78" s="16">
        <v>7.0000000000000007E-2</v>
      </c>
      <c r="H78" s="16">
        <v>7.1000000000000008E-2</v>
      </c>
      <c r="I78" s="16">
        <v>0.1</v>
      </c>
      <c r="J78" s="16">
        <v>0.10100000000000001</v>
      </c>
      <c r="K78" s="16">
        <v>0.129</v>
      </c>
      <c r="L78" s="16">
        <v>0.13</v>
      </c>
      <c r="M78" s="16" t="s">
        <v>500</v>
      </c>
      <c r="O78" s="2"/>
      <c r="AE78" s="3" t="s">
        <v>48</v>
      </c>
      <c r="AF78" s="3">
        <v>4</v>
      </c>
      <c r="AG78" s="3">
        <f t="shared" si="0"/>
        <v>1</v>
      </c>
      <c r="AH78" s="3">
        <f>+IF(AG78=0,0,IF(AG78=1,(SUM($AG$75:AG78)-1),1))</f>
        <v>1</v>
      </c>
      <c r="AI78" s="3">
        <f t="shared" si="1"/>
        <v>1</v>
      </c>
      <c r="AJ78" s="3">
        <f t="shared" si="2"/>
        <v>0</v>
      </c>
      <c r="AK78" s="3">
        <f t="shared" si="3"/>
        <v>1</v>
      </c>
    </row>
    <row r="79" spans="2:37" x14ac:dyDescent="0.25">
      <c r="B79" s="2"/>
      <c r="D79" s="360" t="s">
        <v>49</v>
      </c>
      <c r="E79" s="360"/>
      <c r="F79" s="16" t="s">
        <v>500</v>
      </c>
      <c r="G79" s="16">
        <v>7.0000000000000007E-2</v>
      </c>
      <c r="H79" s="16">
        <v>7.1000000000000008E-2</v>
      </c>
      <c r="I79" s="16">
        <v>0.1</v>
      </c>
      <c r="J79" s="16">
        <v>0.10100000000000001</v>
      </c>
      <c r="K79" s="16">
        <v>0.129</v>
      </c>
      <c r="L79" s="16">
        <v>0.13</v>
      </c>
      <c r="O79" s="2"/>
      <c r="AE79" s="3" t="s">
        <v>49</v>
      </c>
      <c r="AF79" s="3">
        <v>5</v>
      </c>
      <c r="AG79" s="3">
        <f t="shared" si="0"/>
        <v>1</v>
      </c>
      <c r="AH79" s="3">
        <f>+IF(AG79=0,0,IF(AG79=1,(SUM($AG$75:AG79)-1),1))</f>
        <v>2</v>
      </c>
      <c r="AI79" s="3">
        <f t="shared" si="1"/>
        <v>1</v>
      </c>
      <c r="AJ79" s="3">
        <f t="shared" si="2"/>
        <v>0</v>
      </c>
      <c r="AK79" s="3">
        <f t="shared" si="3"/>
        <v>1</v>
      </c>
    </row>
    <row r="80" spans="2:37" x14ac:dyDescent="0.25">
      <c r="B80" s="2"/>
      <c r="D80" s="360" t="s">
        <v>50</v>
      </c>
      <c r="E80" s="360"/>
      <c r="F80" s="16" t="s">
        <v>500</v>
      </c>
      <c r="G80" s="16">
        <v>0.12</v>
      </c>
      <c r="H80" s="16">
        <v>0.121</v>
      </c>
      <c r="I80" s="16">
        <v>0.15</v>
      </c>
      <c r="J80" s="16">
        <v>0.151</v>
      </c>
      <c r="K80" s="16">
        <v>0.189</v>
      </c>
      <c r="L80" s="16">
        <v>0.19</v>
      </c>
      <c r="M80" s="16" t="s">
        <v>500</v>
      </c>
      <c r="O80" s="2"/>
      <c r="AE80" s="3" t="s">
        <v>50</v>
      </c>
      <c r="AF80" s="3">
        <v>6</v>
      </c>
      <c r="AG80" s="3">
        <f t="shared" si="0"/>
        <v>1</v>
      </c>
      <c r="AH80" s="3">
        <f>+IF(AG80=0,0,IF(AG80=1,(SUM($AG$75:AG80)-1),1))</f>
        <v>3</v>
      </c>
      <c r="AI80" s="3">
        <f t="shared" si="1"/>
        <v>1</v>
      </c>
      <c r="AJ80" s="3">
        <f t="shared" si="2"/>
        <v>0</v>
      </c>
      <c r="AK80" s="3">
        <f t="shared" si="3"/>
        <v>1</v>
      </c>
    </row>
    <row r="81" spans="2:37" x14ac:dyDescent="0.25">
      <c r="B81" s="2"/>
      <c r="D81" s="360" t="s">
        <v>53</v>
      </c>
      <c r="E81" s="360"/>
      <c r="F81" s="16" t="s">
        <v>500</v>
      </c>
      <c r="G81" s="16">
        <v>0.2</v>
      </c>
      <c r="H81" s="16">
        <v>0.20100000000000001</v>
      </c>
      <c r="I81" s="16">
        <v>0.35</v>
      </c>
      <c r="J81" s="16">
        <v>0.35099999999999998</v>
      </c>
      <c r="K81" s="16">
        <v>0.39900000000000002</v>
      </c>
      <c r="L81" s="16">
        <v>0.4</v>
      </c>
      <c r="M81" s="16" t="s">
        <v>500</v>
      </c>
      <c r="O81" s="2"/>
      <c r="AE81" s="3" t="s">
        <v>53</v>
      </c>
      <c r="AF81" s="3">
        <v>7</v>
      </c>
      <c r="AG81" s="3">
        <f t="shared" si="0"/>
        <v>1</v>
      </c>
      <c r="AH81" s="3">
        <f>+IF(AG81=0,0,IF(AG81=1,(SUM($AG$75:AG81)-1),1))</f>
        <v>4</v>
      </c>
      <c r="AI81" s="3">
        <f t="shared" si="1"/>
        <v>1</v>
      </c>
      <c r="AJ81" s="3">
        <f t="shared" si="2"/>
        <v>0</v>
      </c>
      <c r="AK81" s="3">
        <f t="shared" si="3"/>
        <v>1</v>
      </c>
    </row>
    <row r="82" spans="2:37" x14ac:dyDescent="0.25">
      <c r="B82" s="2"/>
      <c r="D82" s="360" t="s">
        <v>54</v>
      </c>
      <c r="E82" s="360"/>
      <c r="F82" s="16" t="s">
        <v>500</v>
      </c>
      <c r="G82" s="16">
        <v>0.5</v>
      </c>
      <c r="H82" s="16">
        <v>0.501</v>
      </c>
      <c r="I82" s="16">
        <v>0.6</v>
      </c>
      <c r="J82" s="16">
        <v>0.60099999999999998</v>
      </c>
      <c r="K82" s="16">
        <v>0.69899999999999995</v>
      </c>
      <c r="L82" s="16">
        <v>0.7</v>
      </c>
      <c r="M82" s="16" t="s">
        <v>500</v>
      </c>
      <c r="O82" s="2"/>
      <c r="AE82" s="3" t="s">
        <v>54</v>
      </c>
      <c r="AF82" s="3">
        <v>8</v>
      </c>
      <c r="AG82" s="3">
        <f t="shared" si="0"/>
        <v>1</v>
      </c>
      <c r="AH82" s="3">
        <f>+IF(AG82=0,0,IF(AG82=1,(SUM($AG$75:AG82)-1),1))</f>
        <v>5</v>
      </c>
      <c r="AI82" s="3">
        <f t="shared" si="1"/>
        <v>1</v>
      </c>
      <c r="AJ82" s="3">
        <f t="shared" si="2"/>
        <v>0</v>
      </c>
      <c r="AK82" s="3">
        <f t="shared" si="3"/>
        <v>1</v>
      </c>
    </row>
    <row r="83" spans="2:37" x14ac:dyDescent="0.25">
      <c r="B83" s="2"/>
      <c r="D83" s="360" t="s">
        <v>55</v>
      </c>
      <c r="E83" s="360"/>
      <c r="F83" s="16" t="s">
        <v>500</v>
      </c>
      <c r="G83" s="16">
        <v>0.7</v>
      </c>
      <c r="H83" s="16">
        <v>0.70099999999999996</v>
      </c>
      <c r="I83" s="16">
        <v>0.8</v>
      </c>
      <c r="J83" s="16">
        <v>0.80100000000000005</v>
      </c>
      <c r="K83" s="16">
        <v>0.999</v>
      </c>
      <c r="L83" s="16"/>
      <c r="M83" s="16">
        <v>1</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60" t="s">
        <v>56</v>
      </c>
      <c r="E84" s="360"/>
      <c r="F84" s="16" t="s">
        <v>500</v>
      </c>
      <c r="G84" s="16">
        <v>0.7</v>
      </c>
      <c r="H84" s="16">
        <v>0.70099999999999996</v>
      </c>
      <c r="I84" s="16">
        <v>0.8</v>
      </c>
      <c r="J84" s="16">
        <v>0.80100000000000005</v>
      </c>
      <c r="K84" s="16">
        <v>0.999</v>
      </c>
      <c r="L84" s="16"/>
      <c r="M84" s="16">
        <v>1</v>
      </c>
      <c r="O84" s="2"/>
      <c r="AE84" s="3" t="s">
        <v>56</v>
      </c>
      <c r="AF84" s="3">
        <v>10</v>
      </c>
      <c r="AG84" s="3">
        <f t="shared" si="0"/>
        <v>1</v>
      </c>
      <c r="AH84" s="3">
        <f>+IF(AG84=0,0,IF(AG84=1,(SUM($AG$75:AG84)-1),1))</f>
        <v>7</v>
      </c>
      <c r="AI84" s="3">
        <f t="shared" si="1"/>
        <v>1</v>
      </c>
      <c r="AJ84" s="3">
        <f t="shared" si="2"/>
        <v>0</v>
      </c>
      <c r="AK84" s="3">
        <f t="shared" si="3"/>
        <v>1</v>
      </c>
    </row>
    <row r="85" spans="2:37" x14ac:dyDescent="0.25">
      <c r="B85" s="2"/>
      <c r="D85" s="360" t="s">
        <v>57</v>
      </c>
      <c r="E85" s="360"/>
      <c r="F85" s="16" t="s">
        <v>500</v>
      </c>
      <c r="G85" s="16">
        <v>0.7</v>
      </c>
      <c r="H85" s="16">
        <v>0.70099999999999996</v>
      </c>
      <c r="I85" s="16">
        <v>0.8</v>
      </c>
      <c r="J85" s="16">
        <v>0.80100000000000005</v>
      </c>
      <c r="K85" s="16">
        <v>0.999</v>
      </c>
      <c r="L85" s="16"/>
      <c r="M85" s="16">
        <v>1</v>
      </c>
      <c r="O85" s="2"/>
      <c r="AE85" s="3" t="s">
        <v>57</v>
      </c>
      <c r="AF85" s="3">
        <v>11</v>
      </c>
      <c r="AG85" s="3">
        <f t="shared" si="0"/>
        <v>1</v>
      </c>
      <c r="AH85" s="3">
        <f>+IF(AG85=0,0,IF(AG85=1,(SUM($AG$75:AG85)-1),1))</f>
        <v>8</v>
      </c>
      <c r="AI85" s="3">
        <f t="shared" si="1"/>
        <v>1</v>
      </c>
      <c r="AJ85" s="3">
        <f t="shared" si="2"/>
        <v>0</v>
      </c>
      <c r="AK85" s="3">
        <f t="shared" si="3"/>
        <v>1</v>
      </c>
    </row>
    <row r="86" spans="2:37" x14ac:dyDescent="0.25">
      <c r="B86" s="2"/>
      <c r="D86" s="360" t="s">
        <v>58</v>
      </c>
      <c r="E86" s="360"/>
      <c r="F86" s="16" t="s">
        <v>500</v>
      </c>
      <c r="G86" s="16">
        <v>0.7</v>
      </c>
      <c r="H86" s="16">
        <v>0.70099999999999996</v>
      </c>
      <c r="I86" s="16">
        <v>0.8</v>
      </c>
      <c r="J86" s="16">
        <v>0.80100000000000005</v>
      </c>
      <c r="K86" s="16">
        <v>0.999</v>
      </c>
      <c r="L86" s="16"/>
      <c r="M86" s="16">
        <v>1</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99.75" customHeight="1" x14ac:dyDescent="0.25">
      <c r="B88" s="2"/>
      <c r="D88" s="338" t="s">
        <v>59</v>
      </c>
      <c r="E88" s="339"/>
      <c r="F88" s="340"/>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28.5" customHeight="1" x14ac:dyDescent="0.25">
      <c r="B97" s="2"/>
      <c r="D97" s="359" t="s">
        <v>35</v>
      </c>
      <c r="E97" s="359"/>
      <c r="F97" s="344" t="s">
        <v>550</v>
      </c>
      <c r="G97" s="344"/>
      <c r="H97" s="344"/>
      <c r="I97" s="344"/>
      <c r="J97" s="344"/>
      <c r="K97" s="344"/>
      <c r="L97" s="344"/>
      <c r="M97" s="344"/>
      <c r="O97" s="2"/>
    </row>
    <row r="98" spans="2:15" ht="28.5" customHeight="1" x14ac:dyDescent="0.25">
      <c r="B98" s="2"/>
      <c r="D98" s="359" t="s">
        <v>36</v>
      </c>
      <c r="E98" s="359"/>
      <c r="F98" s="344" t="s">
        <v>551</v>
      </c>
      <c r="G98" s="344"/>
      <c r="H98" s="344"/>
      <c r="I98" s="344"/>
      <c r="J98" s="344"/>
      <c r="K98" s="344"/>
      <c r="L98" s="344"/>
      <c r="M98" s="344"/>
      <c r="O98" s="2"/>
    </row>
    <row r="99" spans="2:15" ht="3.95" customHeight="1" x14ac:dyDescent="0.25">
      <c r="B99" s="2"/>
      <c r="O99" s="2"/>
    </row>
    <row r="100" spans="2:15" ht="86.25" customHeight="1" x14ac:dyDescent="0.25">
      <c r="B100" s="2"/>
      <c r="D100" s="338" t="s">
        <v>62</v>
      </c>
      <c r="E100" s="339"/>
      <c r="F100" s="340" t="s">
        <v>106</v>
      </c>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2</v>
      </c>
      <c r="K102" s="20"/>
      <c r="O102" s="2"/>
    </row>
    <row r="103" spans="2:15" ht="19.5" customHeight="1" x14ac:dyDescent="0.25">
      <c r="B103" s="2"/>
      <c r="D103" s="331"/>
      <c r="E103" s="332"/>
      <c r="F103" s="19" t="s">
        <v>66</v>
      </c>
      <c r="G103" s="4"/>
      <c r="K103" s="21"/>
      <c r="O103" s="2"/>
    </row>
    <row r="104" spans="2:15" ht="27.75" customHeight="1" x14ac:dyDescent="0.25">
      <c r="B104" s="2"/>
      <c r="D104" s="331"/>
      <c r="E104" s="332"/>
      <c r="F104" s="19" t="s">
        <v>67</v>
      </c>
      <c r="G104" s="333"/>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 xml:space="preserve">Director(a) Niñez y Adolescencia </v>
      </c>
      <c r="H108" s="334"/>
      <c r="I108" s="334"/>
      <c r="J108" s="334"/>
      <c r="K108" s="334"/>
      <c r="L108" s="334"/>
      <c r="M108" s="335"/>
      <c r="O108" s="2"/>
    </row>
    <row r="109" spans="2:15" ht="17.25" customHeight="1" x14ac:dyDescent="0.25">
      <c r="B109" s="2"/>
      <c r="D109" s="331"/>
      <c r="E109" s="332"/>
      <c r="F109" s="19" t="s">
        <v>2042</v>
      </c>
      <c r="G109" s="333" t="str">
        <f>+IF(M23="Si","Coordinador(a) Planeación y Sistemas","")</f>
        <v>Coordinador(a) Planeación y Sistemas</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F51">
    <cfRule type="expression" dxfId="3034" priority="31">
      <formula>+IF($F$43="no",1,0)</formula>
    </cfRule>
  </conditionalFormatting>
  <conditionalFormatting sqref="F32:M33">
    <cfRule type="expression" dxfId="3033" priority="30">
      <formula>+IF($Q$30="NA",1,0)</formula>
    </cfRule>
  </conditionalFormatting>
  <conditionalFormatting sqref="F33:M33">
    <cfRule type="expression" dxfId="3032" priority="29">
      <formula>+IF($Q$33=0,1,0)</formula>
    </cfRule>
  </conditionalFormatting>
  <conditionalFormatting sqref="F47:M47">
    <cfRule type="expression" dxfId="3031" priority="28">
      <formula>+IF($Q$47=0,1,0)</formula>
    </cfRule>
  </conditionalFormatting>
  <conditionalFormatting sqref="F73:G73">
    <cfRule type="cellIs" dxfId="3030" priority="14" operator="equal">
      <formula>"optimo"</formula>
    </cfRule>
    <cfRule type="cellIs" dxfId="3029" priority="15" operator="equal">
      <formula>"critico"</formula>
    </cfRule>
  </conditionalFormatting>
  <conditionalFormatting sqref="H73:I73">
    <cfRule type="cellIs" dxfId="3028" priority="12" operator="equal">
      <formula>"Adecuado"</formula>
    </cfRule>
    <cfRule type="cellIs" dxfId="3027" priority="13" operator="equal">
      <formula>"en riesgo"</formula>
    </cfRule>
  </conditionalFormatting>
  <conditionalFormatting sqref="J73:K73">
    <cfRule type="cellIs" dxfId="3026" priority="10" operator="equal">
      <formula>"Adecuado"</formula>
    </cfRule>
    <cfRule type="cellIs" dxfId="3025" priority="11" operator="equal">
      <formula>"en riesgo"</formula>
    </cfRule>
  </conditionalFormatting>
  <conditionalFormatting sqref="L73:M73">
    <cfRule type="cellIs" dxfId="3024" priority="8" operator="equal">
      <formula>"optimo"</formula>
    </cfRule>
    <cfRule type="cellIs" dxfId="3023" priority="9" operator="equal">
      <formula>"critico"</formula>
    </cfRule>
  </conditionalFormatting>
  <conditionalFormatting sqref="F75:M78 F79:F86">
    <cfRule type="expression" dxfId="3022" priority="7">
      <formula>+IF($AK75=0,1)</formula>
    </cfRule>
  </conditionalFormatting>
  <conditionalFormatting sqref="F103:G104">
    <cfRule type="expression" dxfId="3021" priority="6">
      <formula>+IF($G$102="No",1,0)</formula>
    </cfRule>
  </conditionalFormatting>
  <conditionalFormatting sqref="I51">
    <cfRule type="expression" dxfId="3020" priority="5">
      <formula>+IF($F$51="no",1,0)</formula>
    </cfRule>
  </conditionalFormatting>
  <conditionalFormatting sqref="G80:M86">
    <cfRule type="expression" dxfId="3019" priority="60">
      <formula>+IF($AK79=0,1)</formula>
    </cfRule>
  </conditionalFormatting>
  <conditionalFormatting sqref="G79:L79">
    <cfRule type="expression" dxfId="3018" priority="1">
      <formula>+IF($AK79=0,1)</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tabColor rgb="FF0070C0"/>
  </sheetPr>
  <dimension ref="B1:AV113"/>
  <sheetViews>
    <sheetView zoomScaleNormal="100" workbookViewId="0">
      <selection activeCell="P3" sqref="P3"/>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162</v>
      </c>
      <c r="O10" s="2"/>
    </row>
    <row r="11" spans="2:24" ht="3.95" customHeight="1" x14ac:dyDescent="0.25">
      <c r="B11" s="2"/>
      <c r="D11" s="6"/>
      <c r="O11" s="2"/>
    </row>
    <row r="12" spans="2:24" ht="36" customHeight="1" x14ac:dyDescent="0.25">
      <c r="B12" s="2"/>
      <c r="D12" s="338" t="s">
        <v>5</v>
      </c>
      <c r="E12" s="339"/>
      <c r="F12" s="340" t="s">
        <v>163</v>
      </c>
      <c r="G12" s="341"/>
      <c r="H12" s="341"/>
      <c r="I12" s="341"/>
      <c r="J12" s="341"/>
      <c r="K12" s="341"/>
      <c r="L12" s="341"/>
      <c r="M12" s="342"/>
      <c r="O12" s="2"/>
      <c r="W12" s="3" t="str">
        <f>+F23</f>
        <v>Mensual</v>
      </c>
      <c r="X12" s="3" t="str">
        <f>+F71</f>
        <v>Marzo</v>
      </c>
    </row>
    <row r="13" spans="2:24" ht="3.95" customHeight="1" x14ac:dyDescent="0.25">
      <c r="B13" s="2"/>
      <c r="O13" s="2"/>
    </row>
    <row r="14" spans="2:24" ht="36" customHeight="1" x14ac:dyDescent="0.25">
      <c r="B14" s="2"/>
      <c r="D14" s="338" t="s">
        <v>6</v>
      </c>
      <c r="E14" s="339"/>
      <c r="F14" s="340" t="s">
        <v>543</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8">
        <v>916552</v>
      </c>
      <c r="G22" s="337" t="s">
        <v>9</v>
      </c>
      <c r="H22" s="337"/>
      <c r="I22" s="8">
        <v>757108</v>
      </c>
      <c r="K22" s="337" t="s">
        <v>10</v>
      </c>
      <c r="L22" s="337"/>
      <c r="M22" s="9" t="s">
        <v>496</v>
      </c>
      <c r="O22" s="2"/>
    </row>
    <row r="23" spans="2:17" ht="19.5" customHeight="1" x14ac:dyDescent="0.25">
      <c r="B23" s="2"/>
      <c r="D23" s="337" t="s">
        <v>11</v>
      </c>
      <c r="E23" s="337"/>
      <c r="F23" s="4" t="s">
        <v>84</v>
      </c>
      <c r="G23" s="337" t="s">
        <v>12</v>
      </c>
      <c r="H23" s="337"/>
      <c r="I23" s="4" t="s">
        <v>514</v>
      </c>
      <c r="K23" s="337" t="s">
        <v>13</v>
      </c>
      <c r="L23" s="337"/>
      <c r="M23" s="9" t="s">
        <v>496</v>
      </c>
      <c r="O23" s="2"/>
    </row>
    <row r="24" spans="2:17" ht="20.100000000000001" customHeight="1" x14ac:dyDescent="0.25">
      <c r="B24" s="2"/>
      <c r="D24" s="337" t="s">
        <v>14</v>
      </c>
      <c r="E24" s="337"/>
      <c r="F24" s="4" t="s">
        <v>498</v>
      </c>
      <c r="G24" s="337" t="s">
        <v>15</v>
      </c>
      <c r="H24" s="337"/>
      <c r="I24" s="4" t="s">
        <v>544</v>
      </c>
      <c r="K24" s="337" t="s">
        <v>16</v>
      </c>
      <c r="L24" s="337"/>
      <c r="M24" s="9" t="s">
        <v>496</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99</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NA</v>
      </c>
    </row>
    <row r="31" spans="2:17" ht="24" customHeight="1" x14ac:dyDescent="0.25">
      <c r="B31" s="2"/>
      <c r="D31" s="347"/>
      <c r="E31" s="348"/>
      <c r="F31" s="4" t="s">
        <v>144</v>
      </c>
      <c r="G31" s="340" t="s">
        <v>145</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500</v>
      </c>
      <c r="G33" s="340"/>
      <c r="H33" s="341"/>
      <c r="I33" s="341"/>
      <c r="J33" s="341"/>
      <c r="K33" s="341"/>
      <c r="L33" s="341"/>
      <c r="M33" s="342"/>
      <c r="O33" s="2"/>
      <c r="Q33" s="3" t="str">
        <f>+IFERROR(IF(VLOOKUP(G33,base!$A$26:$C$40,3,FALSE)=F31,1,0),"")</f>
        <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1712</v>
      </c>
      <c r="G35" s="340" t="s">
        <v>1588</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2</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500</v>
      </c>
      <c r="G45" s="340" t="s">
        <v>512</v>
      </c>
      <c r="H45" s="341"/>
      <c r="I45" s="341"/>
      <c r="J45" s="341"/>
      <c r="K45" s="341"/>
      <c r="L45" s="341"/>
      <c r="M45" s="342"/>
      <c r="O45" s="2"/>
      <c r="Q45" s="3" t="str">
        <f>+IFERROR(VLOOKUP(G45,base!$A$41:$C$45,3,FALSE),"")</f>
        <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500</v>
      </c>
      <c r="G47" s="340" t="s">
        <v>512</v>
      </c>
      <c r="H47" s="341"/>
      <c r="I47" s="341"/>
      <c r="J47" s="341"/>
      <c r="K47" s="341"/>
      <c r="L47" s="341"/>
      <c r="M47" s="342"/>
      <c r="O47" s="2"/>
      <c r="Q47" s="3" t="e">
        <f>+IF(VLOOKUP(G47,base!$A$46:$C$66,3,FALSE)=F45,1,0)</f>
        <v>#N/A</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535</v>
      </c>
      <c r="G49" s="340" t="s">
        <v>30</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8"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9.25" customHeight="1" x14ac:dyDescent="0.25">
      <c r="B59" s="2"/>
      <c r="D59" s="337" t="s">
        <v>34</v>
      </c>
      <c r="E59" s="337"/>
      <c r="F59" s="344" t="s">
        <v>545</v>
      </c>
      <c r="G59" s="344"/>
      <c r="H59" s="344"/>
      <c r="I59" s="344"/>
      <c r="J59" s="344"/>
      <c r="K59" s="344"/>
      <c r="L59" s="344"/>
      <c r="M59" s="344"/>
      <c r="O59" s="2"/>
    </row>
    <row r="60" spans="2:15" ht="63" customHeight="1" x14ac:dyDescent="0.25">
      <c r="B60" s="2"/>
      <c r="D60" s="359" t="s">
        <v>35</v>
      </c>
      <c r="E60" s="359"/>
      <c r="F60" s="344" t="s">
        <v>546</v>
      </c>
      <c r="G60" s="344"/>
      <c r="H60" s="344"/>
      <c r="I60" s="344"/>
      <c r="J60" s="344"/>
      <c r="K60" s="344"/>
      <c r="L60" s="344"/>
      <c r="M60" s="344"/>
      <c r="O60" s="2"/>
    </row>
    <row r="61" spans="2:15" ht="60" customHeight="1" x14ac:dyDescent="0.25">
      <c r="B61" s="2"/>
      <c r="D61" s="359" t="s">
        <v>36</v>
      </c>
      <c r="E61" s="359"/>
      <c r="F61" s="344" t="s">
        <v>547</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43" t="s">
        <v>39</v>
      </c>
      <c r="E71" s="343"/>
      <c r="F71" s="4" t="s">
        <v>47</v>
      </c>
      <c r="G71" s="3">
        <v>3</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24">
        <v>8.8999999999999999E-3</v>
      </c>
      <c r="H77" s="24">
        <v>9.8999999999999991E-3</v>
      </c>
      <c r="I77" s="24">
        <v>1.0699999999999999E-2</v>
      </c>
      <c r="J77" s="24">
        <v>1.1699999999999999E-2</v>
      </c>
      <c r="K77" s="24">
        <v>1.6E-2</v>
      </c>
      <c r="L77" s="24">
        <v>1.7000000000000001E-2</v>
      </c>
      <c r="M77" s="16" t="s">
        <v>500</v>
      </c>
      <c r="O77" s="2"/>
      <c r="AE77" s="3" t="s">
        <v>47</v>
      </c>
      <c r="AF77" s="3">
        <v>3</v>
      </c>
      <c r="AG77" s="3">
        <f t="shared" si="0"/>
        <v>1</v>
      </c>
      <c r="AH77" s="3">
        <f>+IF(AG77=0,0,IF(AG77=1,(SUM($AG$75:AG77)-1),1))</f>
        <v>0</v>
      </c>
      <c r="AI77" s="3">
        <f t="shared" si="1"/>
        <v>0</v>
      </c>
      <c r="AJ77" s="3">
        <f t="shared" si="2"/>
        <v>1</v>
      </c>
      <c r="AK77" s="3">
        <f t="shared" si="3"/>
        <v>1</v>
      </c>
    </row>
    <row r="78" spans="2:37" x14ac:dyDescent="0.25">
      <c r="B78" s="2"/>
      <c r="D78" s="360" t="s">
        <v>48</v>
      </c>
      <c r="E78" s="360"/>
      <c r="F78" s="16" t="s">
        <v>500</v>
      </c>
      <c r="G78" s="24">
        <v>2.58E-2</v>
      </c>
      <c r="H78" s="24">
        <v>2.6800000000000001E-2</v>
      </c>
      <c r="I78" s="24">
        <v>2.76E-2</v>
      </c>
      <c r="J78" s="24">
        <v>2.86E-2</v>
      </c>
      <c r="K78" s="24">
        <v>2.92E-2</v>
      </c>
      <c r="L78" s="24">
        <v>3.0200000000000001E-2</v>
      </c>
      <c r="M78" s="16" t="s">
        <v>500</v>
      </c>
      <c r="O78" s="2"/>
      <c r="AE78" s="3" t="s">
        <v>48</v>
      </c>
      <c r="AF78" s="3">
        <v>4</v>
      </c>
      <c r="AG78" s="3">
        <f t="shared" si="0"/>
        <v>1</v>
      </c>
      <c r="AH78" s="3">
        <f>+IF(AG78=0,0,IF(AG78=1,(SUM($AG$75:AG78)-1),1))</f>
        <v>1</v>
      </c>
      <c r="AI78" s="3">
        <f t="shared" si="1"/>
        <v>1</v>
      </c>
      <c r="AJ78" s="3">
        <f t="shared" si="2"/>
        <v>0</v>
      </c>
      <c r="AK78" s="3">
        <f t="shared" si="3"/>
        <v>1</v>
      </c>
    </row>
    <row r="79" spans="2:37" x14ac:dyDescent="0.25">
      <c r="B79" s="2"/>
      <c r="D79" s="360" t="s">
        <v>49</v>
      </c>
      <c r="E79" s="360"/>
      <c r="F79" s="16" t="s">
        <v>500</v>
      </c>
      <c r="G79" s="24">
        <v>2.58E-2</v>
      </c>
      <c r="H79" s="24">
        <v>2.6800000000000001E-2</v>
      </c>
      <c r="I79" s="24">
        <v>2.76E-2</v>
      </c>
      <c r="J79" s="24">
        <v>2.86E-2</v>
      </c>
      <c r="K79" s="24">
        <v>2.92E-2</v>
      </c>
      <c r="L79" s="24">
        <v>3.0200000000000001E-2</v>
      </c>
      <c r="M79" s="16" t="s">
        <v>500</v>
      </c>
      <c r="O79" s="2"/>
      <c r="AE79" s="3" t="s">
        <v>49</v>
      </c>
      <c r="AF79" s="3">
        <v>5</v>
      </c>
      <c r="AG79" s="3">
        <f t="shared" si="0"/>
        <v>1</v>
      </c>
      <c r="AH79" s="3">
        <f>+IF(AG79=0,0,IF(AG79=1,(SUM($AG$75:AG79)-1),1))</f>
        <v>2</v>
      </c>
      <c r="AI79" s="3">
        <f t="shared" si="1"/>
        <v>1</v>
      </c>
      <c r="AJ79" s="3">
        <f t="shared" si="2"/>
        <v>0</v>
      </c>
      <c r="AK79" s="3">
        <f t="shared" si="3"/>
        <v>1</v>
      </c>
    </row>
    <row r="80" spans="2:37" x14ac:dyDescent="0.25">
      <c r="B80" s="2"/>
      <c r="D80" s="360" t="s">
        <v>50</v>
      </c>
      <c r="E80" s="360"/>
      <c r="F80" s="16" t="s">
        <v>500</v>
      </c>
      <c r="G80" s="24">
        <v>4.99E-2</v>
      </c>
      <c r="H80" s="24">
        <v>0.05</v>
      </c>
      <c r="I80" s="24">
        <v>6.9900000000000004E-2</v>
      </c>
      <c r="J80" s="24">
        <v>7.0000000000000007E-2</v>
      </c>
      <c r="K80" s="24">
        <v>7.9899999999999999E-2</v>
      </c>
      <c r="L80" s="24">
        <v>0.08</v>
      </c>
      <c r="M80" s="16" t="s">
        <v>500</v>
      </c>
      <c r="O80" s="2"/>
      <c r="AE80" s="3" t="s">
        <v>50</v>
      </c>
      <c r="AF80" s="3">
        <v>6</v>
      </c>
      <c r="AG80" s="3">
        <f t="shared" si="0"/>
        <v>1</v>
      </c>
      <c r="AH80" s="3">
        <f>+IF(AG80=0,0,IF(AG80=1,(SUM($AG$75:AG80)-1),1))</f>
        <v>3</v>
      </c>
      <c r="AI80" s="3">
        <f t="shared" si="1"/>
        <v>1</v>
      </c>
      <c r="AJ80" s="3">
        <f t="shared" si="2"/>
        <v>0</v>
      </c>
      <c r="AK80" s="3">
        <f t="shared" si="3"/>
        <v>1</v>
      </c>
    </row>
    <row r="81" spans="2:37" x14ac:dyDescent="0.25">
      <c r="B81" s="2"/>
      <c r="D81" s="360" t="s">
        <v>53</v>
      </c>
      <c r="E81" s="360"/>
      <c r="F81" s="16" t="s">
        <v>500</v>
      </c>
      <c r="G81" s="24">
        <v>4.99E-2</v>
      </c>
      <c r="H81" s="24">
        <v>0.05</v>
      </c>
      <c r="I81" s="24">
        <v>6.9900000000000004E-2</v>
      </c>
      <c r="J81" s="24">
        <v>7.0000000000000007E-2</v>
      </c>
      <c r="K81" s="24">
        <v>7.9899999999999999E-2</v>
      </c>
      <c r="L81" s="24">
        <v>0.08</v>
      </c>
      <c r="M81" s="16" t="s">
        <v>500</v>
      </c>
      <c r="O81" s="2"/>
      <c r="AE81" s="3" t="s">
        <v>53</v>
      </c>
      <c r="AF81" s="3">
        <v>7</v>
      </c>
      <c r="AG81" s="3">
        <f t="shared" si="0"/>
        <v>1</v>
      </c>
      <c r="AH81" s="3">
        <f>+IF(AG81=0,0,IF(AG81=1,(SUM($AG$75:AG81)-1),1))</f>
        <v>4</v>
      </c>
      <c r="AI81" s="3">
        <f t="shared" si="1"/>
        <v>1</v>
      </c>
      <c r="AJ81" s="3">
        <f t="shared" si="2"/>
        <v>0</v>
      </c>
      <c r="AK81" s="3">
        <f t="shared" si="3"/>
        <v>1</v>
      </c>
    </row>
    <row r="82" spans="2:37" x14ac:dyDescent="0.25">
      <c r="B82" s="2"/>
      <c r="D82" s="360" t="s">
        <v>54</v>
      </c>
      <c r="E82" s="360"/>
      <c r="F82" s="16" t="s">
        <v>500</v>
      </c>
      <c r="G82" s="24">
        <v>0.1799</v>
      </c>
      <c r="H82" s="24">
        <v>0.18</v>
      </c>
      <c r="I82" s="24">
        <v>0.18990000000000001</v>
      </c>
      <c r="J82" s="24">
        <v>0.19</v>
      </c>
      <c r="K82" s="24">
        <v>0.19989999999999999</v>
      </c>
      <c r="L82" s="24">
        <v>0.2</v>
      </c>
      <c r="M82" s="16" t="s">
        <v>500</v>
      </c>
      <c r="O82" s="2"/>
      <c r="AE82" s="3" t="s">
        <v>54</v>
      </c>
      <c r="AF82" s="3">
        <v>8</v>
      </c>
      <c r="AG82" s="3">
        <f t="shared" si="0"/>
        <v>1</v>
      </c>
      <c r="AH82" s="3">
        <f>+IF(AG82=0,0,IF(AG82=1,(SUM($AG$75:AG82)-1),1))</f>
        <v>5</v>
      </c>
      <c r="AI82" s="3">
        <f t="shared" si="1"/>
        <v>1</v>
      </c>
      <c r="AJ82" s="3">
        <f t="shared" si="2"/>
        <v>0</v>
      </c>
      <c r="AK82" s="3">
        <f t="shared" si="3"/>
        <v>1</v>
      </c>
    </row>
    <row r="83" spans="2:37" x14ac:dyDescent="0.25">
      <c r="B83" s="2"/>
      <c r="D83" s="360" t="s">
        <v>55</v>
      </c>
      <c r="E83" s="360"/>
      <c r="F83" s="16" t="s">
        <v>500</v>
      </c>
      <c r="G83" s="24">
        <v>0.40989999999999999</v>
      </c>
      <c r="H83" s="24">
        <v>0.41</v>
      </c>
      <c r="I83" s="24">
        <v>0.4299</v>
      </c>
      <c r="J83" s="24">
        <v>0.43</v>
      </c>
      <c r="K83" s="24">
        <v>0.44990000000000002</v>
      </c>
      <c r="L83" s="24">
        <v>0.45</v>
      </c>
      <c r="M83" s="16" t="s">
        <v>500</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60" t="s">
        <v>56</v>
      </c>
      <c r="E84" s="360"/>
      <c r="F84" s="16" t="s">
        <v>500</v>
      </c>
      <c r="G84" s="24">
        <v>0.62990000000000002</v>
      </c>
      <c r="H84" s="24">
        <v>0.63</v>
      </c>
      <c r="I84" s="24">
        <v>0.63990000000000002</v>
      </c>
      <c r="J84" s="24">
        <v>0.64</v>
      </c>
      <c r="K84" s="24">
        <v>0.65990000000000004</v>
      </c>
      <c r="L84" s="24">
        <v>0.66</v>
      </c>
      <c r="M84" s="16" t="s">
        <v>500</v>
      </c>
      <c r="O84" s="2"/>
      <c r="AE84" s="3" t="s">
        <v>56</v>
      </c>
      <c r="AF84" s="3">
        <v>10</v>
      </c>
      <c r="AG84" s="3">
        <f t="shared" si="0"/>
        <v>1</v>
      </c>
      <c r="AH84" s="3">
        <f>+IF(AG84=0,0,IF(AG84=1,(SUM($AG$75:AG84)-1),1))</f>
        <v>7</v>
      </c>
      <c r="AI84" s="3">
        <f t="shared" si="1"/>
        <v>1</v>
      </c>
      <c r="AJ84" s="3">
        <f t="shared" si="2"/>
        <v>0</v>
      </c>
      <c r="AK84" s="3">
        <f t="shared" si="3"/>
        <v>1</v>
      </c>
    </row>
    <row r="85" spans="2:37" x14ac:dyDescent="0.25">
      <c r="B85" s="2"/>
      <c r="D85" s="360" t="s">
        <v>57</v>
      </c>
      <c r="E85" s="360"/>
      <c r="F85" s="16" t="s">
        <v>500</v>
      </c>
      <c r="G85" s="24">
        <v>0.69989999999999997</v>
      </c>
      <c r="H85" s="24">
        <v>0.7</v>
      </c>
      <c r="I85" s="24">
        <v>0.76990000000000003</v>
      </c>
      <c r="J85" s="24">
        <v>0.77</v>
      </c>
      <c r="K85" s="24">
        <v>0.87990000000000002</v>
      </c>
      <c r="L85" s="24">
        <v>0.88</v>
      </c>
      <c r="M85" s="16" t="s">
        <v>500</v>
      </c>
      <c r="O85" s="2"/>
      <c r="AE85" s="3" t="s">
        <v>57</v>
      </c>
      <c r="AF85" s="3">
        <v>11</v>
      </c>
      <c r="AG85" s="3">
        <f t="shared" si="0"/>
        <v>1</v>
      </c>
      <c r="AH85" s="3">
        <f>+IF(AG85=0,0,IF(AG85=1,(SUM($AG$75:AG85)-1),1))</f>
        <v>8</v>
      </c>
      <c r="AI85" s="3">
        <f t="shared" si="1"/>
        <v>1</v>
      </c>
      <c r="AJ85" s="3">
        <f t="shared" si="2"/>
        <v>0</v>
      </c>
      <c r="AK85" s="3">
        <f t="shared" si="3"/>
        <v>1</v>
      </c>
    </row>
    <row r="86" spans="2:37" x14ac:dyDescent="0.25">
      <c r="B86" s="2"/>
      <c r="D86" s="360" t="s">
        <v>58</v>
      </c>
      <c r="E86" s="360"/>
      <c r="F86" s="16" t="s">
        <v>500</v>
      </c>
      <c r="G86" s="24">
        <v>0.79990000000000006</v>
      </c>
      <c r="H86" s="24">
        <v>0.8</v>
      </c>
      <c r="I86" s="24">
        <v>0.9</v>
      </c>
      <c r="J86" s="24">
        <v>0.90010000000000001</v>
      </c>
      <c r="K86" s="24">
        <v>0.999</v>
      </c>
      <c r="L86" s="24"/>
      <c r="M86" s="16">
        <v>1</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66" customHeight="1" x14ac:dyDescent="0.25">
      <c r="B88" s="2"/>
      <c r="D88" s="338" t="s">
        <v>59</v>
      </c>
      <c r="E88" s="339"/>
      <c r="F88" s="340"/>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28.5" customHeight="1" x14ac:dyDescent="0.25">
      <c r="B97" s="2"/>
      <c r="D97" s="359" t="s">
        <v>35</v>
      </c>
      <c r="E97" s="359"/>
      <c r="F97" s="344" t="s">
        <v>542</v>
      </c>
      <c r="G97" s="344"/>
      <c r="H97" s="344"/>
      <c r="I97" s="344"/>
      <c r="J97" s="344"/>
      <c r="K97" s="344"/>
      <c r="L97" s="344"/>
      <c r="M97" s="344"/>
      <c r="O97" s="2"/>
    </row>
    <row r="98" spans="2:15" ht="28.5" customHeight="1" x14ac:dyDescent="0.25">
      <c r="B98" s="2"/>
      <c r="D98" s="359" t="s">
        <v>36</v>
      </c>
      <c r="E98" s="359"/>
      <c r="F98" s="344" t="s">
        <v>548</v>
      </c>
      <c r="G98" s="344"/>
      <c r="H98" s="344"/>
      <c r="I98" s="344"/>
      <c r="J98" s="344"/>
      <c r="K98" s="344"/>
      <c r="L98" s="344"/>
      <c r="M98" s="344"/>
      <c r="O98" s="2"/>
    </row>
    <row r="99" spans="2:15" ht="3.95" customHeight="1" x14ac:dyDescent="0.25">
      <c r="B99" s="2"/>
      <c r="O99" s="2"/>
    </row>
    <row r="100" spans="2:15" ht="136.5" customHeight="1" x14ac:dyDescent="0.25">
      <c r="B100" s="2"/>
      <c r="D100" s="338" t="s">
        <v>62</v>
      </c>
      <c r="E100" s="339"/>
      <c r="F100" s="340" t="s">
        <v>107</v>
      </c>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1</v>
      </c>
      <c r="K102" s="20"/>
      <c r="O102" s="2"/>
    </row>
    <row r="103" spans="2:15" ht="19.5" customHeight="1" x14ac:dyDescent="0.25">
      <c r="B103" s="2"/>
      <c r="D103" s="331"/>
      <c r="E103" s="332"/>
      <c r="F103" s="19" t="s">
        <v>66</v>
      </c>
      <c r="G103" s="4" t="s">
        <v>166</v>
      </c>
      <c r="K103" s="21"/>
      <c r="O103" s="2"/>
    </row>
    <row r="104" spans="2:15" ht="27.75" customHeight="1" x14ac:dyDescent="0.25">
      <c r="B104" s="2"/>
      <c r="D104" s="331"/>
      <c r="E104" s="332"/>
      <c r="F104" s="19" t="s">
        <v>67</v>
      </c>
      <c r="G104" s="333" t="s">
        <v>1743</v>
      </c>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 xml:space="preserve">Director(a) Niñez y Adolescencia </v>
      </c>
      <c r="H108" s="334"/>
      <c r="I108" s="334"/>
      <c r="J108" s="334"/>
      <c r="K108" s="334"/>
      <c r="L108" s="334"/>
      <c r="M108" s="335"/>
      <c r="O108" s="2"/>
    </row>
    <row r="109" spans="2:15" ht="17.25" customHeight="1" x14ac:dyDescent="0.25">
      <c r="B109" s="2"/>
      <c r="D109" s="331"/>
      <c r="E109" s="332"/>
      <c r="F109" s="19" t="s">
        <v>2042</v>
      </c>
      <c r="G109" s="333" t="str">
        <f>+IF(M23="Si","Coordinador(a) Planeación y Sistemas","")</f>
        <v>Coordinador(a) Planeación y Sistemas</v>
      </c>
      <c r="H109" s="334"/>
      <c r="I109" s="334"/>
      <c r="J109" s="334"/>
      <c r="K109" s="334"/>
      <c r="L109" s="334"/>
      <c r="M109" s="335"/>
      <c r="O109" s="2"/>
    </row>
    <row r="110" spans="2:15" ht="17.25" customHeight="1" x14ac:dyDescent="0.25">
      <c r="B110" s="2"/>
      <c r="D110" s="331"/>
      <c r="E110" s="332"/>
      <c r="F110" s="19" t="s">
        <v>2043</v>
      </c>
      <c r="G110" s="333" t="str">
        <f>+IF(M24="Si","Coordinador(a) Centro Zonal","")</f>
        <v>Coordinador(a) Centro Zonal</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F51">
    <cfRule type="expression" dxfId="3017" priority="30">
      <formula>+IF($F$43="no",1,0)</formula>
    </cfRule>
  </conditionalFormatting>
  <conditionalFormatting sqref="F32:M33">
    <cfRule type="expression" dxfId="3016" priority="29">
      <formula>+IF($Q$30="NA",1,0)</formula>
    </cfRule>
  </conditionalFormatting>
  <conditionalFormatting sqref="F33:M33">
    <cfRule type="expression" dxfId="3015" priority="28">
      <formula>+IF($Q$33=0,1,0)</formula>
    </cfRule>
  </conditionalFormatting>
  <conditionalFormatting sqref="F47:M47">
    <cfRule type="expression" dxfId="3014" priority="27">
      <formula>+IF($Q$47=0,1,0)</formula>
    </cfRule>
  </conditionalFormatting>
  <conditionalFormatting sqref="F73:G73">
    <cfRule type="cellIs" dxfId="3013" priority="13" operator="equal">
      <formula>"optimo"</formula>
    </cfRule>
    <cfRule type="cellIs" dxfId="3012" priority="14" operator="equal">
      <formula>"critico"</formula>
    </cfRule>
  </conditionalFormatting>
  <conditionalFormatting sqref="H73:I73">
    <cfRule type="cellIs" dxfId="3011" priority="11" operator="equal">
      <formula>"Adecuado"</formula>
    </cfRule>
    <cfRule type="cellIs" dxfId="3010" priority="12" operator="equal">
      <formula>"en riesgo"</formula>
    </cfRule>
  </conditionalFormatting>
  <conditionalFormatting sqref="J73:K73">
    <cfRule type="cellIs" dxfId="3009" priority="9" operator="equal">
      <formula>"Adecuado"</formula>
    </cfRule>
    <cfRule type="cellIs" dxfId="3008" priority="10" operator="equal">
      <formula>"en riesgo"</formula>
    </cfRule>
  </conditionalFormatting>
  <conditionalFormatting sqref="L73:M73">
    <cfRule type="cellIs" dxfId="3007" priority="7" operator="equal">
      <formula>"optimo"</formula>
    </cfRule>
    <cfRule type="cellIs" dxfId="3006" priority="8" operator="equal">
      <formula>"critico"</formula>
    </cfRule>
  </conditionalFormatting>
  <conditionalFormatting sqref="F84:M86 F75:M78 F79:F83 M79:M83">
    <cfRule type="expression" dxfId="3005" priority="6">
      <formula>+IF($AK75=0,1)</formula>
    </cfRule>
  </conditionalFormatting>
  <conditionalFormatting sqref="F103:G104">
    <cfRule type="expression" dxfId="3004" priority="5">
      <formula>+IF($G$102="No",1,0)</formula>
    </cfRule>
  </conditionalFormatting>
  <conditionalFormatting sqref="G80:L83">
    <cfRule type="expression" dxfId="3003" priority="63">
      <formula>+IF($AK79=0,1)</formula>
    </cfRule>
  </conditionalFormatting>
  <conditionalFormatting sqref="G79:L79">
    <cfRule type="expression" dxfId="3002" priority="1">
      <formula>+IF($AK79=0,1)</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tabColor rgb="FF0070C0"/>
  </sheetPr>
  <dimension ref="B1:AV113"/>
  <sheetViews>
    <sheetView zoomScaleNormal="100" workbookViewId="0"/>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164</v>
      </c>
      <c r="O10" s="2"/>
    </row>
    <row r="11" spans="2:24" ht="3.95" customHeight="1" x14ac:dyDescent="0.25">
      <c r="B11" s="2"/>
      <c r="D11" s="6"/>
      <c r="O11" s="2"/>
    </row>
    <row r="12" spans="2:24" ht="36" customHeight="1" x14ac:dyDescent="0.25">
      <c r="B12" s="2"/>
      <c r="D12" s="338" t="s">
        <v>5</v>
      </c>
      <c r="E12" s="339"/>
      <c r="F12" s="340" t="s">
        <v>165</v>
      </c>
      <c r="G12" s="341"/>
      <c r="H12" s="341"/>
      <c r="I12" s="341"/>
      <c r="J12" s="341"/>
      <c r="K12" s="341"/>
      <c r="L12" s="341"/>
      <c r="M12" s="342"/>
      <c r="O12" s="2"/>
      <c r="W12" s="3" t="str">
        <f>+F23</f>
        <v>Mensual</v>
      </c>
      <c r="X12" s="3" t="str">
        <f>+F71</f>
        <v>Julio</v>
      </c>
    </row>
    <row r="13" spans="2:24" ht="3.95" customHeight="1" x14ac:dyDescent="0.25">
      <c r="B13" s="2"/>
      <c r="O13" s="2"/>
    </row>
    <row r="14" spans="2:24" ht="53.25" customHeight="1" x14ac:dyDescent="0.25">
      <c r="B14" s="2"/>
      <c r="D14" s="338" t="s">
        <v>6</v>
      </c>
      <c r="E14" s="339"/>
      <c r="F14" s="340" t="s">
        <v>1744</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17">
        <v>0.8</v>
      </c>
      <c r="G22" s="337" t="s">
        <v>9</v>
      </c>
      <c r="H22" s="337"/>
      <c r="I22" s="17">
        <v>0.9</v>
      </c>
      <c r="K22" s="337" t="s">
        <v>10</v>
      </c>
      <c r="L22" s="337"/>
      <c r="M22" s="9" t="s">
        <v>496</v>
      </c>
      <c r="O22" s="2"/>
    </row>
    <row r="23" spans="2:17" ht="19.5" customHeight="1" x14ac:dyDescent="0.25">
      <c r="B23" s="2"/>
      <c r="D23" s="337" t="s">
        <v>11</v>
      </c>
      <c r="E23" s="337"/>
      <c r="F23" s="4" t="s">
        <v>84</v>
      </c>
      <c r="G23" s="337" t="s">
        <v>12</v>
      </c>
      <c r="H23" s="337"/>
      <c r="I23" s="4" t="s">
        <v>497</v>
      </c>
      <c r="K23" s="337" t="s">
        <v>13</v>
      </c>
      <c r="L23" s="337"/>
      <c r="M23" s="9" t="s">
        <v>496</v>
      </c>
      <c r="O23" s="2"/>
    </row>
    <row r="24" spans="2:17" ht="20.100000000000001" customHeight="1" x14ac:dyDescent="0.25">
      <c r="B24" s="2"/>
      <c r="D24" s="337" t="s">
        <v>14</v>
      </c>
      <c r="E24" s="337"/>
      <c r="F24" s="4" t="s">
        <v>498</v>
      </c>
      <c r="G24" s="337" t="s">
        <v>15</v>
      </c>
      <c r="H24" s="337"/>
      <c r="I24" s="4" t="s">
        <v>533</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99</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NA</v>
      </c>
    </row>
    <row r="31" spans="2:17" ht="24" customHeight="1" x14ac:dyDescent="0.25">
      <c r="B31" s="2"/>
      <c r="D31" s="347"/>
      <c r="E31" s="348"/>
      <c r="F31" s="4" t="s">
        <v>144</v>
      </c>
      <c r="G31" s="340" t="s">
        <v>145</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500</v>
      </c>
      <c r="G33" s="340"/>
      <c r="H33" s="341"/>
      <c r="I33" s="341"/>
      <c r="J33" s="341"/>
      <c r="K33" s="341"/>
      <c r="L33" s="341"/>
      <c r="M33" s="342"/>
      <c r="O33" s="2"/>
      <c r="Q33" s="3" t="str">
        <f>+IFERROR(IF(VLOOKUP(G33,base!$A$26:$C$40,3,FALSE)=F31,1,0),"")</f>
        <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1712</v>
      </c>
      <c r="G35" s="340" t="s">
        <v>1588</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2</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500</v>
      </c>
      <c r="G45" s="340" t="s">
        <v>512</v>
      </c>
      <c r="H45" s="341"/>
      <c r="I45" s="341"/>
      <c r="J45" s="341"/>
      <c r="K45" s="341"/>
      <c r="L45" s="341"/>
      <c r="M45" s="342"/>
      <c r="O45" s="2"/>
      <c r="Q45" s="3" t="str">
        <f>+IFERROR(VLOOKUP(G45,base!$A$41:$C$45,3,FALSE),"")</f>
        <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500</v>
      </c>
      <c r="G47" s="340" t="s">
        <v>512</v>
      </c>
      <c r="H47" s="341"/>
      <c r="I47" s="341"/>
      <c r="J47" s="341"/>
      <c r="K47" s="341"/>
      <c r="L47" s="341"/>
      <c r="M47" s="342"/>
      <c r="O47" s="2"/>
      <c r="Q47" s="3" t="e">
        <f>+IF(VLOOKUP(G47,base!$A$46:$C$66,3,FALSE)=F45,1,0)</f>
        <v>#N/A</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535</v>
      </c>
      <c r="G49" s="340" t="s">
        <v>30</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17"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75" customHeight="1" x14ac:dyDescent="0.25">
      <c r="B59" s="2"/>
      <c r="D59" s="337" t="s">
        <v>34</v>
      </c>
      <c r="E59" s="337"/>
      <c r="F59" s="344" t="s">
        <v>539</v>
      </c>
      <c r="G59" s="344"/>
      <c r="H59" s="344"/>
      <c r="I59" s="344"/>
      <c r="J59" s="344"/>
      <c r="K59" s="344"/>
      <c r="L59" s="344"/>
      <c r="M59" s="344"/>
      <c r="O59" s="2"/>
    </row>
    <row r="60" spans="2:15" ht="27" customHeight="1" x14ac:dyDescent="0.25">
      <c r="B60" s="2"/>
      <c r="D60" s="359" t="s">
        <v>35</v>
      </c>
      <c r="E60" s="359"/>
      <c r="F60" s="344" t="s">
        <v>540</v>
      </c>
      <c r="G60" s="344"/>
      <c r="H60" s="344"/>
      <c r="I60" s="344"/>
      <c r="J60" s="344"/>
      <c r="K60" s="344"/>
      <c r="L60" s="344"/>
      <c r="M60" s="344"/>
      <c r="O60" s="2"/>
    </row>
    <row r="61" spans="2:15" ht="27" customHeight="1" x14ac:dyDescent="0.25">
      <c r="B61" s="2"/>
      <c r="D61" s="359" t="s">
        <v>36</v>
      </c>
      <c r="E61" s="359"/>
      <c r="F61" s="344" t="s">
        <v>541</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43" t="s">
        <v>39</v>
      </c>
      <c r="E71" s="343"/>
      <c r="F71" s="4" t="s">
        <v>53</v>
      </c>
      <c r="G71" s="3">
        <v>6</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60" t="s">
        <v>50</v>
      </c>
      <c r="E80" s="360"/>
      <c r="F80" s="16" t="s">
        <v>500</v>
      </c>
      <c r="G80" s="16">
        <v>0.02</v>
      </c>
      <c r="H80" s="16">
        <v>2.1000000000000001E-2</v>
      </c>
      <c r="I80" s="16">
        <v>0.04</v>
      </c>
      <c r="J80" s="16">
        <v>4.1000000000000002E-2</v>
      </c>
      <c r="K80" s="16">
        <v>5.8999999999999997E-2</v>
      </c>
      <c r="L80" s="16">
        <v>0.06</v>
      </c>
      <c r="M80" s="16" t="s">
        <v>500</v>
      </c>
      <c r="O80" s="2"/>
      <c r="AE80" s="3" t="s">
        <v>50</v>
      </c>
      <c r="AF80" s="3">
        <v>6</v>
      </c>
      <c r="AG80" s="3">
        <f t="shared" si="0"/>
        <v>1</v>
      </c>
      <c r="AH80" s="3">
        <f>+IF(AG80=0,0,IF(AG80=1,(SUM($AG$75:AG80)-1),1))</f>
        <v>0</v>
      </c>
      <c r="AI80" s="3">
        <f t="shared" si="1"/>
        <v>0</v>
      </c>
      <c r="AJ80" s="3">
        <f t="shared" si="2"/>
        <v>0</v>
      </c>
      <c r="AK80" s="3">
        <f t="shared" si="3"/>
        <v>0</v>
      </c>
    </row>
    <row r="81" spans="2:37" x14ac:dyDescent="0.25">
      <c r="B81" s="2"/>
      <c r="D81" s="360" t="s">
        <v>53</v>
      </c>
      <c r="E81" s="360"/>
      <c r="F81" s="16" t="s">
        <v>500</v>
      </c>
      <c r="G81" s="16">
        <v>0.02</v>
      </c>
      <c r="H81" s="16">
        <v>2.1000000000000001E-2</v>
      </c>
      <c r="I81" s="16">
        <v>0.04</v>
      </c>
      <c r="J81" s="16">
        <v>4.1000000000000002E-2</v>
      </c>
      <c r="K81" s="16">
        <v>5.8999999999999997E-2</v>
      </c>
      <c r="L81" s="16">
        <v>0.1</v>
      </c>
      <c r="M81" s="16" t="s">
        <v>500</v>
      </c>
      <c r="O81" s="2"/>
      <c r="AE81" s="3" t="s">
        <v>53</v>
      </c>
      <c r="AF81" s="3">
        <v>7</v>
      </c>
      <c r="AG81" s="3">
        <f t="shared" si="0"/>
        <v>1</v>
      </c>
      <c r="AH81" s="3">
        <f>+IF(AG81=0,0,IF(AG81=1,(SUM($AG$75:AG81)-1),1))</f>
        <v>1</v>
      </c>
      <c r="AI81" s="3">
        <f t="shared" si="1"/>
        <v>1</v>
      </c>
      <c r="AJ81" s="3">
        <f t="shared" si="2"/>
        <v>1</v>
      </c>
      <c r="AK81" s="3">
        <f t="shared" si="3"/>
        <v>1</v>
      </c>
    </row>
    <row r="82" spans="2:37" x14ac:dyDescent="0.25">
      <c r="B82" s="2"/>
      <c r="D82" s="360" t="s">
        <v>54</v>
      </c>
      <c r="E82" s="360"/>
      <c r="F82" s="16" t="s">
        <v>500</v>
      </c>
      <c r="G82" s="16">
        <v>5.8999999999999997E-2</v>
      </c>
      <c r="H82" s="16">
        <v>0.06</v>
      </c>
      <c r="I82" s="16">
        <v>0.1</v>
      </c>
      <c r="J82" s="16">
        <v>0.10100000000000001</v>
      </c>
      <c r="K82" s="16">
        <v>0.19900000000000001</v>
      </c>
      <c r="L82" s="16">
        <v>0.2</v>
      </c>
      <c r="M82" s="16" t="s">
        <v>500</v>
      </c>
      <c r="O82" s="2"/>
      <c r="AE82" s="3" t="s">
        <v>54</v>
      </c>
      <c r="AF82" s="3">
        <v>8</v>
      </c>
      <c r="AG82" s="3">
        <f t="shared" si="0"/>
        <v>1</v>
      </c>
      <c r="AH82" s="3">
        <f>+IF(AG82=0,0,IF(AG82=1,(SUM($AG$75:AG82)-1),1))</f>
        <v>2</v>
      </c>
      <c r="AI82" s="3">
        <f t="shared" si="1"/>
        <v>1</v>
      </c>
      <c r="AJ82" s="3">
        <f t="shared" si="2"/>
        <v>0</v>
      </c>
      <c r="AK82" s="3">
        <f t="shared" si="3"/>
        <v>1</v>
      </c>
    </row>
    <row r="83" spans="2:37" x14ac:dyDescent="0.25">
      <c r="B83" s="2"/>
      <c r="D83" s="360" t="s">
        <v>55</v>
      </c>
      <c r="E83" s="360"/>
      <c r="F83" s="16" t="s">
        <v>500</v>
      </c>
      <c r="G83" s="16">
        <v>9.9000000000000005E-2</v>
      </c>
      <c r="H83" s="16">
        <v>0.1</v>
      </c>
      <c r="I83" s="16">
        <v>0.19900000000000001</v>
      </c>
      <c r="J83" s="16">
        <v>0.2</v>
      </c>
      <c r="K83" s="16">
        <v>0.29899999999999999</v>
      </c>
      <c r="L83" s="16">
        <v>0.3</v>
      </c>
      <c r="M83" s="16" t="s">
        <v>500</v>
      </c>
      <c r="O83" s="2"/>
      <c r="AE83" s="3" t="s">
        <v>55</v>
      </c>
      <c r="AF83" s="3">
        <v>9</v>
      </c>
      <c r="AG83" s="3">
        <f t="shared" si="0"/>
        <v>1</v>
      </c>
      <c r="AH83" s="3">
        <f>+IF(AG83=0,0,IF(AG83=1,(SUM($AG$75:AG83)-1),1))</f>
        <v>3</v>
      </c>
      <c r="AI83" s="3">
        <f t="shared" si="1"/>
        <v>1</v>
      </c>
      <c r="AJ83" s="3">
        <f t="shared" si="2"/>
        <v>0</v>
      </c>
      <c r="AK83" s="3">
        <f t="shared" si="3"/>
        <v>1</v>
      </c>
    </row>
    <row r="84" spans="2:37" x14ac:dyDescent="0.25">
      <c r="B84" s="2"/>
      <c r="D84" s="360" t="s">
        <v>56</v>
      </c>
      <c r="E84" s="360"/>
      <c r="F84" s="16" t="s">
        <v>500</v>
      </c>
      <c r="G84" s="16">
        <v>0.3</v>
      </c>
      <c r="H84" s="16">
        <v>0.4</v>
      </c>
      <c r="I84" s="16">
        <v>0.499</v>
      </c>
      <c r="J84" s="16">
        <v>0.5</v>
      </c>
      <c r="K84" s="16">
        <v>0.59899999999999998</v>
      </c>
      <c r="L84" s="16">
        <v>0.6</v>
      </c>
      <c r="M84" s="16" t="s">
        <v>500</v>
      </c>
      <c r="O84" s="2"/>
      <c r="AE84" s="3" t="s">
        <v>56</v>
      </c>
      <c r="AF84" s="3">
        <v>10</v>
      </c>
      <c r="AG84" s="3">
        <f t="shared" si="0"/>
        <v>1</v>
      </c>
      <c r="AH84" s="3">
        <f>+IF(AG84=0,0,IF(AG84=1,(SUM($AG$75:AG84)-1),1))</f>
        <v>4</v>
      </c>
      <c r="AI84" s="3">
        <f t="shared" si="1"/>
        <v>1</v>
      </c>
      <c r="AJ84" s="3">
        <f t="shared" si="2"/>
        <v>0</v>
      </c>
      <c r="AK84" s="3">
        <f t="shared" si="3"/>
        <v>1</v>
      </c>
    </row>
    <row r="85" spans="2:37" x14ac:dyDescent="0.25">
      <c r="B85" s="2"/>
      <c r="D85" s="360" t="s">
        <v>57</v>
      </c>
      <c r="E85" s="360"/>
      <c r="F85" s="16" t="s">
        <v>500</v>
      </c>
      <c r="G85" s="16">
        <v>0.6</v>
      </c>
      <c r="H85" s="16">
        <v>0.60099999999999998</v>
      </c>
      <c r="I85" s="16">
        <v>0.69899999999999995</v>
      </c>
      <c r="J85" s="16">
        <v>0.7</v>
      </c>
      <c r="K85" s="16">
        <v>0.79900000000000004</v>
      </c>
      <c r="L85" s="16">
        <v>0.8</v>
      </c>
      <c r="M85" s="16" t="s">
        <v>500</v>
      </c>
      <c r="O85" s="2"/>
      <c r="AE85" s="3" t="s">
        <v>57</v>
      </c>
      <c r="AF85" s="3">
        <v>11</v>
      </c>
      <c r="AG85" s="3">
        <f t="shared" si="0"/>
        <v>1</v>
      </c>
      <c r="AH85" s="3">
        <f>+IF(AG85=0,0,IF(AG85=1,(SUM($AG$75:AG85)-1),1))</f>
        <v>5</v>
      </c>
      <c r="AI85" s="3">
        <f t="shared" si="1"/>
        <v>1</v>
      </c>
      <c r="AJ85" s="3">
        <f t="shared" si="2"/>
        <v>0</v>
      </c>
      <c r="AK85" s="3">
        <f t="shared" si="3"/>
        <v>1</v>
      </c>
    </row>
    <row r="86" spans="2:37" x14ac:dyDescent="0.25">
      <c r="B86" s="2"/>
      <c r="D86" s="360" t="s">
        <v>58</v>
      </c>
      <c r="E86" s="360"/>
      <c r="F86" s="16" t="s">
        <v>500</v>
      </c>
      <c r="G86" s="16">
        <v>0.8</v>
      </c>
      <c r="H86" s="16">
        <v>0.70099999999999996</v>
      </c>
      <c r="I86" s="16">
        <v>0.8</v>
      </c>
      <c r="J86" s="16">
        <v>0.80100000000000005</v>
      </c>
      <c r="K86" s="16">
        <v>0.999</v>
      </c>
      <c r="L86" s="16">
        <v>1</v>
      </c>
      <c r="M86" s="16"/>
      <c r="O86" s="2"/>
      <c r="AE86" s="3" t="s">
        <v>58</v>
      </c>
      <c r="AF86" s="65">
        <v>12</v>
      </c>
      <c r="AG86" s="3">
        <f t="shared" si="0"/>
        <v>1</v>
      </c>
      <c r="AH86" s="3">
        <f>+IF(AG86=0,0,IF(AG86=1,(SUM($AG$75:AG86)-1),1))</f>
        <v>6</v>
      </c>
      <c r="AI86" s="3">
        <f t="shared" si="1"/>
        <v>1</v>
      </c>
      <c r="AJ86" s="3">
        <f t="shared" si="2"/>
        <v>0</v>
      </c>
      <c r="AK86" s="3">
        <f t="shared" si="3"/>
        <v>1</v>
      </c>
    </row>
    <row r="87" spans="2:37" ht="3.75" customHeight="1" x14ac:dyDescent="0.25">
      <c r="B87" s="2"/>
      <c r="O87" s="2"/>
    </row>
    <row r="88" spans="2:37" ht="66" customHeight="1" x14ac:dyDescent="0.25">
      <c r="B88" s="2"/>
      <c r="D88" s="338" t="s">
        <v>59</v>
      </c>
      <c r="E88" s="339"/>
      <c r="F88" s="340"/>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28.5" customHeight="1" x14ac:dyDescent="0.25">
      <c r="B97" s="2"/>
      <c r="D97" s="359" t="s">
        <v>35</v>
      </c>
      <c r="E97" s="359"/>
      <c r="F97" s="344" t="s">
        <v>1745</v>
      </c>
      <c r="G97" s="344"/>
      <c r="H97" s="344"/>
      <c r="I97" s="344"/>
      <c r="J97" s="344"/>
      <c r="K97" s="344"/>
      <c r="L97" s="344"/>
      <c r="M97" s="344"/>
      <c r="O97" s="2"/>
    </row>
    <row r="98" spans="2:15" ht="28.5" customHeight="1" x14ac:dyDescent="0.25">
      <c r="B98" s="2"/>
      <c r="D98" s="359" t="s">
        <v>36</v>
      </c>
      <c r="E98" s="359"/>
      <c r="F98" s="344" t="s">
        <v>537</v>
      </c>
      <c r="G98" s="344"/>
      <c r="H98" s="344"/>
      <c r="I98" s="344"/>
      <c r="J98" s="344"/>
      <c r="K98" s="344"/>
      <c r="L98" s="344"/>
      <c r="M98" s="344"/>
      <c r="O98" s="2"/>
    </row>
    <row r="99" spans="2:15" ht="3.95" customHeight="1" x14ac:dyDescent="0.25">
      <c r="B99" s="2"/>
      <c r="O99" s="2"/>
    </row>
    <row r="100" spans="2:15" ht="198" customHeight="1" x14ac:dyDescent="0.25">
      <c r="B100" s="2"/>
      <c r="D100" s="338" t="s">
        <v>62</v>
      </c>
      <c r="E100" s="339"/>
      <c r="F100" s="420" t="s">
        <v>108</v>
      </c>
      <c r="G100" s="421"/>
      <c r="H100" s="421"/>
      <c r="I100" s="421"/>
      <c r="J100" s="421"/>
      <c r="K100" s="421"/>
      <c r="L100" s="421"/>
      <c r="M100" s="422"/>
      <c r="O100" s="2"/>
    </row>
    <row r="101" spans="2:15" ht="3.95" customHeight="1" x14ac:dyDescent="0.25">
      <c r="B101" s="2"/>
      <c r="O101" s="2"/>
    </row>
    <row r="102" spans="2:15" ht="19.5" customHeight="1" x14ac:dyDescent="0.25">
      <c r="B102" s="2"/>
      <c r="D102" s="329" t="s">
        <v>64</v>
      </c>
      <c r="E102" s="330"/>
      <c r="F102" s="19" t="s">
        <v>65</v>
      </c>
      <c r="G102" s="4" t="s">
        <v>2</v>
      </c>
      <c r="K102" s="20"/>
      <c r="O102" s="2"/>
    </row>
    <row r="103" spans="2:15" ht="19.5" customHeight="1" x14ac:dyDescent="0.25">
      <c r="B103" s="2"/>
      <c r="D103" s="331"/>
      <c r="E103" s="332"/>
      <c r="F103" s="19" t="s">
        <v>66</v>
      </c>
      <c r="G103" s="4"/>
      <c r="K103" s="21"/>
      <c r="O103" s="2"/>
    </row>
    <row r="104" spans="2:15" ht="27.75" customHeight="1" x14ac:dyDescent="0.25">
      <c r="B104" s="2"/>
      <c r="D104" s="331"/>
      <c r="E104" s="332"/>
      <c r="F104" s="19" t="s">
        <v>67</v>
      </c>
      <c r="G104" s="333"/>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 xml:space="preserve">Director(a) Niñez y Adolescencia </v>
      </c>
      <c r="H108" s="334"/>
      <c r="I108" s="334"/>
      <c r="J108" s="334"/>
      <c r="K108" s="334"/>
      <c r="L108" s="334"/>
      <c r="M108" s="335"/>
      <c r="O108" s="2"/>
    </row>
    <row r="109" spans="2:15" ht="17.25" customHeight="1" x14ac:dyDescent="0.25">
      <c r="B109" s="2"/>
      <c r="D109" s="331"/>
      <c r="E109" s="332"/>
      <c r="F109" s="19" t="s">
        <v>2042</v>
      </c>
      <c r="G109" s="333" t="str">
        <f>+IF(M23="Si","Coordinador(a) Planeación y Sistemas","")</f>
        <v>Coordinador(a) Planeación y Sistemas</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F51">
    <cfRule type="expression" dxfId="3001" priority="29">
      <formula>+IF($F$43="no",1,0)</formula>
    </cfRule>
  </conditionalFormatting>
  <conditionalFormatting sqref="F32:M33">
    <cfRule type="expression" dxfId="3000" priority="28">
      <formula>+IF($Q$30="NA",1,0)</formula>
    </cfRule>
  </conditionalFormatting>
  <conditionalFormatting sqref="F33:M33">
    <cfRule type="expression" dxfId="2999" priority="27">
      <formula>+IF($Q$33=0,1,0)</formula>
    </cfRule>
  </conditionalFormatting>
  <conditionalFormatting sqref="F47:M47">
    <cfRule type="expression" dxfId="2998" priority="26">
      <formula>+IF($Q$47=0,1,0)</formula>
    </cfRule>
  </conditionalFormatting>
  <conditionalFormatting sqref="F73:G73">
    <cfRule type="cellIs" dxfId="2997" priority="14" operator="equal">
      <formula>"optimo"</formula>
    </cfRule>
    <cfRule type="cellIs" dxfId="2996" priority="15" operator="equal">
      <formula>"critico"</formula>
    </cfRule>
  </conditionalFormatting>
  <conditionalFormatting sqref="H73:I73">
    <cfRule type="cellIs" dxfId="2995" priority="12" operator="equal">
      <formula>"Adecuado"</formula>
    </cfRule>
    <cfRule type="cellIs" dxfId="2994" priority="13" operator="equal">
      <formula>"en riesgo"</formula>
    </cfRule>
  </conditionalFormatting>
  <conditionalFormatting sqref="J73:K73">
    <cfRule type="cellIs" dxfId="2993" priority="10" operator="equal">
      <formula>"Adecuado"</formula>
    </cfRule>
    <cfRule type="cellIs" dxfId="2992" priority="11" operator="equal">
      <formula>"en riesgo"</formula>
    </cfRule>
  </conditionalFormatting>
  <conditionalFormatting sqref="L73:M73">
    <cfRule type="cellIs" dxfId="2991" priority="8" operator="equal">
      <formula>"optimo"</formula>
    </cfRule>
    <cfRule type="cellIs" dxfId="2990" priority="9" operator="equal">
      <formula>"critico"</formula>
    </cfRule>
  </conditionalFormatting>
  <conditionalFormatting sqref="F75:M86">
    <cfRule type="expression" dxfId="2989" priority="7">
      <formula>+IF($AK75=0,1)</formula>
    </cfRule>
  </conditionalFormatting>
  <conditionalFormatting sqref="F103:G104">
    <cfRule type="expression" dxfId="2988" priority="6">
      <formula>+IF($G$102="No",1,0)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tabColor rgb="FF0070C0"/>
  </sheetPr>
  <dimension ref="B1:AV113"/>
  <sheetViews>
    <sheetView zoomScaleNormal="100" workbookViewId="0"/>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166</v>
      </c>
      <c r="O10" s="2"/>
    </row>
    <row r="11" spans="2:24" ht="3.95" customHeight="1" x14ac:dyDescent="0.25">
      <c r="B11" s="2"/>
      <c r="D11" s="6"/>
      <c r="O11" s="2"/>
    </row>
    <row r="12" spans="2:24" ht="36" customHeight="1" x14ac:dyDescent="0.25">
      <c r="B12" s="2"/>
      <c r="D12" s="338" t="s">
        <v>5</v>
      </c>
      <c r="E12" s="339"/>
      <c r="F12" s="340" t="s">
        <v>1746</v>
      </c>
      <c r="G12" s="341"/>
      <c r="H12" s="341"/>
      <c r="I12" s="341"/>
      <c r="J12" s="341"/>
      <c r="K12" s="341"/>
      <c r="L12" s="341"/>
      <c r="M12" s="342"/>
      <c r="O12" s="2"/>
      <c r="W12" s="3" t="str">
        <f>+F23</f>
        <v>Mensual</v>
      </c>
      <c r="X12" s="3" t="str">
        <f>+F71</f>
        <v>Julio</v>
      </c>
    </row>
    <row r="13" spans="2:24" ht="3.95" customHeight="1" x14ac:dyDescent="0.25">
      <c r="B13" s="2"/>
      <c r="O13" s="2"/>
    </row>
    <row r="14" spans="2:24" ht="39.75" customHeight="1" x14ac:dyDescent="0.25">
      <c r="B14" s="2"/>
      <c r="D14" s="338" t="s">
        <v>6</v>
      </c>
      <c r="E14" s="339"/>
      <c r="F14" s="340" t="s">
        <v>529</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17">
        <v>0.75</v>
      </c>
      <c r="G22" s="337" t="s">
        <v>9</v>
      </c>
      <c r="H22" s="337"/>
      <c r="I22" s="17">
        <v>1</v>
      </c>
      <c r="K22" s="337" t="s">
        <v>10</v>
      </c>
      <c r="L22" s="337"/>
      <c r="M22" s="9" t="s">
        <v>496</v>
      </c>
      <c r="O22" s="2"/>
    </row>
    <row r="23" spans="2:17" ht="19.5" customHeight="1" x14ac:dyDescent="0.25">
      <c r="B23" s="2"/>
      <c r="D23" s="337" t="s">
        <v>11</v>
      </c>
      <c r="E23" s="337"/>
      <c r="F23" s="4" t="s">
        <v>84</v>
      </c>
      <c r="G23" s="337" t="s">
        <v>12</v>
      </c>
      <c r="H23" s="337"/>
      <c r="I23" s="4" t="s">
        <v>532</v>
      </c>
      <c r="K23" s="337" t="s">
        <v>13</v>
      </c>
      <c r="L23" s="337"/>
      <c r="M23" s="9" t="s">
        <v>496</v>
      </c>
      <c r="O23" s="2"/>
    </row>
    <row r="24" spans="2:17" ht="20.100000000000001" customHeight="1" x14ac:dyDescent="0.25">
      <c r="B24" s="2"/>
      <c r="D24" s="337" t="s">
        <v>14</v>
      </c>
      <c r="E24" s="337"/>
      <c r="F24" s="4" t="s">
        <v>498</v>
      </c>
      <c r="G24" s="337" t="s">
        <v>15</v>
      </c>
      <c r="H24" s="337"/>
      <c r="I24" s="4" t="s">
        <v>533</v>
      </c>
      <c r="K24" s="337" t="s">
        <v>16</v>
      </c>
      <c r="L24" s="337"/>
      <c r="M24" s="9" t="s">
        <v>2</v>
      </c>
      <c r="O24" s="2"/>
    </row>
    <row r="25" spans="2:17" ht="20.100000000000001" customHeight="1" x14ac:dyDescent="0.25">
      <c r="B25" s="2"/>
      <c r="D25" s="337" t="s">
        <v>17</v>
      </c>
      <c r="E25" s="337"/>
      <c r="F25" s="4" t="s">
        <v>534</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99</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NA</v>
      </c>
    </row>
    <row r="31" spans="2:17" ht="24" customHeight="1" x14ac:dyDescent="0.25">
      <c r="B31" s="2"/>
      <c r="D31" s="347"/>
      <c r="E31" s="348"/>
      <c r="F31" s="4" t="s">
        <v>144</v>
      </c>
      <c r="G31" s="340" t="s">
        <v>145</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500</v>
      </c>
      <c r="G33" s="340"/>
      <c r="H33" s="341"/>
      <c r="I33" s="341"/>
      <c r="J33" s="341"/>
      <c r="K33" s="341"/>
      <c r="L33" s="341"/>
      <c r="M33" s="342"/>
      <c r="O33" s="2"/>
      <c r="Q33" s="3" t="str">
        <f>+IFERROR(IF(VLOOKUP(G33,base!$A$26:$C$40,3,FALSE)=F31,1,0),"")</f>
        <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1712</v>
      </c>
      <c r="G35" s="340" t="s">
        <v>1588</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2</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500</v>
      </c>
      <c r="G45" s="340" t="s">
        <v>512</v>
      </c>
      <c r="H45" s="341"/>
      <c r="I45" s="341"/>
      <c r="J45" s="341"/>
      <c r="K45" s="341"/>
      <c r="L45" s="341"/>
      <c r="M45" s="342"/>
      <c r="O45" s="2"/>
      <c r="Q45" s="3" t="str">
        <f>+IFERROR(VLOOKUP(G45,base!$A$41:$C$45,3,FALSE),"")</f>
        <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500</v>
      </c>
      <c r="G47" s="340"/>
      <c r="H47" s="341"/>
      <c r="I47" s="341"/>
      <c r="J47" s="341"/>
      <c r="K47" s="341"/>
      <c r="L47" s="341"/>
      <c r="M47" s="342"/>
      <c r="O47" s="2"/>
      <c r="Q47" s="3" t="e">
        <f>+IF(VLOOKUP(G47,base!$A$46:$C$66,3,FALSE)=F45,1,0)</f>
        <v>#N/A</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535</v>
      </c>
      <c r="G49" s="340" t="s">
        <v>30</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c r="G51" s="337" t="s">
        <v>32</v>
      </c>
      <c r="H51" s="337"/>
      <c r="I51" s="69"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75" customHeight="1" x14ac:dyDescent="0.25">
      <c r="B59" s="2"/>
      <c r="D59" s="337" t="s">
        <v>34</v>
      </c>
      <c r="E59" s="337"/>
      <c r="F59" s="344" t="s">
        <v>1676</v>
      </c>
      <c r="G59" s="344"/>
      <c r="H59" s="344"/>
      <c r="I59" s="344"/>
      <c r="J59" s="344"/>
      <c r="K59" s="344"/>
      <c r="L59" s="344"/>
      <c r="M59" s="344"/>
      <c r="O59" s="2"/>
    </row>
    <row r="60" spans="2:15" ht="27" customHeight="1" x14ac:dyDescent="0.25">
      <c r="B60" s="2"/>
      <c r="D60" s="359" t="s">
        <v>35</v>
      </c>
      <c r="E60" s="359"/>
      <c r="F60" s="344" t="s">
        <v>1677</v>
      </c>
      <c r="G60" s="344"/>
      <c r="H60" s="344"/>
      <c r="I60" s="344"/>
      <c r="J60" s="344"/>
      <c r="K60" s="344"/>
      <c r="L60" s="344"/>
      <c r="M60" s="344"/>
      <c r="O60" s="2"/>
    </row>
    <row r="61" spans="2:15" ht="27" customHeight="1" x14ac:dyDescent="0.25">
      <c r="B61" s="2"/>
      <c r="D61" s="359" t="s">
        <v>36</v>
      </c>
      <c r="E61" s="359"/>
      <c r="F61" s="344" t="s">
        <v>536</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43" t="s">
        <v>39</v>
      </c>
      <c r="E71" s="343"/>
      <c r="F71" s="4" t="s">
        <v>53</v>
      </c>
      <c r="G71" s="3">
        <v>6</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60" t="s">
        <v>50</v>
      </c>
      <c r="E80" s="360"/>
      <c r="F80" s="16" t="s">
        <v>500</v>
      </c>
      <c r="G80" s="16">
        <v>0.02</v>
      </c>
      <c r="H80" s="16">
        <v>2.1000000000000001E-2</v>
      </c>
      <c r="I80" s="16">
        <v>0.04</v>
      </c>
      <c r="J80" s="16">
        <v>4.1000000000000002E-2</v>
      </c>
      <c r="K80" s="16">
        <v>5.8999999999999997E-2</v>
      </c>
      <c r="L80" s="16">
        <v>0.06</v>
      </c>
      <c r="M80" s="16" t="s">
        <v>500</v>
      </c>
      <c r="O80" s="2"/>
      <c r="AE80" s="3" t="s">
        <v>50</v>
      </c>
      <c r="AF80" s="3">
        <v>6</v>
      </c>
      <c r="AG80" s="3">
        <f t="shared" si="0"/>
        <v>1</v>
      </c>
      <c r="AH80" s="3">
        <f>+IF(AG80=0,0,IF(AG80=1,(SUM($AG$75:AG80)-1),1))</f>
        <v>0</v>
      </c>
      <c r="AI80" s="3">
        <f t="shared" si="1"/>
        <v>0</v>
      </c>
      <c r="AJ80" s="3">
        <f t="shared" si="2"/>
        <v>0</v>
      </c>
      <c r="AK80" s="3">
        <f t="shared" si="3"/>
        <v>0</v>
      </c>
    </row>
    <row r="81" spans="2:37" x14ac:dyDescent="0.25">
      <c r="B81" s="2"/>
      <c r="D81" s="360" t="s">
        <v>53</v>
      </c>
      <c r="E81" s="360"/>
      <c r="F81" s="16" t="s">
        <v>500</v>
      </c>
      <c r="G81" s="16">
        <v>0.3</v>
      </c>
      <c r="H81" s="16">
        <v>0.30099999999999999</v>
      </c>
      <c r="I81" s="16">
        <v>0.39900000000000002</v>
      </c>
      <c r="J81" s="16">
        <v>0.4</v>
      </c>
      <c r="K81" s="16">
        <v>0.499</v>
      </c>
      <c r="L81" s="16">
        <v>0.5</v>
      </c>
      <c r="M81" s="16" t="s">
        <v>500</v>
      </c>
      <c r="O81" s="2"/>
      <c r="AE81" s="3" t="s">
        <v>53</v>
      </c>
      <c r="AF81" s="3">
        <v>7</v>
      </c>
      <c r="AG81" s="3">
        <f t="shared" si="0"/>
        <v>1</v>
      </c>
      <c r="AH81" s="3">
        <f>+IF(AG81=0,0,IF(AG81=1,(SUM($AG$75:AG81)-1),1))</f>
        <v>1</v>
      </c>
      <c r="AI81" s="3">
        <f t="shared" si="1"/>
        <v>1</v>
      </c>
      <c r="AJ81" s="3">
        <f t="shared" si="2"/>
        <v>1</v>
      </c>
      <c r="AK81" s="3">
        <f t="shared" si="3"/>
        <v>1</v>
      </c>
    </row>
    <row r="82" spans="2:37" x14ac:dyDescent="0.25">
      <c r="B82" s="2"/>
      <c r="D82" s="360" t="s">
        <v>54</v>
      </c>
      <c r="E82" s="360"/>
      <c r="F82" s="16" t="s">
        <v>500</v>
      </c>
      <c r="G82" s="16">
        <v>0.3</v>
      </c>
      <c r="H82" s="16">
        <v>0.4</v>
      </c>
      <c r="I82" s="16">
        <v>0.499</v>
      </c>
      <c r="J82" s="16">
        <v>0.5</v>
      </c>
      <c r="K82" s="16">
        <v>0.59899999999999998</v>
      </c>
      <c r="L82" s="16">
        <v>0.6</v>
      </c>
      <c r="M82" s="16" t="s">
        <v>500</v>
      </c>
      <c r="O82" s="2"/>
      <c r="AE82" s="3" t="s">
        <v>54</v>
      </c>
      <c r="AF82" s="3">
        <v>8</v>
      </c>
      <c r="AG82" s="3">
        <f t="shared" si="0"/>
        <v>1</v>
      </c>
      <c r="AH82" s="3">
        <f>+IF(AG82=0,0,IF(AG82=1,(SUM($AG$75:AG82)-1),1))</f>
        <v>2</v>
      </c>
      <c r="AI82" s="3">
        <f t="shared" si="1"/>
        <v>1</v>
      </c>
      <c r="AJ82" s="3">
        <f t="shared" si="2"/>
        <v>0</v>
      </c>
      <c r="AK82" s="3">
        <f t="shared" si="3"/>
        <v>1</v>
      </c>
    </row>
    <row r="83" spans="2:37" x14ac:dyDescent="0.25">
      <c r="B83" s="2"/>
      <c r="D83" s="360" t="s">
        <v>55</v>
      </c>
      <c r="E83" s="360"/>
      <c r="F83" s="16" t="s">
        <v>500</v>
      </c>
      <c r="G83" s="16">
        <v>0.6</v>
      </c>
      <c r="H83" s="16">
        <v>0.60099999999999998</v>
      </c>
      <c r="I83" s="16">
        <v>0.59899999999999998</v>
      </c>
      <c r="J83" s="16">
        <v>0.6</v>
      </c>
      <c r="K83" s="16">
        <v>0.69899999999999995</v>
      </c>
      <c r="L83" s="16">
        <v>0.7</v>
      </c>
      <c r="M83" s="16" t="s">
        <v>500</v>
      </c>
      <c r="O83" s="2"/>
      <c r="AE83" s="3" t="s">
        <v>55</v>
      </c>
      <c r="AF83" s="3">
        <v>9</v>
      </c>
      <c r="AG83" s="3">
        <f t="shared" si="0"/>
        <v>1</v>
      </c>
      <c r="AH83" s="3">
        <f>+IF(AG83=0,0,IF(AG83=1,(SUM($AG$75:AG83)-1),1))</f>
        <v>3</v>
      </c>
      <c r="AI83" s="3">
        <f t="shared" si="1"/>
        <v>1</v>
      </c>
      <c r="AJ83" s="3">
        <f t="shared" si="2"/>
        <v>0</v>
      </c>
      <c r="AK83" s="3">
        <f t="shared" si="3"/>
        <v>1</v>
      </c>
    </row>
    <row r="84" spans="2:37" x14ac:dyDescent="0.25">
      <c r="B84" s="2"/>
      <c r="D84" s="360" t="s">
        <v>56</v>
      </c>
      <c r="E84" s="360"/>
      <c r="F84" s="16" t="s">
        <v>500</v>
      </c>
      <c r="G84" s="16">
        <v>0.7</v>
      </c>
      <c r="H84" s="16">
        <v>0.70099999999999996</v>
      </c>
      <c r="I84" s="16">
        <v>0.71899999999999997</v>
      </c>
      <c r="J84" s="16">
        <v>0.75</v>
      </c>
      <c r="K84" s="16">
        <v>0.79900000000000004</v>
      </c>
      <c r="L84" s="16">
        <v>0.8</v>
      </c>
      <c r="M84" s="16" t="s">
        <v>500</v>
      </c>
      <c r="O84" s="2"/>
      <c r="AE84" s="3" t="s">
        <v>56</v>
      </c>
      <c r="AF84" s="3">
        <v>10</v>
      </c>
      <c r="AG84" s="3">
        <f t="shared" si="0"/>
        <v>1</v>
      </c>
      <c r="AH84" s="3">
        <f>+IF(AG84=0,0,IF(AG84=1,(SUM($AG$75:AG84)-1),1))</f>
        <v>4</v>
      </c>
      <c r="AI84" s="3">
        <f t="shared" si="1"/>
        <v>1</v>
      </c>
      <c r="AJ84" s="3">
        <f t="shared" si="2"/>
        <v>0</v>
      </c>
      <c r="AK84" s="3">
        <f t="shared" si="3"/>
        <v>1</v>
      </c>
    </row>
    <row r="85" spans="2:37" x14ac:dyDescent="0.25">
      <c r="B85" s="2"/>
      <c r="D85" s="360" t="s">
        <v>57</v>
      </c>
      <c r="E85" s="360"/>
      <c r="F85" s="16" t="s">
        <v>500</v>
      </c>
      <c r="G85" s="16">
        <v>0.8</v>
      </c>
      <c r="H85" s="16">
        <v>0.70099999999999996</v>
      </c>
      <c r="I85" s="16">
        <v>0.8</v>
      </c>
      <c r="J85" s="16">
        <v>0.80100000000000005</v>
      </c>
      <c r="K85" s="16">
        <v>0.999</v>
      </c>
      <c r="L85" s="16">
        <v>1</v>
      </c>
      <c r="M85" s="16" t="s">
        <v>500</v>
      </c>
      <c r="O85" s="2"/>
      <c r="AE85" s="3" t="s">
        <v>57</v>
      </c>
      <c r="AF85" s="3">
        <v>11</v>
      </c>
      <c r="AG85" s="3">
        <f t="shared" si="0"/>
        <v>1</v>
      </c>
      <c r="AH85" s="3">
        <f>+IF(AG85=0,0,IF(AG85=1,(SUM($AG$75:AG85)-1),1))</f>
        <v>5</v>
      </c>
      <c r="AI85" s="3">
        <f t="shared" si="1"/>
        <v>1</v>
      </c>
      <c r="AJ85" s="3">
        <f t="shared" si="2"/>
        <v>0</v>
      </c>
      <c r="AK85" s="3">
        <f t="shared" si="3"/>
        <v>1</v>
      </c>
    </row>
    <row r="86" spans="2:37" x14ac:dyDescent="0.25">
      <c r="B86" s="2"/>
      <c r="D86" s="360" t="s">
        <v>58</v>
      </c>
      <c r="E86" s="360"/>
      <c r="F86" s="16" t="s">
        <v>500</v>
      </c>
      <c r="G86" s="16">
        <v>0.8</v>
      </c>
      <c r="H86" s="16">
        <v>0.70099999999999996</v>
      </c>
      <c r="I86" s="16">
        <v>0.8</v>
      </c>
      <c r="J86" s="16">
        <v>0.80100000000000005</v>
      </c>
      <c r="K86" s="16">
        <v>0.999</v>
      </c>
      <c r="L86" s="16">
        <v>1</v>
      </c>
      <c r="M86" s="16" t="s">
        <v>500</v>
      </c>
      <c r="O86" s="2"/>
      <c r="AE86" s="3" t="s">
        <v>58</v>
      </c>
      <c r="AF86" s="65">
        <v>12</v>
      </c>
      <c r="AG86" s="3">
        <f t="shared" si="0"/>
        <v>1</v>
      </c>
      <c r="AH86" s="3">
        <f>+IF(AG86=0,0,IF(AG86=1,(SUM($AG$75:AG86)-1),1))</f>
        <v>6</v>
      </c>
      <c r="AI86" s="3">
        <f t="shared" si="1"/>
        <v>1</v>
      </c>
      <c r="AJ86" s="3">
        <f t="shared" si="2"/>
        <v>0</v>
      </c>
      <c r="AK86" s="3">
        <f t="shared" si="3"/>
        <v>1</v>
      </c>
    </row>
    <row r="87" spans="2:37" ht="3.75" customHeight="1" x14ac:dyDescent="0.25">
      <c r="B87" s="2"/>
      <c r="O87" s="2"/>
    </row>
    <row r="88" spans="2:37" ht="66" customHeight="1" x14ac:dyDescent="0.25">
      <c r="B88" s="2"/>
      <c r="D88" s="338" t="s">
        <v>59</v>
      </c>
      <c r="E88" s="339"/>
      <c r="F88" s="340"/>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28.5" customHeight="1" x14ac:dyDescent="0.25">
      <c r="B97" s="2"/>
      <c r="D97" s="359" t="s">
        <v>35</v>
      </c>
      <c r="E97" s="359"/>
      <c r="F97" s="344" t="s">
        <v>537</v>
      </c>
      <c r="G97" s="344"/>
      <c r="H97" s="344"/>
      <c r="I97" s="344"/>
      <c r="J97" s="344"/>
      <c r="K97" s="344"/>
      <c r="L97" s="344"/>
      <c r="M97" s="344"/>
      <c r="O97" s="2"/>
    </row>
    <row r="98" spans="2:15" ht="28.5" customHeight="1" x14ac:dyDescent="0.25">
      <c r="B98" s="2"/>
      <c r="D98" s="359" t="s">
        <v>36</v>
      </c>
      <c r="E98" s="359"/>
      <c r="F98" s="344" t="s">
        <v>538</v>
      </c>
      <c r="G98" s="344"/>
      <c r="H98" s="344"/>
      <c r="I98" s="344"/>
      <c r="J98" s="344"/>
      <c r="K98" s="344"/>
      <c r="L98" s="344"/>
      <c r="M98" s="344"/>
      <c r="O98" s="2"/>
    </row>
    <row r="99" spans="2:15" ht="3.95" customHeight="1" x14ac:dyDescent="0.25">
      <c r="B99" s="2"/>
      <c r="O99" s="2"/>
    </row>
    <row r="100" spans="2:15" ht="58.5" customHeight="1" x14ac:dyDescent="0.25">
      <c r="B100" s="2"/>
      <c r="D100" s="338" t="s">
        <v>62</v>
      </c>
      <c r="E100" s="339"/>
      <c r="F100" s="340" t="s">
        <v>108</v>
      </c>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496</v>
      </c>
      <c r="K102" s="20"/>
      <c r="O102" s="2"/>
    </row>
    <row r="103" spans="2:15" ht="19.5" customHeight="1" x14ac:dyDescent="0.25">
      <c r="B103" s="2"/>
      <c r="D103" s="331"/>
      <c r="E103" s="332"/>
      <c r="F103" s="19" t="s">
        <v>66</v>
      </c>
      <c r="G103" s="4" t="s">
        <v>164</v>
      </c>
      <c r="K103" s="21"/>
      <c r="O103" s="2"/>
    </row>
    <row r="104" spans="2:15" ht="27.75" customHeight="1" x14ac:dyDescent="0.25">
      <c r="B104" s="2"/>
      <c r="D104" s="331"/>
      <c r="E104" s="332"/>
      <c r="F104" s="19" t="s">
        <v>67</v>
      </c>
      <c r="G104" s="365" t="s">
        <v>1747</v>
      </c>
      <c r="H104" s="366"/>
      <c r="I104" s="366"/>
      <c r="J104" s="366"/>
      <c r="K104" s="366"/>
      <c r="L104" s="366"/>
      <c r="M104" s="367"/>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65" t="str">
        <f>+VLOOKUP(H10,tablero!$P$5:$R$201,3,FALSE)</f>
        <v xml:space="preserve">Director(a) Niñez y Adolescencia </v>
      </c>
      <c r="H108" s="366"/>
      <c r="I108" s="366"/>
      <c r="J108" s="366"/>
      <c r="K108" s="366"/>
      <c r="L108" s="366"/>
      <c r="M108" s="367"/>
      <c r="O108" s="2"/>
    </row>
    <row r="109" spans="2:15" ht="17.25" customHeight="1" x14ac:dyDescent="0.25">
      <c r="B109" s="2"/>
      <c r="D109" s="331"/>
      <c r="E109" s="332"/>
      <c r="F109" s="19" t="s">
        <v>2042</v>
      </c>
      <c r="G109" s="365" t="str">
        <f>+IF(M23="Si","Coordinador(a) Planeación y Sistemas","")</f>
        <v>Coordinador(a) Planeación y Sistemas</v>
      </c>
      <c r="H109" s="366"/>
      <c r="I109" s="366"/>
      <c r="J109" s="366"/>
      <c r="K109" s="366"/>
      <c r="L109" s="366"/>
      <c r="M109" s="367"/>
      <c r="O109" s="2"/>
    </row>
    <row r="110" spans="2:15" ht="17.25" customHeight="1" x14ac:dyDescent="0.25">
      <c r="B110" s="2"/>
      <c r="D110" s="331"/>
      <c r="E110" s="332"/>
      <c r="F110" s="19" t="s">
        <v>2043</v>
      </c>
      <c r="G110" s="365" t="str">
        <f>+IF(M24="Si","Coordinador(a) Centro Zonal","")</f>
        <v/>
      </c>
      <c r="H110" s="366"/>
      <c r="I110" s="366"/>
      <c r="J110" s="366"/>
      <c r="K110" s="366"/>
      <c r="L110" s="366"/>
      <c r="M110" s="367"/>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F51">
    <cfRule type="expression" dxfId="2987" priority="29">
      <formula>+IF($F$43="no",1,0)</formula>
    </cfRule>
  </conditionalFormatting>
  <conditionalFormatting sqref="F32:M33">
    <cfRule type="expression" dxfId="2986" priority="28">
      <formula>+IF($Q$30="NA",1,0)</formula>
    </cfRule>
  </conditionalFormatting>
  <conditionalFormatting sqref="F33:M33">
    <cfRule type="expression" dxfId="2985" priority="27">
      <formula>+IF($Q$33=0,1,0)</formula>
    </cfRule>
  </conditionalFormatting>
  <conditionalFormatting sqref="F47:M47">
    <cfRule type="expression" dxfId="2984" priority="26">
      <formula>+IF($Q$47=0,1,0)</formula>
    </cfRule>
  </conditionalFormatting>
  <conditionalFormatting sqref="F73:G73">
    <cfRule type="cellIs" dxfId="2983" priority="12" operator="equal">
      <formula>"optimo"</formula>
    </cfRule>
    <cfRule type="cellIs" dxfId="2982" priority="13" operator="equal">
      <formula>"critico"</formula>
    </cfRule>
  </conditionalFormatting>
  <conditionalFormatting sqref="H73:I73">
    <cfRule type="cellIs" dxfId="2981" priority="10" operator="equal">
      <formula>"Adecuado"</formula>
    </cfRule>
    <cfRule type="cellIs" dxfId="2980" priority="11" operator="equal">
      <formula>"en riesgo"</formula>
    </cfRule>
  </conditionalFormatting>
  <conditionalFormatting sqref="J73:K73">
    <cfRule type="cellIs" dxfId="2979" priority="8" operator="equal">
      <formula>"Adecuado"</formula>
    </cfRule>
    <cfRule type="cellIs" dxfId="2978" priority="9" operator="equal">
      <formula>"en riesgo"</formula>
    </cfRule>
  </conditionalFormatting>
  <conditionalFormatting sqref="L73:M73">
    <cfRule type="cellIs" dxfId="2977" priority="6" operator="equal">
      <formula>"optimo"</formula>
    </cfRule>
    <cfRule type="cellIs" dxfId="2976" priority="7" operator="equal">
      <formula>"critico"</formula>
    </cfRule>
  </conditionalFormatting>
  <conditionalFormatting sqref="F75:M86">
    <cfRule type="expression" dxfId="2975" priority="5">
      <formula>+IF($AK75=0,1)</formula>
    </cfRule>
  </conditionalFormatting>
  <conditionalFormatting sqref="F103:G104">
    <cfRule type="expression" dxfId="2974" priority="4">
      <formula>+IF($G$102="No",1,0)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1">
    <tabColor rgb="FF0070C0"/>
  </sheetPr>
  <dimension ref="B1:AV113"/>
  <sheetViews>
    <sheetView zoomScaleNormal="100" workbookViewId="0">
      <selection activeCell="I24" sqref="I24"/>
    </sheetView>
  </sheetViews>
  <sheetFormatPr baseColWidth="10" defaultRowHeight="12.75" x14ac:dyDescent="0.25"/>
  <cols>
    <col min="1" max="1" width="1.140625" style="104" customWidth="1"/>
    <col min="2" max="2" width="0.5703125" style="104" customWidth="1"/>
    <col min="3" max="3" width="1.42578125" style="104" customWidth="1"/>
    <col min="4" max="4" width="11" style="104" customWidth="1"/>
    <col min="5" max="13" width="11.42578125" style="104" customWidth="1"/>
    <col min="14" max="14" width="1.42578125" style="104" customWidth="1"/>
    <col min="15" max="15" width="0.5703125" style="104" customWidth="1"/>
    <col min="16" max="16" width="11.42578125" style="105"/>
    <col min="17" max="18" width="11.42578125" style="105" customWidth="1"/>
    <col min="19" max="19" width="11.42578125" style="105"/>
    <col min="20" max="20" width="2.7109375" style="105" customWidth="1"/>
    <col min="21" max="21" width="11.42578125" style="105"/>
    <col min="22" max="22" width="2.7109375" style="105" customWidth="1"/>
    <col min="23" max="23" width="11.42578125" style="105"/>
    <col min="24" max="24" width="2.7109375" style="105" customWidth="1"/>
    <col min="25" max="25" width="11.42578125" style="105"/>
    <col min="26" max="26" width="2.7109375" style="105" customWidth="1"/>
    <col min="27" max="27" width="11.42578125" style="105"/>
    <col min="28" max="28" width="2.7109375" style="105" customWidth="1"/>
    <col min="29" max="31" width="11.42578125" style="105"/>
    <col min="32" max="37" width="3.140625" style="105" customWidth="1"/>
    <col min="38" max="45" width="7.42578125" style="105" customWidth="1"/>
    <col min="46" max="48" width="11.42578125" style="105"/>
    <col min="49" max="16384" width="11.42578125" style="104"/>
  </cols>
  <sheetData>
    <row r="1" spans="2:19" ht="3.95" customHeight="1" x14ac:dyDescent="0.25"/>
    <row r="2" spans="2:19" ht="3.95" customHeight="1" x14ac:dyDescent="0.25">
      <c r="B2" s="106"/>
      <c r="C2" s="106"/>
      <c r="D2" s="106"/>
      <c r="E2" s="106"/>
      <c r="F2" s="106"/>
      <c r="G2" s="106"/>
      <c r="H2" s="106"/>
      <c r="I2" s="106"/>
      <c r="J2" s="106"/>
      <c r="K2" s="106"/>
      <c r="L2" s="106"/>
      <c r="M2" s="106"/>
      <c r="N2" s="106"/>
      <c r="O2" s="106"/>
    </row>
    <row r="3" spans="2:19" ht="20.25" customHeight="1" x14ac:dyDescent="0.25">
      <c r="B3" s="106"/>
      <c r="C3" s="411" t="s">
        <v>0</v>
      </c>
      <c r="D3" s="411"/>
      <c r="E3" s="411"/>
      <c r="F3" s="411"/>
      <c r="G3" s="411"/>
      <c r="H3" s="411"/>
      <c r="I3" s="411"/>
      <c r="J3" s="411"/>
      <c r="K3" s="411"/>
      <c r="L3" s="411"/>
      <c r="M3" s="411"/>
      <c r="N3" s="411"/>
      <c r="O3" s="106"/>
      <c r="Q3" s="3"/>
      <c r="R3" s="3"/>
    </row>
    <row r="4" spans="2:19" ht="20.25" customHeight="1" x14ac:dyDescent="0.25">
      <c r="B4" s="106"/>
      <c r="C4" s="411"/>
      <c r="D4" s="411"/>
      <c r="E4" s="411"/>
      <c r="F4" s="411"/>
      <c r="G4" s="411"/>
      <c r="H4" s="411"/>
      <c r="I4" s="411"/>
      <c r="J4" s="411"/>
      <c r="K4" s="411"/>
      <c r="L4" s="411"/>
      <c r="M4" s="411"/>
      <c r="N4" s="411"/>
      <c r="O4" s="106"/>
      <c r="S4" s="105" t="s">
        <v>1</v>
      </c>
    </row>
    <row r="5" spans="2:19" ht="20.25" customHeight="1" x14ac:dyDescent="0.25">
      <c r="B5" s="106"/>
      <c r="C5" s="411"/>
      <c r="D5" s="411"/>
      <c r="E5" s="411"/>
      <c r="F5" s="411"/>
      <c r="G5" s="411"/>
      <c r="H5" s="411"/>
      <c r="I5" s="411"/>
      <c r="J5" s="411"/>
      <c r="K5" s="411"/>
      <c r="L5" s="411"/>
      <c r="M5" s="411"/>
      <c r="N5" s="411"/>
      <c r="O5" s="106"/>
      <c r="S5" s="105" t="s">
        <v>2</v>
      </c>
    </row>
    <row r="6" spans="2:19" ht="3" customHeight="1" x14ac:dyDescent="0.25">
      <c r="B6" s="106"/>
      <c r="C6" s="106"/>
      <c r="D6" s="106"/>
      <c r="E6" s="106"/>
      <c r="F6" s="106"/>
      <c r="G6" s="106"/>
      <c r="H6" s="106"/>
      <c r="I6" s="106"/>
      <c r="J6" s="106"/>
      <c r="K6" s="106"/>
      <c r="L6" s="106"/>
      <c r="M6" s="106"/>
      <c r="N6" s="106"/>
      <c r="O6" s="106"/>
    </row>
    <row r="7" spans="2:19" ht="3" customHeight="1" x14ac:dyDescent="0.25"/>
    <row r="8" spans="2:19" ht="3.95" customHeight="1" x14ac:dyDescent="0.25">
      <c r="B8" s="106"/>
      <c r="C8" s="106"/>
      <c r="D8" s="106"/>
      <c r="E8" s="106"/>
      <c r="F8" s="106"/>
      <c r="G8" s="106"/>
      <c r="H8" s="106"/>
      <c r="I8" s="106"/>
      <c r="J8" s="106"/>
      <c r="K8" s="106"/>
      <c r="L8" s="106"/>
      <c r="M8" s="106"/>
      <c r="N8" s="106"/>
      <c r="O8" s="106"/>
    </row>
    <row r="9" spans="2:19" ht="3.95" customHeight="1" x14ac:dyDescent="0.25">
      <c r="B9" s="106"/>
      <c r="O9" s="106"/>
    </row>
    <row r="10" spans="2:19" ht="15.75" customHeight="1" x14ac:dyDescent="0.25">
      <c r="B10" s="106"/>
      <c r="D10" s="387" t="s">
        <v>3</v>
      </c>
      <c r="E10" s="387"/>
      <c r="F10" s="107">
        <v>2015</v>
      </c>
      <c r="G10" s="108" t="s">
        <v>4</v>
      </c>
      <c r="H10" s="107" t="s">
        <v>1356</v>
      </c>
      <c r="O10" s="106"/>
    </row>
    <row r="11" spans="2:19" ht="3.95" customHeight="1" x14ac:dyDescent="0.25">
      <c r="B11" s="106"/>
      <c r="D11" s="109"/>
      <c r="O11" s="106"/>
    </row>
    <row r="12" spans="2:19" ht="36" customHeight="1" x14ac:dyDescent="0.25">
      <c r="B12" s="106"/>
      <c r="D12" s="378" t="s">
        <v>5</v>
      </c>
      <c r="E12" s="379"/>
      <c r="F12" s="389" t="s">
        <v>1355</v>
      </c>
      <c r="G12" s="390"/>
      <c r="H12" s="390"/>
      <c r="I12" s="390"/>
      <c r="J12" s="390"/>
      <c r="K12" s="390"/>
      <c r="L12" s="390"/>
      <c r="M12" s="391"/>
      <c r="O12" s="106"/>
      <c r="Q12" s="110" t="s">
        <v>1977</v>
      </c>
      <c r="S12" s="111">
        <v>154</v>
      </c>
    </row>
    <row r="13" spans="2:19" ht="3.95" customHeight="1" x14ac:dyDescent="0.25">
      <c r="B13" s="106"/>
      <c r="O13" s="106"/>
    </row>
    <row r="14" spans="2:19" ht="38.25" customHeight="1" x14ac:dyDescent="0.25">
      <c r="B14" s="106"/>
      <c r="D14" s="378" t="s">
        <v>6</v>
      </c>
      <c r="E14" s="379"/>
      <c r="F14" s="389" t="s">
        <v>1327</v>
      </c>
      <c r="G14" s="390"/>
      <c r="H14" s="390"/>
      <c r="I14" s="390"/>
      <c r="J14" s="390"/>
      <c r="K14" s="390"/>
      <c r="L14" s="390"/>
      <c r="M14" s="391"/>
      <c r="O14" s="106"/>
    </row>
    <row r="15" spans="2:19" ht="3.95" customHeight="1" x14ac:dyDescent="0.25">
      <c r="B15" s="106"/>
      <c r="O15" s="106"/>
    </row>
    <row r="16" spans="2:19" ht="3" customHeight="1" x14ac:dyDescent="0.25">
      <c r="B16" s="106"/>
      <c r="C16" s="106"/>
      <c r="D16" s="106"/>
      <c r="E16" s="106"/>
      <c r="F16" s="106"/>
      <c r="G16" s="106"/>
      <c r="H16" s="106"/>
      <c r="I16" s="106"/>
      <c r="J16" s="106"/>
      <c r="K16" s="106"/>
      <c r="L16" s="106"/>
      <c r="M16" s="106"/>
      <c r="N16" s="106"/>
      <c r="O16" s="106"/>
    </row>
    <row r="17" spans="2:17" ht="3" customHeight="1" x14ac:dyDescent="0.25"/>
    <row r="18" spans="2:17" ht="3" customHeight="1" x14ac:dyDescent="0.25">
      <c r="B18" s="106"/>
      <c r="C18" s="106"/>
      <c r="D18" s="106"/>
      <c r="E18" s="106"/>
      <c r="F18" s="106"/>
      <c r="G18" s="106"/>
      <c r="H18" s="106"/>
      <c r="I18" s="106"/>
      <c r="J18" s="106"/>
      <c r="K18" s="106"/>
      <c r="L18" s="106"/>
      <c r="M18" s="106"/>
      <c r="N18" s="106"/>
      <c r="O18" s="106"/>
    </row>
    <row r="19" spans="2:17" ht="3.95" customHeight="1" x14ac:dyDescent="0.25">
      <c r="B19" s="106"/>
      <c r="O19" s="106"/>
    </row>
    <row r="20" spans="2:17" x14ac:dyDescent="0.25">
      <c r="B20" s="106"/>
      <c r="D20" s="112" t="s">
        <v>7</v>
      </c>
      <c r="O20" s="106"/>
    </row>
    <row r="21" spans="2:17" ht="3.95" customHeight="1" x14ac:dyDescent="0.25">
      <c r="B21" s="106"/>
      <c r="O21" s="106"/>
    </row>
    <row r="22" spans="2:17" ht="18.75" customHeight="1" x14ac:dyDescent="0.25">
      <c r="B22" s="106"/>
      <c r="D22" s="387" t="s">
        <v>8</v>
      </c>
      <c r="E22" s="387"/>
      <c r="F22" s="113" t="s">
        <v>1978</v>
      </c>
      <c r="G22" s="387" t="s">
        <v>9</v>
      </c>
      <c r="H22" s="387"/>
      <c r="I22" s="114">
        <f>+IFERROR(VLOOKUP($S$12,[1]Hoja1!$B$5:$AT$190,19,FALSE),"")</f>
        <v>1</v>
      </c>
      <c r="K22" s="387" t="s">
        <v>10</v>
      </c>
      <c r="L22" s="387"/>
      <c r="M22" s="115" t="str">
        <f>+IFERROR(VLOOKUP($S$12,[1]Hoja1!$B$5:$AT$190,22,FALSE),"")</f>
        <v>Si</v>
      </c>
      <c r="O22" s="106"/>
    </row>
    <row r="23" spans="2:17" ht="19.5" customHeight="1" x14ac:dyDescent="0.25">
      <c r="B23" s="106"/>
      <c r="D23" s="387" t="s">
        <v>11</v>
      </c>
      <c r="E23" s="387"/>
      <c r="F23" s="107" t="str">
        <f>+IFERROR(VLOOKUP($S$12,[1]Hoja1!$B$5:$AT$190,33,FALSE),"")</f>
        <v>Mensual</v>
      </c>
      <c r="G23" s="387" t="s">
        <v>12</v>
      </c>
      <c r="H23" s="387"/>
      <c r="I23" s="107" t="str">
        <f>+IFERROR(VLOOKUP($S$12,[1]Hoja1!$B$5:$AT$190,21,FALSE),"")</f>
        <v>Porcentaje</v>
      </c>
      <c r="K23" s="387" t="s">
        <v>13</v>
      </c>
      <c r="L23" s="387"/>
      <c r="M23" s="115" t="str">
        <f>+IFERROR(VLOOKUP($S$12,[1]Hoja1!$B$5:$AT$190,23,FALSE),"")</f>
        <v>No</v>
      </c>
      <c r="O23" s="106"/>
    </row>
    <row r="24" spans="2:17" ht="20.100000000000001" customHeight="1" x14ac:dyDescent="0.25">
      <c r="B24" s="106"/>
      <c r="D24" s="387" t="s">
        <v>14</v>
      </c>
      <c r="E24" s="387"/>
      <c r="F24" s="107" t="s">
        <v>498</v>
      </c>
      <c r="G24" s="387" t="s">
        <v>15</v>
      </c>
      <c r="H24" s="387"/>
      <c r="I24" s="107" t="s">
        <v>103</v>
      </c>
      <c r="K24" s="387" t="s">
        <v>16</v>
      </c>
      <c r="L24" s="387"/>
      <c r="M24" s="115" t="str">
        <f>+IFERROR(VLOOKUP($S$12,[1]Hoja1!$B$5:$AT$190,24,FALSE),"")</f>
        <v>No</v>
      </c>
      <c r="O24" s="106"/>
    </row>
    <row r="25" spans="2:17" ht="20.100000000000001" customHeight="1" x14ac:dyDescent="0.25">
      <c r="B25" s="106"/>
      <c r="D25" s="387" t="s">
        <v>17</v>
      </c>
      <c r="E25" s="387"/>
      <c r="F25" s="107" t="str">
        <f>+IFERROR(VLOOKUP($S$12,[1]Hoja1!$B$5:$AT$190,18,FALSE),"")</f>
        <v>Eficiencia</v>
      </c>
      <c r="O25" s="106"/>
    </row>
    <row r="26" spans="2:17" ht="3.95" customHeight="1" x14ac:dyDescent="0.25">
      <c r="B26" s="106"/>
      <c r="O26" s="106"/>
    </row>
    <row r="27" spans="2:17" x14ac:dyDescent="0.25">
      <c r="B27" s="106"/>
      <c r="D27" s="112" t="s">
        <v>18</v>
      </c>
      <c r="O27" s="106"/>
    </row>
    <row r="28" spans="2:17" ht="3.95" customHeight="1" x14ac:dyDescent="0.25">
      <c r="B28" s="106"/>
      <c r="O28" s="106"/>
    </row>
    <row r="29" spans="2:17" ht="36" customHeight="1" x14ac:dyDescent="0.25">
      <c r="B29" s="106"/>
      <c r="D29" s="393" t="s">
        <v>19</v>
      </c>
      <c r="E29" s="393"/>
      <c r="F29" s="344" t="s">
        <v>99</v>
      </c>
      <c r="G29" s="344"/>
      <c r="H29" s="344"/>
      <c r="I29" s="344"/>
      <c r="J29" s="344"/>
      <c r="K29" s="344"/>
      <c r="L29" s="344"/>
      <c r="M29" s="344"/>
      <c r="O29" s="106"/>
      <c r="P29" s="105" t="s">
        <v>1997</v>
      </c>
    </row>
    <row r="30" spans="2:17" ht="18" customHeight="1" x14ac:dyDescent="0.25">
      <c r="B30" s="106"/>
      <c r="D30" s="404" t="s">
        <v>21</v>
      </c>
      <c r="E30" s="405"/>
      <c r="F30" s="116" t="s">
        <v>22</v>
      </c>
      <c r="G30" s="408" t="s">
        <v>5</v>
      </c>
      <c r="H30" s="409"/>
      <c r="I30" s="409"/>
      <c r="J30" s="409"/>
      <c r="K30" s="409"/>
      <c r="L30" s="409"/>
      <c r="M30" s="410"/>
      <c r="O30" s="106"/>
      <c r="Q30" s="105" t="str">
        <f>+IFERROR(VLOOKUP(G31,[1]base!$A$9:$C$25,3,FALSE),"")</f>
        <v>NA</v>
      </c>
    </row>
    <row r="31" spans="2:17" ht="24" customHeight="1" x14ac:dyDescent="0.25">
      <c r="B31" s="106"/>
      <c r="D31" s="406"/>
      <c r="E31" s="407"/>
      <c r="F31" s="4" t="s">
        <v>144</v>
      </c>
      <c r="G31" s="340" t="s">
        <v>145</v>
      </c>
      <c r="H31" s="341"/>
      <c r="I31" s="341"/>
      <c r="J31" s="341"/>
      <c r="K31" s="341"/>
      <c r="L31" s="341"/>
      <c r="M31" s="342"/>
      <c r="O31" s="106"/>
    </row>
    <row r="32" spans="2:17" ht="18" customHeight="1" x14ac:dyDescent="0.25">
      <c r="B32" s="106"/>
      <c r="D32" s="404" t="s">
        <v>23</v>
      </c>
      <c r="E32" s="405"/>
      <c r="F32" s="116" t="s">
        <v>22</v>
      </c>
      <c r="G32" s="408" t="s">
        <v>5</v>
      </c>
      <c r="H32" s="409"/>
      <c r="I32" s="409"/>
      <c r="J32" s="409"/>
      <c r="K32" s="409"/>
      <c r="L32" s="409"/>
      <c r="M32" s="410"/>
      <c r="O32" s="106"/>
    </row>
    <row r="33" spans="2:17" ht="24" customHeight="1" x14ac:dyDescent="0.25">
      <c r="B33" s="106"/>
      <c r="D33" s="406"/>
      <c r="E33" s="407"/>
      <c r="F33" s="117" t="str">
        <f>+IFERROR(VLOOKUP(G33,[1]base!$A$26:$B$40,2,FALSE),"")</f>
        <v/>
      </c>
      <c r="G33" s="389"/>
      <c r="H33" s="390"/>
      <c r="I33" s="390"/>
      <c r="J33" s="390"/>
      <c r="K33" s="390"/>
      <c r="L33" s="390"/>
      <c r="M33" s="391"/>
      <c r="O33" s="106"/>
      <c r="Q33" s="105" t="str">
        <f>+IFERROR(IF(VLOOKUP(G33,[1]base!$A$26:$C$40,3,FALSE)=F31,1,0),"")</f>
        <v/>
      </c>
    </row>
    <row r="34" spans="2:17" ht="18" customHeight="1" x14ac:dyDescent="0.25">
      <c r="B34" s="106"/>
      <c r="D34" s="404" t="s">
        <v>24</v>
      </c>
      <c r="E34" s="405"/>
      <c r="F34" s="116" t="s">
        <v>22</v>
      </c>
      <c r="G34" s="408" t="s">
        <v>5</v>
      </c>
      <c r="H34" s="409"/>
      <c r="I34" s="409"/>
      <c r="J34" s="409"/>
      <c r="K34" s="409"/>
      <c r="L34" s="409"/>
      <c r="M34" s="410"/>
      <c r="O34" s="106"/>
    </row>
    <row r="35" spans="2:17" ht="24" customHeight="1" x14ac:dyDescent="0.25">
      <c r="B35" s="106"/>
      <c r="D35" s="406"/>
      <c r="E35" s="407"/>
      <c r="F35" s="4" t="s">
        <v>1712</v>
      </c>
      <c r="G35" s="340" t="s">
        <v>1588</v>
      </c>
      <c r="H35" s="341"/>
      <c r="I35" s="341"/>
      <c r="J35" s="341"/>
      <c r="K35" s="341"/>
      <c r="L35" s="341"/>
      <c r="M35" s="342"/>
      <c r="O35" s="106"/>
    </row>
    <row r="36" spans="2:17" ht="3.95" customHeight="1" x14ac:dyDescent="0.25">
      <c r="B36" s="106"/>
      <c r="O36" s="106"/>
    </row>
    <row r="37" spans="2:17" ht="3" customHeight="1" x14ac:dyDescent="0.25">
      <c r="B37" s="106"/>
      <c r="C37" s="106"/>
      <c r="D37" s="106"/>
      <c r="E37" s="106"/>
      <c r="F37" s="106"/>
      <c r="G37" s="106"/>
      <c r="H37" s="106"/>
      <c r="I37" s="106"/>
      <c r="J37" s="106"/>
      <c r="K37" s="106"/>
      <c r="L37" s="106"/>
      <c r="M37" s="106"/>
      <c r="N37" s="106"/>
      <c r="O37" s="106"/>
    </row>
    <row r="38" spans="2:17" ht="3" customHeight="1" x14ac:dyDescent="0.25"/>
    <row r="39" spans="2:17" ht="3" customHeight="1" x14ac:dyDescent="0.25">
      <c r="B39" s="106"/>
      <c r="C39" s="106"/>
      <c r="D39" s="106"/>
      <c r="E39" s="106"/>
      <c r="F39" s="106"/>
      <c r="G39" s="106"/>
      <c r="H39" s="106"/>
      <c r="I39" s="106"/>
      <c r="J39" s="106"/>
      <c r="K39" s="106"/>
      <c r="L39" s="106"/>
      <c r="M39" s="106"/>
      <c r="N39" s="106"/>
      <c r="O39" s="106"/>
    </row>
    <row r="40" spans="2:17" ht="3.95" customHeight="1" x14ac:dyDescent="0.25">
      <c r="B40" s="106"/>
      <c r="D40" s="112"/>
      <c r="O40" s="106"/>
    </row>
    <row r="41" spans="2:17" x14ac:dyDescent="0.25">
      <c r="B41" s="106"/>
      <c r="D41" s="112" t="s">
        <v>25</v>
      </c>
      <c r="O41" s="106"/>
    </row>
    <row r="42" spans="2:17" ht="3.95" customHeight="1" x14ac:dyDescent="0.25">
      <c r="B42" s="106"/>
      <c r="O42" s="106"/>
    </row>
    <row r="43" spans="2:17" ht="20.100000000000001" customHeight="1" x14ac:dyDescent="0.25">
      <c r="B43" s="106"/>
      <c r="D43" s="387" t="s">
        <v>26</v>
      </c>
      <c r="E43" s="387"/>
      <c r="F43" s="107" t="s">
        <v>2</v>
      </c>
      <c r="O43" s="106"/>
    </row>
    <row r="44" spans="2:17" ht="18" customHeight="1" x14ac:dyDescent="0.25">
      <c r="B44" s="106"/>
      <c r="D44" s="397" t="s">
        <v>27</v>
      </c>
      <c r="E44" s="398"/>
      <c r="F44" s="118" t="s">
        <v>22</v>
      </c>
      <c r="G44" s="401" t="s">
        <v>5</v>
      </c>
      <c r="H44" s="402"/>
      <c r="I44" s="402"/>
      <c r="J44" s="402"/>
      <c r="K44" s="402"/>
      <c r="L44" s="402"/>
      <c r="M44" s="403"/>
      <c r="O44" s="106"/>
    </row>
    <row r="45" spans="2:17" ht="18" customHeight="1" x14ac:dyDescent="0.25">
      <c r="B45" s="106"/>
      <c r="D45" s="399"/>
      <c r="E45" s="400"/>
      <c r="F45" s="107" t="str">
        <f>+IFERROR(VLOOKUP(G45,[1]base!$A$41:$B$45,2,FALSE),"")</f>
        <v>LP5</v>
      </c>
      <c r="G45" s="389" t="str">
        <f>+IFERROR(VLOOKUP($S$12,[1]Hoja1!$B$5:$AT$190,6,FALSE),"")</f>
        <v>Gestión Financiera</v>
      </c>
      <c r="H45" s="390"/>
      <c r="I45" s="390"/>
      <c r="J45" s="390"/>
      <c r="K45" s="390"/>
      <c r="L45" s="390"/>
      <c r="M45" s="391"/>
      <c r="O45" s="106"/>
      <c r="Q45" s="105" t="str">
        <f>+IFERROR(VLOOKUP(G45,[1]base!$A$41:$C$45,3,FALSE),"")</f>
        <v>financiera</v>
      </c>
    </row>
    <row r="46" spans="2:17" ht="18" customHeight="1" x14ac:dyDescent="0.25">
      <c r="B46" s="106"/>
      <c r="D46" s="397" t="s">
        <v>28</v>
      </c>
      <c r="E46" s="398"/>
      <c r="F46" s="118" t="s">
        <v>22</v>
      </c>
      <c r="G46" s="401" t="s">
        <v>5</v>
      </c>
      <c r="H46" s="402"/>
      <c r="I46" s="402"/>
      <c r="J46" s="402"/>
      <c r="K46" s="402"/>
      <c r="L46" s="402"/>
      <c r="M46" s="403"/>
      <c r="O46" s="106"/>
    </row>
    <row r="47" spans="2:17" ht="18" customHeight="1" x14ac:dyDescent="0.25">
      <c r="B47" s="106"/>
      <c r="D47" s="399"/>
      <c r="E47" s="400"/>
      <c r="F47" s="107" t="str">
        <f>+IFERROR(VLOOKUP(G47,[1]base!$A$46:$B$66,2,FALSE),"")</f>
        <v/>
      </c>
      <c r="G47" s="389"/>
      <c r="H47" s="390"/>
      <c r="I47" s="390"/>
      <c r="J47" s="390"/>
      <c r="K47" s="390"/>
      <c r="L47" s="390"/>
      <c r="M47" s="391"/>
      <c r="O47" s="106"/>
      <c r="Q47" s="105" t="e">
        <f>+IF(VLOOKUP(G47,[1]base!$A$46:$C$66,3,FALSE)=F45,1,0)</f>
        <v>#N/A</v>
      </c>
    </row>
    <row r="48" spans="2:17" ht="18" customHeight="1" x14ac:dyDescent="0.25">
      <c r="B48" s="106"/>
      <c r="D48" s="397" t="s">
        <v>29</v>
      </c>
      <c r="E48" s="398"/>
      <c r="F48" s="118" t="s">
        <v>22</v>
      </c>
      <c r="G48" s="401" t="s">
        <v>5</v>
      </c>
      <c r="H48" s="402"/>
      <c r="I48" s="402"/>
      <c r="J48" s="402"/>
      <c r="K48" s="402"/>
      <c r="L48" s="402"/>
      <c r="M48" s="403"/>
      <c r="O48" s="106"/>
    </row>
    <row r="49" spans="2:15" ht="29.25" customHeight="1" x14ac:dyDescent="0.25">
      <c r="B49" s="106"/>
      <c r="D49" s="399"/>
      <c r="E49" s="400"/>
      <c r="F49" s="119" t="str">
        <f>+IFERROR(VLOOKUP(G49,[1]base!$G$37:$H$47,2,FALSE),"")</f>
        <v>C-310-300-2</v>
      </c>
      <c r="G49" s="389" t="s">
        <v>899</v>
      </c>
      <c r="H49" s="390"/>
      <c r="I49" s="390"/>
      <c r="J49" s="390"/>
      <c r="K49" s="390"/>
      <c r="L49" s="390"/>
      <c r="M49" s="391"/>
      <c r="O49" s="106"/>
    </row>
    <row r="50" spans="2:15" ht="3.95" customHeight="1" x14ac:dyDescent="0.25">
      <c r="B50" s="106"/>
      <c r="O50" s="106"/>
    </row>
    <row r="51" spans="2:15" ht="20.100000000000001" customHeight="1" x14ac:dyDescent="0.25">
      <c r="B51" s="106"/>
      <c r="D51" s="387" t="s">
        <v>31</v>
      </c>
      <c r="E51" s="387"/>
      <c r="F51" s="107" t="str">
        <f>+IFERROR(VLOOKUP($S$12,[1]Hoja1!$B$5:$AT$190,26,FALSE),"")</f>
        <v>No</v>
      </c>
      <c r="G51" s="387" t="s">
        <v>32</v>
      </c>
      <c r="H51" s="387"/>
      <c r="I51" s="120" t="str">
        <f>+IFERROR(IF(F51="No","",VLOOKUP($S$12,[1]Hoja1!$B$5:$AT$190,20,FALSE)),"")</f>
        <v/>
      </c>
      <c r="O51" s="106"/>
    </row>
    <row r="52" spans="2:15" ht="3.95" customHeight="1" x14ac:dyDescent="0.25">
      <c r="B52" s="106"/>
      <c r="O52" s="106"/>
    </row>
    <row r="53" spans="2:15" ht="3" customHeight="1" x14ac:dyDescent="0.25">
      <c r="B53" s="106"/>
      <c r="C53" s="106"/>
      <c r="D53" s="106"/>
      <c r="E53" s="106"/>
      <c r="F53" s="106"/>
      <c r="G53" s="106"/>
      <c r="H53" s="106"/>
      <c r="I53" s="106"/>
      <c r="J53" s="106"/>
      <c r="K53" s="106"/>
      <c r="L53" s="106"/>
      <c r="M53" s="106"/>
      <c r="N53" s="106"/>
      <c r="O53" s="106"/>
    </row>
    <row r="54" spans="2:15" ht="3" customHeight="1" x14ac:dyDescent="0.25"/>
    <row r="55" spans="2:15" ht="3.95" customHeight="1" x14ac:dyDescent="0.25">
      <c r="B55" s="106"/>
      <c r="C55" s="106"/>
      <c r="D55" s="106"/>
      <c r="E55" s="106"/>
      <c r="F55" s="106"/>
      <c r="G55" s="106"/>
      <c r="H55" s="106"/>
      <c r="I55" s="106"/>
      <c r="J55" s="106"/>
      <c r="K55" s="106"/>
      <c r="L55" s="106"/>
      <c r="M55" s="106"/>
      <c r="N55" s="106"/>
      <c r="O55" s="106"/>
    </row>
    <row r="56" spans="2:15" ht="3.95" customHeight="1" x14ac:dyDescent="0.25">
      <c r="B56" s="106"/>
      <c r="O56" s="106"/>
    </row>
    <row r="57" spans="2:15" x14ac:dyDescent="0.25">
      <c r="B57" s="106"/>
      <c r="D57" s="112" t="s">
        <v>33</v>
      </c>
      <c r="O57" s="106"/>
    </row>
    <row r="58" spans="2:15" ht="3.95" customHeight="1" x14ac:dyDescent="0.25">
      <c r="B58" s="106"/>
      <c r="O58" s="106"/>
    </row>
    <row r="59" spans="2:15" ht="30" customHeight="1" x14ac:dyDescent="0.25">
      <c r="B59" s="106"/>
      <c r="D59" s="387" t="s">
        <v>34</v>
      </c>
      <c r="E59" s="387"/>
      <c r="F59" s="370" t="str">
        <f>+IF(F60="","",F60&amp;" / "&amp;F61)</f>
        <v>Recursos Comprometidos / Meta Mensual de Compromisos</v>
      </c>
      <c r="G59" s="370"/>
      <c r="H59" s="370"/>
      <c r="I59" s="370"/>
      <c r="J59" s="370"/>
      <c r="K59" s="370"/>
      <c r="L59" s="370"/>
      <c r="M59" s="370"/>
      <c r="O59" s="106"/>
    </row>
    <row r="60" spans="2:15" ht="30" customHeight="1" x14ac:dyDescent="0.25">
      <c r="B60" s="106"/>
      <c r="D60" s="369" t="s">
        <v>35</v>
      </c>
      <c r="E60" s="369"/>
      <c r="F60" s="370" t="str">
        <f>+IFERROR(VLOOKUP($S$12,[1]Hoja1!$B$5:$AT$190,28,FALSE),"")</f>
        <v>Recursos Comprometidos</v>
      </c>
      <c r="G60" s="370"/>
      <c r="H60" s="370"/>
      <c r="I60" s="370"/>
      <c r="J60" s="370"/>
      <c r="K60" s="370"/>
      <c r="L60" s="370"/>
      <c r="M60" s="370"/>
      <c r="O60" s="106"/>
    </row>
    <row r="61" spans="2:15" ht="30" customHeight="1" x14ac:dyDescent="0.25">
      <c r="B61" s="106"/>
      <c r="D61" s="369" t="s">
        <v>36</v>
      </c>
      <c r="E61" s="369"/>
      <c r="F61" s="389" t="str">
        <f>+IFERROR(VLOOKUP($S$12,[1]Hoja1!$B$5:$AT$190,30,FALSE),"")</f>
        <v>Meta Mensual de Compromisos</v>
      </c>
      <c r="G61" s="390"/>
      <c r="H61" s="390"/>
      <c r="I61" s="390"/>
      <c r="J61" s="390"/>
      <c r="K61" s="390"/>
      <c r="L61" s="390"/>
      <c r="M61" s="391"/>
      <c r="O61" s="106"/>
    </row>
    <row r="62" spans="2:15" ht="3.95" customHeight="1" x14ac:dyDescent="0.25">
      <c r="B62" s="106"/>
      <c r="O62" s="106"/>
    </row>
    <row r="63" spans="2:15" ht="3" customHeight="1" x14ac:dyDescent="0.25">
      <c r="B63" s="106"/>
      <c r="C63" s="106"/>
      <c r="D63" s="106"/>
      <c r="E63" s="106"/>
      <c r="F63" s="106"/>
      <c r="G63" s="106"/>
      <c r="H63" s="106"/>
      <c r="I63" s="106"/>
      <c r="J63" s="106"/>
      <c r="K63" s="106"/>
      <c r="L63" s="106"/>
      <c r="M63" s="106"/>
      <c r="N63" s="106"/>
      <c r="O63" s="106"/>
    </row>
    <row r="64" spans="2:15" x14ac:dyDescent="0.25">
      <c r="M64" s="121" t="s">
        <v>37</v>
      </c>
    </row>
    <row r="65" spans="2:45" ht="3" customHeight="1" x14ac:dyDescent="0.25">
      <c r="B65" s="106"/>
      <c r="C65" s="106"/>
      <c r="D65" s="106"/>
      <c r="E65" s="106"/>
      <c r="F65" s="106"/>
      <c r="G65" s="106"/>
      <c r="H65" s="106"/>
      <c r="I65" s="106"/>
      <c r="J65" s="106"/>
      <c r="K65" s="106"/>
      <c r="L65" s="106"/>
      <c r="M65" s="106"/>
      <c r="N65" s="106"/>
      <c r="O65" s="106"/>
    </row>
    <row r="66" spans="2:45" ht="3.95" customHeight="1" x14ac:dyDescent="0.25">
      <c r="B66" s="106"/>
      <c r="O66" s="106"/>
    </row>
    <row r="67" spans="2:45" x14ac:dyDescent="0.25">
      <c r="B67" s="106"/>
      <c r="D67" s="392" t="s">
        <v>38</v>
      </c>
      <c r="E67" s="392"/>
      <c r="O67" s="106"/>
    </row>
    <row r="68" spans="2:45" ht="3.95" customHeight="1" x14ac:dyDescent="0.25">
      <c r="B68" s="106"/>
      <c r="D68" s="112"/>
      <c r="E68" s="112"/>
      <c r="O68" s="106"/>
    </row>
    <row r="69" spans="2:45" ht="18.75" customHeight="1" x14ac:dyDescent="0.25">
      <c r="B69" s="106"/>
      <c r="O69" s="106"/>
      <c r="Q69" s="122" t="s">
        <v>11</v>
      </c>
      <c r="S69" s="105" t="str">
        <f>+IF(F23=0,"",F23)</f>
        <v>Mensual</v>
      </c>
      <c r="U69" s="105">
        <f>+IFERROR(VLOOKUP(S69,[1]base!$H$23:$I$28,2,FALSE),"")</f>
        <v>1</v>
      </c>
    </row>
    <row r="70" spans="2:45" ht="3.95" customHeight="1" x14ac:dyDescent="0.25">
      <c r="B70" s="106"/>
      <c r="D70" s="112"/>
      <c r="E70" s="112"/>
      <c r="O70" s="106"/>
    </row>
    <row r="71" spans="2:45" ht="18.75" customHeight="1" x14ac:dyDescent="0.25">
      <c r="B71" s="106"/>
      <c r="D71" s="393" t="s">
        <v>39</v>
      </c>
      <c r="E71" s="393"/>
      <c r="F71" s="107" t="s">
        <v>47</v>
      </c>
      <c r="G71" s="105">
        <f>+IFERROR(VLOOKUP(F71,$AE$75:$AF$86,2,FALSE),"")</f>
        <v>3</v>
      </c>
      <c r="O71" s="106"/>
      <c r="Q71" s="122" t="s">
        <v>14</v>
      </c>
      <c r="S71" s="105" t="str">
        <f>+IF(F24=0,"",F24)</f>
        <v>Creciente</v>
      </c>
    </row>
    <row r="72" spans="2:45" ht="3.95" customHeight="1" x14ac:dyDescent="0.25">
      <c r="B72" s="106"/>
      <c r="D72" s="112"/>
      <c r="E72" s="112"/>
      <c r="O72" s="106"/>
    </row>
    <row r="73" spans="2:45" x14ac:dyDescent="0.25">
      <c r="B73" s="106"/>
      <c r="D73" s="394" t="s">
        <v>41</v>
      </c>
      <c r="E73" s="394"/>
      <c r="F73" s="395" t="s">
        <v>42</v>
      </c>
      <c r="G73" s="396"/>
      <c r="H73" s="395" t="s">
        <v>43</v>
      </c>
      <c r="I73" s="396"/>
      <c r="J73" s="395" t="s">
        <v>44</v>
      </c>
      <c r="K73" s="396"/>
      <c r="L73" s="395" t="s">
        <v>45</v>
      </c>
      <c r="M73" s="396"/>
      <c r="O73" s="106"/>
      <c r="S73" s="111">
        <f>+IFERROR(VLOOKUP(S74,$AE$75:$AK$86,7,FALSE),"")</f>
        <v>0</v>
      </c>
      <c r="U73" s="111">
        <f>+IFERROR(VLOOKUP(U74,$AE$75:$AK$86,7,FALSE),"")</f>
        <v>0</v>
      </c>
      <c r="W73" s="111">
        <f>+IFERROR(VLOOKUP(W74,$AE$75:$AK$86,7,FALSE),"")</f>
        <v>1</v>
      </c>
      <c r="Y73" s="111">
        <f>+IFERROR(VLOOKUP(Y74,$AE$75:$AK$86,7,FALSE),"")</f>
        <v>1</v>
      </c>
      <c r="AA73" s="111">
        <f>+IFERROR(VLOOKUP(AA74,$AE$75:$AK$86,7,FALSE),"")</f>
        <v>1</v>
      </c>
      <c r="AC73" s="111">
        <f>+IFERROR(VLOOKUP(AC74,$AE$75:$AK$86,7,FALSE),"")</f>
        <v>1</v>
      </c>
      <c r="AL73" s="388" t="s">
        <v>42</v>
      </c>
      <c r="AM73" s="388"/>
      <c r="AN73" s="388" t="s">
        <v>43</v>
      </c>
      <c r="AO73" s="388"/>
      <c r="AP73" s="388" t="s">
        <v>44</v>
      </c>
      <c r="AQ73" s="388"/>
      <c r="AR73" s="388" t="s">
        <v>45</v>
      </c>
      <c r="AS73" s="388"/>
    </row>
    <row r="74" spans="2:45" x14ac:dyDescent="0.25">
      <c r="B74" s="106"/>
      <c r="D74" s="394"/>
      <c r="E74" s="394"/>
      <c r="F74" s="123" t="str">
        <f>+IF($F$24="Decreciente","Max","Min")</f>
        <v>Min</v>
      </c>
      <c r="G74" s="123" t="str">
        <f>+IF($F$24="Decreciente","MIn","Max")</f>
        <v>Max</v>
      </c>
      <c r="H74" s="123" t="str">
        <f>+IF($F$24="Decreciente","Max","Min")</f>
        <v>Min</v>
      </c>
      <c r="I74" s="123" t="str">
        <f>+IF($F$24="Decreciente","MIn","Max")</f>
        <v>Max</v>
      </c>
      <c r="J74" s="123" t="str">
        <f>+IF($F$24="Decreciente","Max","Min")</f>
        <v>Min</v>
      </c>
      <c r="K74" s="123" t="str">
        <f>+IF($F$24="Decreciente","MIn","Max")</f>
        <v>Max</v>
      </c>
      <c r="L74" s="123" t="str">
        <f>+IF($F$24="Decreciente","Max","Min")</f>
        <v>Min</v>
      </c>
      <c r="M74" s="123" t="str">
        <f>+IF($F$24="Decreciente","MIn","Max")</f>
        <v>Max</v>
      </c>
      <c r="O74" s="106"/>
      <c r="S74" s="124" t="s">
        <v>46</v>
      </c>
      <c r="T74" s="124"/>
      <c r="U74" s="124" t="s">
        <v>40</v>
      </c>
      <c r="V74" s="124"/>
      <c r="W74" s="124" t="s">
        <v>47</v>
      </c>
      <c r="X74" s="124"/>
      <c r="Y74" s="124" t="s">
        <v>48</v>
      </c>
      <c r="Z74" s="124"/>
      <c r="AA74" s="124" t="s">
        <v>49</v>
      </c>
      <c r="AB74" s="124"/>
      <c r="AC74" s="124" t="s">
        <v>50</v>
      </c>
      <c r="AL74" s="125" t="s">
        <v>51</v>
      </c>
      <c r="AM74" s="125" t="s">
        <v>52</v>
      </c>
      <c r="AN74" s="125" t="s">
        <v>51</v>
      </c>
      <c r="AO74" s="125" t="s">
        <v>52</v>
      </c>
      <c r="AP74" s="125" t="s">
        <v>51</v>
      </c>
      <c r="AQ74" s="125" t="s">
        <v>52</v>
      </c>
      <c r="AR74" s="125" t="s">
        <v>51</v>
      </c>
      <c r="AS74" s="125" t="s">
        <v>52</v>
      </c>
    </row>
    <row r="75" spans="2:45" x14ac:dyDescent="0.25">
      <c r="B75" s="106"/>
      <c r="D75" s="386" t="s">
        <v>46</v>
      </c>
      <c r="E75" s="386"/>
      <c r="F75" s="126"/>
      <c r="G75" s="126"/>
      <c r="H75" s="126"/>
      <c r="I75" s="126"/>
      <c r="J75" s="126"/>
      <c r="K75" s="126"/>
      <c r="L75" s="126"/>
      <c r="M75" s="126"/>
      <c r="O75" s="106"/>
      <c r="Q75" s="122" t="s">
        <v>1980</v>
      </c>
      <c r="R75" s="111"/>
      <c r="S75" s="127"/>
      <c r="T75" s="111"/>
      <c r="U75" s="127"/>
      <c r="V75" s="111"/>
      <c r="W75" s="127"/>
      <c r="X75" s="111"/>
      <c r="Y75" s="127"/>
      <c r="Z75" s="111"/>
      <c r="AA75" s="127"/>
      <c r="AB75" s="111"/>
      <c r="AC75" s="127"/>
      <c r="AE75" s="105" t="s">
        <v>46</v>
      </c>
      <c r="AF75" s="105">
        <v>1</v>
      </c>
      <c r="AG75" s="105">
        <f>+IF(AF75&gt;=$G$71,1,0)</f>
        <v>0</v>
      </c>
      <c r="AH75" s="105">
        <f>+IF(AG75=0,0,IF(AG75=1,(SUM($AG$75:AG75)-1),1))</f>
        <v>0</v>
      </c>
      <c r="AI75" s="105">
        <f>+IF(AH75=0,0,IF(MOD(AH75,$U$69)=0,1,0))</f>
        <v>0</v>
      </c>
      <c r="AJ75" s="105">
        <f>+IF(AE75=$F$71,1,0)</f>
        <v>0</v>
      </c>
      <c r="AK75" s="105">
        <f>+MAX(AI75:AJ75)</f>
        <v>0</v>
      </c>
      <c r="AL75" s="128" t="str">
        <f>+""</f>
        <v/>
      </c>
      <c r="AM75" s="128" t="str">
        <f>+IF(AK75=0,"",IF(R78="&gt;",S78+0.001,IF(R78="&lt;",S78-0.001,S78)))</f>
        <v/>
      </c>
      <c r="AN75" s="128" t="str">
        <f>+IF(R77="NA","",IF(AK75=0,"",IF(R78="≥",S78-0.001,IF(R78="≤",S78+0.001,S78))))</f>
        <v/>
      </c>
      <c r="AO75" s="128" t="str">
        <f>IF(R77="NA","",IF(AK75=0,"",IF(R77="&gt;",S77+0.001,IF(R77="&lt;",S77-0.001,S77))))</f>
        <v/>
      </c>
      <c r="AP75" s="128" t="str">
        <f>+IF(R76="NA","",IF(AK75=0,"",IF(R77="≥",S77-0.001,IF(R77="≤",S77+0.001,S77))))</f>
        <v/>
      </c>
      <c r="AQ75" s="128" t="str">
        <f>+IF(R76="NA","",IF(AK75=0,"",IF(R76="&gt;",S76+0.001,IF(R76="&lt;",S76-0.001,S76))))</f>
        <v/>
      </c>
      <c r="AR75" s="128" t="str">
        <f>IF(AK75=0,"",IF(R76="≥",S75-0.001,IF(R76="≤",S75+0.001,"")))</f>
        <v/>
      </c>
      <c r="AS75" s="128" t="str">
        <f>+IF(AK75=0,"",IF(R75="=",S75,""))</f>
        <v/>
      </c>
    </row>
    <row r="76" spans="2:45" x14ac:dyDescent="0.25">
      <c r="B76" s="106"/>
      <c r="D76" s="386" t="s">
        <v>40</v>
      </c>
      <c r="E76" s="386"/>
      <c r="F76" s="126"/>
      <c r="G76" s="126"/>
      <c r="H76" s="126"/>
      <c r="I76" s="126"/>
      <c r="J76" s="126"/>
      <c r="K76" s="126"/>
      <c r="L76" s="126"/>
      <c r="M76" s="126"/>
      <c r="O76" s="106"/>
      <c r="Q76" s="122" t="s">
        <v>1981</v>
      </c>
      <c r="R76" s="111"/>
      <c r="S76" s="127"/>
      <c r="T76" s="111"/>
      <c r="U76" s="127"/>
      <c r="V76" s="111"/>
      <c r="W76" s="127"/>
      <c r="X76" s="111"/>
      <c r="Y76" s="127"/>
      <c r="Z76" s="111"/>
      <c r="AA76" s="127"/>
      <c r="AB76" s="111"/>
      <c r="AC76" s="127"/>
      <c r="AE76" s="105" t="s">
        <v>40</v>
      </c>
      <c r="AF76" s="105">
        <v>2</v>
      </c>
      <c r="AG76" s="105">
        <f t="shared" ref="AG76:AG86" si="0">+IF(AF76&gt;=$G$71,1,0)</f>
        <v>0</v>
      </c>
      <c r="AH76" s="105">
        <f>+IF(AG76=0,0,IF(AG76=1,(SUM($AG$75:AG76)-1),1))</f>
        <v>0</v>
      </c>
      <c r="AI76" s="105">
        <f t="shared" ref="AI76:AI86" si="1">+IF(AH76=0,0,IF(MOD(AH76,$U$69)=0,1,0))</f>
        <v>0</v>
      </c>
      <c r="AJ76" s="105">
        <f t="shared" ref="AJ76:AJ86" si="2">+IF(AE76=$F$71,1,0)</f>
        <v>0</v>
      </c>
      <c r="AK76" s="105">
        <f t="shared" ref="AK76:AK86" si="3">+MAX(AI76:AJ76)</f>
        <v>0</v>
      </c>
      <c r="AL76" s="128" t="str">
        <f>+""</f>
        <v/>
      </c>
      <c r="AM76" s="128" t="str">
        <f>+IF(AK76=0,"",IF(T78="&gt;",U78+0.001,IF(T78="&lt;",U78-0.001,U78)))</f>
        <v/>
      </c>
      <c r="AN76" s="128" t="str">
        <f>+IF(T77="NA","",IF(AK76=0,"",IF(T78="≥",U78-0.001,IF(T78="≤",U78+0.001,U78))))</f>
        <v/>
      </c>
      <c r="AO76" s="128" t="str">
        <f>IF(T77="NA","",IF(AK76=0,"",IF(T77="&gt;",U77+0.001,IF(T77="&lt;",U77-0.001,U77))))</f>
        <v/>
      </c>
      <c r="AP76" s="128" t="str">
        <f>+IF(T76="NA","",IF(AK76=0,"",IF(T77="≥",U77-0.001,IF(T77="≤",U77+0.001,U77))))</f>
        <v/>
      </c>
      <c r="AQ76" s="128" t="str">
        <f>+IF(T76="NA","",IF(AK76=0,"",IF(T76="&gt;",U76+0.001,IF(T76="&lt;",U76-0.001,U76))))</f>
        <v/>
      </c>
      <c r="AR76" s="128" t="str">
        <f>IF(AK76=0,"",IF(T76="≥",U75-0.001,IF(T76="≤",U75+0.001,"")))</f>
        <v/>
      </c>
      <c r="AS76" s="128" t="str">
        <f>+IF(AK76=0,"",IF(T75="=",U75,""))</f>
        <v/>
      </c>
    </row>
    <row r="77" spans="2:45" x14ac:dyDescent="0.25">
      <c r="B77" s="106"/>
      <c r="D77" s="386" t="s">
        <v>47</v>
      </c>
      <c r="E77" s="386"/>
      <c r="F77" s="126"/>
      <c r="G77" s="126">
        <v>0.94</v>
      </c>
      <c r="H77" s="126">
        <v>0.94099999999999995</v>
      </c>
      <c r="I77" s="126">
        <v>0.96899999999999997</v>
      </c>
      <c r="J77" s="126">
        <v>0.97</v>
      </c>
      <c r="K77" s="126">
        <v>0.999</v>
      </c>
      <c r="L77" s="126">
        <v>1</v>
      </c>
      <c r="M77" s="126"/>
      <c r="O77" s="106"/>
      <c r="Q77" s="122" t="s">
        <v>1982</v>
      </c>
      <c r="R77" s="111"/>
      <c r="S77" s="127"/>
      <c r="T77" s="111"/>
      <c r="U77" s="127"/>
      <c r="V77" s="111"/>
      <c r="W77" s="127"/>
      <c r="X77" s="111"/>
      <c r="Y77" s="127"/>
      <c r="Z77" s="111"/>
      <c r="AA77" s="127"/>
      <c r="AB77" s="111"/>
      <c r="AC77" s="127"/>
      <c r="AE77" s="105" t="s">
        <v>47</v>
      </c>
      <c r="AF77" s="105">
        <v>3</v>
      </c>
      <c r="AG77" s="105">
        <f t="shared" si="0"/>
        <v>1</v>
      </c>
      <c r="AH77" s="105">
        <f>+IF(AG77=0,0,IF(AG77=1,(SUM($AG$75:AG77)-1),1))</f>
        <v>0</v>
      </c>
      <c r="AI77" s="105">
        <f t="shared" si="1"/>
        <v>0</v>
      </c>
      <c r="AJ77" s="105">
        <f t="shared" si="2"/>
        <v>1</v>
      </c>
      <c r="AK77" s="105">
        <f t="shared" si="3"/>
        <v>1</v>
      </c>
      <c r="AL77" s="128" t="str">
        <f>+""</f>
        <v/>
      </c>
      <c r="AM77" s="128">
        <f>+IF(AK77=0,"",IF(V78="&gt;",W78+0.001,IF(V78="&lt;",W78-0.001,W78)))</f>
        <v>0</v>
      </c>
      <c r="AN77" s="128">
        <f>+IF(V77="NA","",IF(AK77=0,"",IF(V78="≥",W78-0.001,IF(V78="≤",W78+0.001,W78))))</f>
        <v>0</v>
      </c>
      <c r="AO77" s="128">
        <f>IF(V77="NA","",IF(AK77=0,"",IF(V77="&gt;",W77+0.001,IF(V77="&lt;",W77-0.001,W77))))</f>
        <v>0</v>
      </c>
      <c r="AP77" s="128">
        <f>+IF(V76="NA","",IF(AK77=0,"",IF(V77="≥",W77-0.001,IF(V77="≤",W77+0.001,W77))))</f>
        <v>0</v>
      </c>
      <c r="AQ77" s="128">
        <f>+IF(V76="NA","",IF(AK77=0,"",IF(V76="&gt;",W76+0.001,IF(V76="&lt;",W76-0.001,W76))))</f>
        <v>0</v>
      </c>
      <c r="AR77" s="128" t="str">
        <f>IF(AK77=0,"",IF(V76="≥",W75-0.001,IF(V76="≤",W75+0.001,"")))</f>
        <v/>
      </c>
      <c r="AS77" s="128" t="str">
        <f>+IF(AK77=0,"",IF(V75="=",W75,""))</f>
        <v/>
      </c>
    </row>
    <row r="78" spans="2:45" x14ac:dyDescent="0.25">
      <c r="B78" s="106"/>
      <c r="D78" s="386" t="s">
        <v>48</v>
      </c>
      <c r="E78" s="386"/>
      <c r="F78" s="126"/>
      <c r="G78" s="126">
        <v>0.94</v>
      </c>
      <c r="H78" s="126">
        <v>0.94099999999999995</v>
      </c>
      <c r="I78" s="126">
        <v>0.96899999999999997</v>
      </c>
      <c r="J78" s="126">
        <v>0.97</v>
      </c>
      <c r="K78" s="126">
        <v>0.999</v>
      </c>
      <c r="L78" s="126">
        <v>1</v>
      </c>
      <c r="M78" s="126"/>
      <c r="O78" s="106"/>
      <c r="Q78" s="122" t="s">
        <v>1983</v>
      </c>
      <c r="R78" s="111"/>
      <c r="S78" s="127"/>
      <c r="T78" s="111"/>
      <c r="U78" s="127"/>
      <c r="V78" s="111"/>
      <c r="W78" s="127"/>
      <c r="X78" s="111"/>
      <c r="Y78" s="127"/>
      <c r="Z78" s="111"/>
      <c r="AA78" s="127"/>
      <c r="AB78" s="111"/>
      <c r="AC78" s="127"/>
      <c r="AE78" s="105" t="s">
        <v>48</v>
      </c>
      <c r="AF78" s="105">
        <v>4</v>
      </c>
      <c r="AG78" s="105">
        <f t="shared" si="0"/>
        <v>1</v>
      </c>
      <c r="AH78" s="105">
        <f>+IF(AG78=0,0,IF(AG78=1,(SUM($AG$75:AG78)-1),1))</f>
        <v>1</v>
      </c>
      <c r="AI78" s="105">
        <f t="shared" si="1"/>
        <v>1</v>
      </c>
      <c r="AJ78" s="105">
        <f t="shared" si="2"/>
        <v>0</v>
      </c>
      <c r="AK78" s="105">
        <f t="shared" si="3"/>
        <v>1</v>
      </c>
      <c r="AL78" s="128" t="str">
        <f>+""</f>
        <v/>
      </c>
      <c r="AM78" s="128">
        <f>+IF(AK78=0,"",IF(X78="&gt;",Y78+0.001,IF(X78="&lt;",Y78-0.001,Y78)))</f>
        <v>0</v>
      </c>
      <c r="AN78" s="128">
        <f>+IF(X77="NA","",IF(AK78=0,"",IF(X78="≥",Y78-0.001,IF(X78="≤",Y78+0.001,Y78))))</f>
        <v>0</v>
      </c>
      <c r="AO78" s="128">
        <f>IF(X77="NA","",IF(AK78=0,"",IF(X77="&gt;",Y77+0.001,IF(X77="&lt;",Y77-0.001,Y77))))</f>
        <v>0</v>
      </c>
      <c r="AP78" s="128">
        <f>+IF(X76="NA","",IF(AK78=0,"",IF(X77="≥",Y77-0.001,IF(X77="≤",Y77+0.001,Y77))))</f>
        <v>0</v>
      </c>
      <c r="AQ78" s="128">
        <f>+IF(X76="NA","",IF(AK78=0,"",IF(X76="&gt;",Y76+0.001,IF(X76="&lt;",Y76-0.001,Y76))))</f>
        <v>0</v>
      </c>
      <c r="AR78" s="128" t="str">
        <f>IF(AK78=0,"",IF(X76="≥",Y75-0.001,IF(X76="≤",Y75+0.001,"")))</f>
        <v/>
      </c>
      <c r="AS78" s="128" t="str">
        <f>+IF(AK78=0,"",IF(X75="=",Y75,""))</f>
        <v/>
      </c>
    </row>
    <row r="79" spans="2:45" x14ac:dyDescent="0.25">
      <c r="B79" s="106"/>
      <c r="D79" s="386" t="s">
        <v>49</v>
      </c>
      <c r="E79" s="386"/>
      <c r="F79" s="126"/>
      <c r="G79" s="126">
        <v>0.94</v>
      </c>
      <c r="H79" s="126">
        <v>0.94099999999999995</v>
      </c>
      <c r="I79" s="126">
        <v>0.96899999999999997</v>
      </c>
      <c r="J79" s="126">
        <v>0.97</v>
      </c>
      <c r="K79" s="126">
        <v>0.999</v>
      </c>
      <c r="L79" s="126">
        <v>1</v>
      </c>
      <c r="M79" s="126"/>
      <c r="O79" s="106"/>
      <c r="R79" s="111"/>
      <c r="S79" s="111">
        <f>+IFERROR(VLOOKUP(S80,$AE$75:$AK$86,7,FALSE),"")</f>
        <v>1</v>
      </c>
      <c r="U79" s="111">
        <f>+IFERROR(VLOOKUP(U80,$AE$75:$AK$86,7,FALSE),"")</f>
        <v>1</v>
      </c>
      <c r="W79" s="111">
        <f>+IFERROR(VLOOKUP(W80,$AE$75:$AK$86,7,FALSE),"")</f>
        <v>1</v>
      </c>
      <c r="Y79" s="111">
        <f>+IFERROR(VLOOKUP(Y80,$AE$75:$AK$86,7,FALSE),"")</f>
        <v>1</v>
      </c>
      <c r="AA79" s="111">
        <f>+IFERROR(VLOOKUP(AA80,$AE$75:$AK$86,7,FALSE),"")</f>
        <v>1</v>
      </c>
      <c r="AC79" s="111">
        <f>+IFERROR(VLOOKUP(AC80,$AE$75:$AK$86,7,FALSE),"")</f>
        <v>1</v>
      </c>
      <c r="AE79" s="105" t="s">
        <v>49</v>
      </c>
      <c r="AF79" s="105">
        <v>5</v>
      </c>
      <c r="AG79" s="105">
        <f t="shared" si="0"/>
        <v>1</v>
      </c>
      <c r="AH79" s="105">
        <f>+IF(AG79=0,0,IF(AG79=1,(SUM($AG$75:AG79)-1),1))</f>
        <v>2</v>
      </c>
      <c r="AI79" s="105">
        <f t="shared" si="1"/>
        <v>1</v>
      </c>
      <c r="AJ79" s="105">
        <f t="shared" si="2"/>
        <v>0</v>
      </c>
      <c r="AK79" s="105">
        <f t="shared" si="3"/>
        <v>1</v>
      </c>
      <c r="AL79" s="128" t="str">
        <f>+""</f>
        <v/>
      </c>
      <c r="AM79" s="128">
        <f>+IF(AK79=0,"",IF(Z78="&gt;",AA78+0.001,IF(Z78="&lt;",AA78-0.001,AA78)))</f>
        <v>0</v>
      </c>
      <c r="AN79" s="128">
        <f>+IF(Z77="NA","",IF(AK79=0,"",IF(Z78="≥",AA78-0.001,IF(Z78="≤",AA78+0.001,AA78))))</f>
        <v>0</v>
      </c>
      <c r="AO79" s="128">
        <f>IF(Z77="NA","",IF(AK79=0,"",IF(Z77="&gt;",AA77+0.001,IF(Z77="&lt;",AA77-0.001,AA77))))</f>
        <v>0</v>
      </c>
      <c r="AP79" s="128">
        <f>+IF(Z76="NA","",IF(AK79=0,"",IF(Z77="≥",AA77-0.001,IF(Z77="≤",AA77+0.001,AA77))))</f>
        <v>0</v>
      </c>
      <c r="AQ79" s="128">
        <f>+IF(Z76="NA","",IF(AK79=0,"",IF(Z76="&gt;",AA76+0.001,IF(Z76="&lt;",AA76-0.001,AA76))))</f>
        <v>0</v>
      </c>
      <c r="AR79" s="128" t="str">
        <f>IF(AK79=0,"",IF(Z76="≥",AA75-0.001,IF(Z76="≤",AA75+0.001,"")))</f>
        <v/>
      </c>
      <c r="AS79" s="128" t="str">
        <f>+IF(AK79=0,"",IF(Z75="=",AA75,""))</f>
        <v/>
      </c>
    </row>
    <row r="80" spans="2:45" x14ac:dyDescent="0.25">
      <c r="B80" s="106"/>
      <c r="D80" s="386" t="s">
        <v>50</v>
      </c>
      <c r="E80" s="386"/>
      <c r="F80" s="126"/>
      <c r="G80" s="126">
        <v>0.94</v>
      </c>
      <c r="H80" s="126">
        <v>0.94099999999999995</v>
      </c>
      <c r="I80" s="126">
        <v>0.96899999999999997</v>
      </c>
      <c r="J80" s="126">
        <v>0.97</v>
      </c>
      <c r="K80" s="126">
        <v>0.999</v>
      </c>
      <c r="L80" s="126">
        <v>1</v>
      </c>
      <c r="M80" s="126"/>
      <c r="O80" s="106"/>
      <c r="R80" s="111"/>
      <c r="S80" s="124" t="s">
        <v>53</v>
      </c>
      <c r="T80" s="124"/>
      <c r="U80" s="124" t="s">
        <v>54</v>
      </c>
      <c r="V80" s="124"/>
      <c r="W80" s="124" t="s">
        <v>55</v>
      </c>
      <c r="X80" s="124"/>
      <c r="Y80" s="124" t="s">
        <v>56</v>
      </c>
      <c r="Z80" s="124"/>
      <c r="AA80" s="124" t="s">
        <v>57</v>
      </c>
      <c r="AB80" s="124"/>
      <c r="AC80" s="124" t="s">
        <v>58</v>
      </c>
      <c r="AE80" s="105" t="s">
        <v>50</v>
      </c>
      <c r="AF80" s="105">
        <v>6</v>
      </c>
      <c r="AG80" s="105">
        <f t="shared" si="0"/>
        <v>1</v>
      </c>
      <c r="AH80" s="105">
        <f>+IF(AG80=0,0,IF(AG80=1,(SUM($AG$75:AG80)-1),1))</f>
        <v>3</v>
      </c>
      <c r="AI80" s="105">
        <f t="shared" si="1"/>
        <v>1</v>
      </c>
      <c r="AJ80" s="105">
        <f t="shared" si="2"/>
        <v>0</v>
      </c>
      <c r="AK80" s="105">
        <f t="shared" si="3"/>
        <v>1</v>
      </c>
      <c r="AL80" s="128" t="str">
        <f>+""</f>
        <v/>
      </c>
      <c r="AM80" s="128">
        <f>+IF(AK80=0,"",IF(AB78="&gt;",AC78+0.001,IF(AB78="&lt;",AC78-0.001,AC78)))</f>
        <v>0</v>
      </c>
      <c r="AN80" s="128">
        <f>+IF(AB77="NA","",IF(AK80=0,"",IF(AB78="≥",AC78-0.001,IF(AB78="≤",AC78+0.001,AC78))))</f>
        <v>0</v>
      </c>
      <c r="AO80" s="128">
        <f>IF(AB77="NA","",IF(AK80=0,"",IF(AB77="&gt;",AC77+0.001,IF(AB77="&lt;",AC77-0.001,AC77))))</f>
        <v>0</v>
      </c>
      <c r="AP80" s="128">
        <f>+IF(AB76="NA","",IF(AK80=0,"",IF(AB77="≥",AC77-0.001,IF(AB77="≤",AC77+0.001,AC77))))</f>
        <v>0</v>
      </c>
      <c r="AQ80" s="128">
        <f>+IF(AB76="NA","",IF(AK80=0,"",IF(AB76="&gt;",AC76+0.001,IF(AB76="&lt;",AC76-0.001,AC76))))</f>
        <v>0</v>
      </c>
      <c r="AR80" s="128" t="str">
        <f>IF(AK80=0,"",IF(AB76="≥",AC75-0.001,IF(AB76="≤",AC75+0.001,"")))</f>
        <v/>
      </c>
      <c r="AS80" s="128" t="str">
        <f>+IF(AK80=0,"",IF(AB75="=",AC75,""))</f>
        <v/>
      </c>
    </row>
    <row r="81" spans="2:45" x14ac:dyDescent="0.25">
      <c r="B81" s="106"/>
      <c r="D81" s="386" t="s">
        <v>53</v>
      </c>
      <c r="E81" s="386"/>
      <c r="F81" s="126"/>
      <c r="G81" s="126">
        <v>0.94</v>
      </c>
      <c r="H81" s="126">
        <v>0.94099999999999995</v>
      </c>
      <c r="I81" s="126">
        <v>0.96899999999999997</v>
      </c>
      <c r="J81" s="126">
        <v>0.97</v>
      </c>
      <c r="K81" s="126">
        <v>0.999</v>
      </c>
      <c r="L81" s="126">
        <v>1</v>
      </c>
      <c r="M81" s="126"/>
      <c r="O81" s="106"/>
      <c r="Q81" s="122" t="s">
        <v>1980</v>
      </c>
      <c r="R81" s="111"/>
      <c r="S81" s="127"/>
      <c r="T81" s="111"/>
      <c r="U81" s="127"/>
      <c r="V81" s="111"/>
      <c r="W81" s="127"/>
      <c r="X81" s="111"/>
      <c r="Y81" s="127"/>
      <c r="Z81" s="111"/>
      <c r="AA81" s="127"/>
      <c r="AB81" s="111"/>
      <c r="AC81" s="127"/>
      <c r="AE81" s="105" t="s">
        <v>53</v>
      </c>
      <c r="AF81" s="105">
        <v>7</v>
      </c>
      <c r="AG81" s="105">
        <f t="shared" si="0"/>
        <v>1</v>
      </c>
      <c r="AH81" s="105">
        <f>+IF(AG81=0,0,IF(AG81=1,(SUM($AG$75:AG81)-1),1))</f>
        <v>4</v>
      </c>
      <c r="AI81" s="105">
        <f t="shared" si="1"/>
        <v>1</v>
      </c>
      <c r="AJ81" s="105">
        <f t="shared" si="2"/>
        <v>0</v>
      </c>
      <c r="AK81" s="105">
        <f t="shared" si="3"/>
        <v>1</v>
      </c>
      <c r="AL81" s="128" t="str">
        <f>+""</f>
        <v/>
      </c>
      <c r="AM81" s="128">
        <f>+IF(AK81=0,"",IF(R84="&gt;",S84+0.001,IF(R84="&lt;",S84-0.001,S84)))</f>
        <v>0</v>
      </c>
      <c r="AN81" s="128">
        <f>+IF(R83="NA","",IF(AK81=0,"",IF(R84="≥",S84-0.001,IF(R84="≤",S84+0.001,S84))))</f>
        <v>0</v>
      </c>
      <c r="AO81" s="128">
        <f>IF(R83="NA","",IF(AK81=0,"",IF(R83="&gt;",S83+0.001,IF(R83="&lt;",S83-0.001,S83))))</f>
        <v>0</v>
      </c>
      <c r="AP81" s="128">
        <f>+IF(R82="NA","",IF(AK81=0,"",IF(R83="≥",S83-0.001,IF(R83="≤",S83+0.001,S83))))</f>
        <v>0</v>
      </c>
      <c r="AQ81" s="128">
        <f>+IF(R82="NA","",IF(AK81=0,"",IF(R82="&gt;",S82+0.001,IF(R82="&lt;",S82-0.001,S82))))</f>
        <v>0</v>
      </c>
      <c r="AR81" s="128" t="str">
        <f>IF(AK81=0,"",IF(R82="≥",S81-0.001,IF(R82="≤",S81+0.001,"")))</f>
        <v/>
      </c>
      <c r="AS81" s="128" t="str">
        <f>+IF(AK81=0,"",IF(R81="=",S81,""))</f>
        <v/>
      </c>
    </row>
    <row r="82" spans="2:45" x14ac:dyDescent="0.25">
      <c r="B82" s="106"/>
      <c r="D82" s="386" t="s">
        <v>54</v>
      </c>
      <c r="E82" s="386"/>
      <c r="F82" s="126"/>
      <c r="G82" s="126">
        <v>0.94</v>
      </c>
      <c r="H82" s="126">
        <v>0.94099999999999995</v>
      </c>
      <c r="I82" s="126">
        <v>0.96899999999999997</v>
      </c>
      <c r="J82" s="126">
        <v>0.97</v>
      </c>
      <c r="K82" s="126">
        <v>0.999</v>
      </c>
      <c r="L82" s="126">
        <v>1</v>
      </c>
      <c r="M82" s="126"/>
      <c r="O82" s="106"/>
      <c r="Q82" s="122" t="s">
        <v>1981</v>
      </c>
      <c r="R82" s="111"/>
      <c r="S82" s="127"/>
      <c r="T82" s="111"/>
      <c r="U82" s="127"/>
      <c r="V82" s="111"/>
      <c r="W82" s="127"/>
      <c r="X82" s="111"/>
      <c r="Y82" s="127"/>
      <c r="Z82" s="111"/>
      <c r="AA82" s="127"/>
      <c r="AB82" s="111"/>
      <c r="AC82" s="127"/>
      <c r="AE82" s="105" t="s">
        <v>54</v>
      </c>
      <c r="AF82" s="105">
        <v>8</v>
      </c>
      <c r="AG82" s="105">
        <f t="shared" si="0"/>
        <v>1</v>
      </c>
      <c r="AH82" s="105">
        <f>+IF(AG82=0,0,IF(AG82=1,(SUM($AG$75:AG82)-1),1))</f>
        <v>5</v>
      </c>
      <c r="AI82" s="105">
        <f t="shared" si="1"/>
        <v>1</v>
      </c>
      <c r="AJ82" s="105">
        <f t="shared" si="2"/>
        <v>0</v>
      </c>
      <c r="AK82" s="105">
        <f t="shared" si="3"/>
        <v>1</v>
      </c>
      <c r="AL82" s="128" t="str">
        <f>+""</f>
        <v/>
      </c>
      <c r="AM82" s="128">
        <f>+IF(AK82=0,"",IF(T84="&gt;",U84+0.001,IF(T84="&lt;",U84-0.001,U84)))</f>
        <v>0</v>
      </c>
      <c r="AN82" s="128">
        <f>+IF(T83="NA","",IF(AK82=0,"",IF(T84="≥",U84-0.001,IF(T84="≤",U84+0.001,U84))))</f>
        <v>0</v>
      </c>
      <c r="AO82" s="128">
        <f>IF(T83="NA","",IF(AK82=0,"",IF(T83="&gt;",U83+0.001,IF(T83="&lt;",U83-0.001,U83))))</f>
        <v>0</v>
      </c>
      <c r="AP82" s="128">
        <f>+IF(T82="NA","",IF(AK82=0,"",IF(T83="≥",U83-0.001,IF(T83="≤",U83+0.001,U83))))</f>
        <v>0</v>
      </c>
      <c r="AQ82" s="128">
        <f>+IF(T82="NA","",IF(AK82=0,"",IF(T82="&gt;",U82+0.001,IF(T82="&lt;",U82-0.001,U82))))</f>
        <v>0</v>
      </c>
      <c r="AR82" s="128" t="str">
        <f>IF(AK82=0,"",IF(T82="≥",U81-0.001,IF(T82="≤",U81+0.001,"")))</f>
        <v/>
      </c>
      <c r="AS82" s="128" t="str">
        <f>+IF(AK82=0,"",IF(T81="=",U81,""))</f>
        <v/>
      </c>
    </row>
    <row r="83" spans="2:45" x14ac:dyDescent="0.25">
      <c r="B83" s="106"/>
      <c r="D83" s="386" t="s">
        <v>55</v>
      </c>
      <c r="E83" s="386"/>
      <c r="F83" s="126"/>
      <c r="G83" s="126">
        <v>0.94</v>
      </c>
      <c r="H83" s="126">
        <v>0.94099999999999995</v>
      </c>
      <c r="I83" s="126">
        <v>0.96899999999999997</v>
      </c>
      <c r="J83" s="126">
        <v>0.97</v>
      </c>
      <c r="K83" s="126">
        <v>0.999</v>
      </c>
      <c r="L83" s="126">
        <v>1</v>
      </c>
      <c r="M83" s="126"/>
      <c r="O83" s="106"/>
      <c r="Q83" s="122" t="s">
        <v>1982</v>
      </c>
      <c r="R83" s="111"/>
      <c r="S83" s="127"/>
      <c r="T83" s="111"/>
      <c r="U83" s="127"/>
      <c r="V83" s="111"/>
      <c r="W83" s="127"/>
      <c r="X83" s="111"/>
      <c r="Y83" s="127"/>
      <c r="Z83" s="111"/>
      <c r="AA83" s="127"/>
      <c r="AB83" s="111"/>
      <c r="AC83" s="127"/>
      <c r="AE83" s="105" t="s">
        <v>55</v>
      </c>
      <c r="AF83" s="105">
        <v>9</v>
      </c>
      <c r="AG83" s="105">
        <f t="shared" si="0"/>
        <v>1</v>
      </c>
      <c r="AH83" s="105">
        <f>+IF(AG83=0,0,IF(AG83=1,(SUM($AG$75:AG83)-1),1))</f>
        <v>6</v>
      </c>
      <c r="AI83" s="105">
        <f t="shared" si="1"/>
        <v>1</v>
      </c>
      <c r="AJ83" s="105">
        <f t="shared" si="2"/>
        <v>0</v>
      </c>
      <c r="AK83" s="105">
        <f t="shared" si="3"/>
        <v>1</v>
      </c>
      <c r="AL83" s="128" t="str">
        <f>+""</f>
        <v/>
      </c>
      <c r="AM83" s="128">
        <f>+IF(AK83=0,"",IF(V84="&gt;",W84+0.001,IF(V84="&lt;",W84-0.001,W84)))</f>
        <v>0</v>
      </c>
      <c r="AN83" s="128">
        <f>+IF(V83="NA","",IF(AK83=0,"",IF(V84="≥",W84-0.001,IF(V84="≤",W84+0.001,W84))))</f>
        <v>0</v>
      </c>
      <c r="AO83" s="128">
        <f>IF(V83="NA","",IF(AK83=0,"",IF(V83="&gt;",W83+0.001,IF(V83="&lt;",W83-0.001,W83))))</f>
        <v>0</v>
      </c>
      <c r="AP83" s="128">
        <f>+IF(V82="NA","",IF(AK83=0,"",IF(V83="≥",W83-0.001,IF(V83="≤",W83+0.001,W83))))</f>
        <v>0</v>
      </c>
      <c r="AQ83" s="128">
        <f>+IF(V82="NA","",IF(AK83=0,"",IF(V82="&gt;",W82+0.001,IF(V82="&lt;",W82-0.001,W82))))</f>
        <v>0</v>
      </c>
      <c r="AR83" s="128" t="str">
        <f>IF(AK83=0,"",IF(V82="≥",W81-0.001,IF(V82="≤",W81+0.001,"")))</f>
        <v/>
      </c>
      <c r="AS83" s="128" t="str">
        <f>+IF(AK83=0,"",IF(V81="=",W81,""))</f>
        <v/>
      </c>
    </row>
    <row r="84" spans="2:45" x14ac:dyDescent="0.25">
      <c r="B84" s="106"/>
      <c r="D84" s="386" t="s">
        <v>56</v>
      </c>
      <c r="E84" s="386"/>
      <c r="F84" s="126"/>
      <c r="G84" s="126">
        <v>0.94</v>
      </c>
      <c r="H84" s="126">
        <v>0.94099999999999995</v>
      </c>
      <c r="I84" s="126">
        <v>0.96899999999999997</v>
      </c>
      <c r="J84" s="126">
        <v>0.97</v>
      </c>
      <c r="K84" s="126">
        <v>0.999</v>
      </c>
      <c r="L84" s="126">
        <v>1</v>
      </c>
      <c r="M84" s="126"/>
      <c r="O84" s="106"/>
      <c r="Q84" s="122" t="s">
        <v>1983</v>
      </c>
      <c r="R84" s="111"/>
      <c r="S84" s="127"/>
      <c r="T84" s="111"/>
      <c r="U84" s="127"/>
      <c r="V84" s="111"/>
      <c r="W84" s="127"/>
      <c r="X84" s="111"/>
      <c r="Y84" s="127"/>
      <c r="Z84" s="111"/>
      <c r="AA84" s="127"/>
      <c r="AB84" s="111"/>
      <c r="AC84" s="127"/>
      <c r="AE84" s="105" t="s">
        <v>56</v>
      </c>
      <c r="AF84" s="105">
        <v>10</v>
      </c>
      <c r="AG84" s="105">
        <f t="shared" si="0"/>
        <v>1</v>
      </c>
      <c r="AH84" s="105">
        <f>+IF(AG84=0,0,IF(AG84=1,(SUM($AG$75:AG84)-1),1))</f>
        <v>7</v>
      </c>
      <c r="AI84" s="105">
        <f t="shared" si="1"/>
        <v>1</v>
      </c>
      <c r="AJ84" s="105">
        <f t="shared" si="2"/>
        <v>0</v>
      </c>
      <c r="AK84" s="105">
        <f t="shared" si="3"/>
        <v>1</v>
      </c>
      <c r="AL84" s="128" t="str">
        <f>+""</f>
        <v/>
      </c>
      <c r="AM84" s="128">
        <f>+IF(AK84=0,"",IF(X84="&gt;",Y84+0.001,IF(X84="&lt;",Y84-0.001,Y84)))</f>
        <v>0</v>
      </c>
      <c r="AN84" s="128">
        <f>+IF(X83="NA","",IF(AK84=0,"",IF(X84="≥",Y84-0.001,IF(X84="≤",Y84+0.001,Y84))))</f>
        <v>0</v>
      </c>
      <c r="AO84" s="128">
        <f>IF(X83="NA","",IF(AK84=0,"",IF(X83="&gt;",Y83+0.001,IF(X83="&lt;",Y83-0.001,Y83))))</f>
        <v>0</v>
      </c>
      <c r="AP84" s="128">
        <f>+IF(X82="NA","",IF(AK84=0,"",IF(X83="≥",Y83-0.001,IF(X83="≤",Y83+0.001,Y83))))</f>
        <v>0</v>
      </c>
      <c r="AQ84" s="128">
        <f>+IF(X82="NA","",IF(AK84=0,"",IF(X82="&gt;",Y82+0.001,IF(X82="&lt;",Y82-0.001,Y82))))</f>
        <v>0</v>
      </c>
      <c r="AR84" s="128" t="str">
        <f>IF(AK84=0,"",IF(X82="≥",Y81-0.001,IF(X82="≤",Y81+0.001,"")))</f>
        <v/>
      </c>
      <c r="AS84" s="128" t="str">
        <f>+IF(AK84=0,"",IF(X81="=",Y81,""))</f>
        <v/>
      </c>
    </row>
    <row r="85" spans="2:45" x14ac:dyDescent="0.25">
      <c r="B85" s="106"/>
      <c r="D85" s="386" t="s">
        <v>57</v>
      </c>
      <c r="E85" s="386"/>
      <c r="F85" s="126"/>
      <c r="G85" s="126">
        <v>0.94</v>
      </c>
      <c r="H85" s="126">
        <v>0.94099999999999995</v>
      </c>
      <c r="I85" s="126">
        <v>0.96899999999999997</v>
      </c>
      <c r="J85" s="126">
        <v>0.97</v>
      </c>
      <c r="K85" s="126">
        <v>0.999</v>
      </c>
      <c r="L85" s="126">
        <v>1</v>
      </c>
      <c r="M85" s="126"/>
      <c r="O85" s="106"/>
      <c r="AE85" s="105" t="s">
        <v>57</v>
      </c>
      <c r="AF85" s="105">
        <v>11</v>
      </c>
      <c r="AG85" s="105">
        <f t="shared" si="0"/>
        <v>1</v>
      </c>
      <c r="AH85" s="105">
        <f>+IF(AG85=0,0,IF(AG85=1,(SUM($AG$75:AG85)-1),1))</f>
        <v>8</v>
      </c>
      <c r="AI85" s="105">
        <f t="shared" si="1"/>
        <v>1</v>
      </c>
      <c r="AJ85" s="105">
        <f t="shared" si="2"/>
        <v>0</v>
      </c>
      <c r="AK85" s="105">
        <f t="shared" si="3"/>
        <v>1</v>
      </c>
      <c r="AL85" s="128" t="str">
        <f>+""</f>
        <v/>
      </c>
      <c r="AM85" s="128">
        <f>+IF(AK85=0,"",IF(Z84="&gt;",AA84+0.001,IF(Z84="&lt;",AA84-0.001,AA84)))</f>
        <v>0</v>
      </c>
      <c r="AN85" s="128">
        <f>+IF(Z83="NA","",IF(AK85=0,"",IF(Z84="≥",AA84-0.001,IF(Z84="≤",AA84+0.001,AA84))))</f>
        <v>0</v>
      </c>
      <c r="AO85" s="128">
        <f>IF(Z83="NA","",IF(AK85=0,"",IF(Z83="&gt;",AA83+0.001,IF(Z83="&lt;",AA83-0.001,AA83))))</f>
        <v>0</v>
      </c>
      <c r="AP85" s="128">
        <f>+IF(Z82="NA","",IF(AK85=0,"",IF(Z83="≥",AA83-0.001,IF(Z83="≤",AA83+0.001,AA83))))</f>
        <v>0</v>
      </c>
      <c r="AQ85" s="128">
        <f>+IF(Z82="NA","",IF(AK85=0,"",IF(Z82="&gt;",AA82+0.001,IF(Z82="&lt;",AA82-0.001,AA82))))</f>
        <v>0</v>
      </c>
      <c r="AR85" s="128" t="str">
        <f>IF(AK85=0,"",IF(Z82="≥",AA81-0.001,IF(Z82="≤",AA81+0.001,"")))</f>
        <v/>
      </c>
      <c r="AS85" s="128" t="str">
        <f>+IF(AK85=0,"",IF(Z81="=",AA81,""))</f>
        <v/>
      </c>
    </row>
    <row r="86" spans="2:45" x14ac:dyDescent="0.25">
      <c r="B86" s="106"/>
      <c r="D86" s="386" t="s">
        <v>58</v>
      </c>
      <c r="E86" s="386"/>
      <c r="F86" s="126"/>
      <c r="G86" s="126">
        <v>0.94</v>
      </c>
      <c r="H86" s="126">
        <v>0.94099999999999995</v>
      </c>
      <c r="I86" s="126">
        <v>0.96899999999999997</v>
      </c>
      <c r="J86" s="126">
        <v>0.97</v>
      </c>
      <c r="K86" s="126">
        <v>0.999</v>
      </c>
      <c r="L86" s="126">
        <v>1</v>
      </c>
      <c r="M86" s="126"/>
      <c r="O86" s="106"/>
      <c r="AE86" s="105" t="s">
        <v>58</v>
      </c>
      <c r="AF86" s="129">
        <v>12</v>
      </c>
      <c r="AG86" s="105">
        <f t="shared" si="0"/>
        <v>1</v>
      </c>
      <c r="AH86" s="105">
        <f>+IF(AG86=0,0,IF(AG86=1,(SUM($AG$75:AG86)-1),1))</f>
        <v>9</v>
      </c>
      <c r="AI86" s="105">
        <f t="shared" si="1"/>
        <v>1</v>
      </c>
      <c r="AJ86" s="105">
        <f t="shared" si="2"/>
        <v>0</v>
      </c>
      <c r="AK86" s="105">
        <f t="shared" si="3"/>
        <v>1</v>
      </c>
      <c r="AL86" s="128" t="str">
        <f>+""</f>
        <v/>
      </c>
      <c r="AM86" s="128">
        <f>+IF(AK86=0,"",IF(AB84="&gt;",AC84+0.001,IF(AB84="&lt;",AC84-0.001,AC84)))</f>
        <v>0</v>
      </c>
      <c r="AN86" s="128">
        <f>+IF(AB83="NA","",IF(AK86=0,"",IF(AB84="≥",AC84-0.001,IF(AB84="≤",AC84+0.001,AC84))))</f>
        <v>0</v>
      </c>
      <c r="AO86" s="128">
        <f>IF(AB83="NA","",IF(AK86=0,"",IF(AB83="&gt;",AC83+0.001,IF(AB83="&lt;",AC83-0.001,AC83))))</f>
        <v>0</v>
      </c>
      <c r="AP86" s="128">
        <f>+IF(AB82="NA","",IF(AK86=0,"",IF(AB83="≥",AC83-0.001,IF(AB83="≤",AC83+0.001,AC83))))</f>
        <v>0</v>
      </c>
      <c r="AQ86" s="128">
        <f>+IF(AB82="NA","",IF(AK86=0,"",IF(AB82="&gt;",AC82+0.001,IF(AB82="&lt;",AC82-0.001,AC82))))</f>
        <v>0</v>
      </c>
      <c r="AR86" s="128" t="str">
        <f>IF(AK86=0,"",IF(AB82="≥",AC81-0.001,IF(AB82="≤",AC81+0.001,"")))</f>
        <v/>
      </c>
      <c r="AS86" s="128" t="str">
        <f>+IF(AK86=0,"",IF(AB81="=",AC81,""))</f>
        <v/>
      </c>
    </row>
    <row r="87" spans="2:45" ht="3.75" customHeight="1" x14ac:dyDescent="0.25">
      <c r="B87" s="106"/>
      <c r="O87" s="106"/>
      <c r="AR87" s="128" t="str">
        <f>IF(AK87=0,"",IF(S83="Creciente",IF(R88="≥",S88-0.001,""),IF(R88="≤",S88+0.001,"")))</f>
        <v/>
      </c>
    </row>
    <row r="88" spans="2:45" ht="66" customHeight="1" x14ac:dyDescent="0.25">
      <c r="B88" s="106"/>
      <c r="D88" s="378" t="s">
        <v>59</v>
      </c>
      <c r="E88" s="379"/>
      <c r="F88" s="380" t="s">
        <v>2079</v>
      </c>
      <c r="G88" s="381"/>
      <c r="H88" s="381"/>
      <c r="I88" s="381"/>
      <c r="J88" s="381"/>
      <c r="K88" s="381"/>
      <c r="L88" s="381"/>
      <c r="M88" s="382"/>
      <c r="O88" s="106"/>
    </row>
    <row r="89" spans="2:45" ht="3.95" customHeight="1" x14ac:dyDescent="0.25">
      <c r="B89" s="106"/>
      <c r="O89" s="106"/>
    </row>
    <row r="90" spans="2:45" ht="3" customHeight="1" x14ac:dyDescent="0.25">
      <c r="B90" s="106"/>
      <c r="C90" s="106"/>
      <c r="D90" s="106"/>
      <c r="E90" s="106"/>
      <c r="F90" s="106"/>
      <c r="G90" s="106"/>
      <c r="H90" s="106"/>
      <c r="I90" s="106"/>
      <c r="J90" s="106"/>
      <c r="K90" s="106"/>
      <c r="L90" s="106"/>
      <c r="M90" s="106"/>
      <c r="N90" s="106"/>
      <c r="O90" s="106"/>
    </row>
    <row r="91" spans="2:45" ht="3" customHeight="1" x14ac:dyDescent="0.25"/>
    <row r="92" spans="2:45" ht="3" customHeight="1" x14ac:dyDescent="0.25">
      <c r="B92" s="106"/>
      <c r="C92" s="106"/>
      <c r="D92" s="106"/>
      <c r="E92" s="106"/>
      <c r="F92" s="106"/>
      <c r="G92" s="106"/>
      <c r="H92" s="106"/>
      <c r="I92" s="106"/>
      <c r="J92" s="106"/>
      <c r="K92" s="106"/>
      <c r="L92" s="106"/>
      <c r="M92" s="106"/>
      <c r="N92" s="106"/>
      <c r="O92" s="106"/>
    </row>
    <row r="93" spans="2:45" ht="3.95" customHeight="1" x14ac:dyDescent="0.25">
      <c r="B93" s="106"/>
      <c r="O93" s="106"/>
    </row>
    <row r="94" spans="2:45" x14ac:dyDescent="0.25">
      <c r="B94" s="106"/>
      <c r="D94" s="112" t="s">
        <v>60</v>
      </c>
      <c r="O94" s="106"/>
    </row>
    <row r="95" spans="2:45" ht="3.95" customHeight="1" x14ac:dyDescent="0.25">
      <c r="B95" s="106"/>
      <c r="O95" s="106"/>
    </row>
    <row r="96" spans="2:45" ht="20.100000000000001" customHeight="1" x14ac:dyDescent="0.25">
      <c r="B96" s="106"/>
      <c r="D96" s="387" t="s">
        <v>61</v>
      </c>
      <c r="E96" s="387"/>
      <c r="O96" s="106"/>
    </row>
    <row r="97" spans="2:15" ht="30" customHeight="1" x14ac:dyDescent="0.25">
      <c r="B97" s="106"/>
      <c r="D97" s="369" t="s">
        <v>35</v>
      </c>
      <c r="E97" s="369"/>
      <c r="F97" s="370" t="str">
        <f>+IFERROR(VLOOKUP($S$12,[1]Hoja1!$B$5:$AT$190,29,FALSE),"")</f>
        <v>Reportes de Ejecucion Presupuestal SIIF</v>
      </c>
      <c r="G97" s="370"/>
      <c r="H97" s="370"/>
      <c r="I97" s="370"/>
      <c r="J97" s="370"/>
      <c r="K97" s="370"/>
      <c r="L97" s="370"/>
      <c r="M97" s="370"/>
      <c r="O97" s="106"/>
    </row>
    <row r="98" spans="2:15" ht="30" customHeight="1" x14ac:dyDescent="0.25">
      <c r="B98" s="106"/>
      <c r="D98" s="369" t="s">
        <v>36</v>
      </c>
      <c r="E98" s="369"/>
      <c r="F98" s="370" t="s">
        <v>1984</v>
      </c>
      <c r="G98" s="370"/>
      <c r="H98" s="370"/>
      <c r="I98" s="370"/>
      <c r="J98" s="370"/>
      <c r="K98" s="370"/>
      <c r="L98" s="370"/>
      <c r="M98" s="370"/>
      <c r="O98" s="106"/>
    </row>
    <row r="99" spans="2:15" ht="3.95" customHeight="1" x14ac:dyDescent="0.25">
      <c r="B99" s="106"/>
      <c r="O99" s="106"/>
    </row>
    <row r="100" spans="2:15" ht="58.5" customHeight="1" x14ac:dyDescent="0.25">
      <c r="B100" s="106"/>
      <c r="D100" s="378" t="s">
        <v>62</v>
      </c>
      <c r="E100" s="379"/>
      <c r="F100" s="383"/>
      <c r="G100" s="384"/>
      <c r="H100" s="384"/>
      <c r="I100" s="384"/>
      <c r="J100" s="384"/>
      <c r="K100" s="384"/>
      <c r="L100" s="384"/>
      <c r="M100" s="385"/>
      <c r="O100" s="106"/>
    </row>
    <row r="101" spans="2:15" ht="3.95" customHeight="1" x14ac:dyDescent="0.25">
      <c r="B101" s="106"/>
      <c r="O101" s="106"/>
    </row>
    <row r="102" spans="2:15" ht="19.5" customHeight="1" x14ac:dyDescent="0.25">
      <c r="B102" s="106"/>
      <c r="D102" s="371" t="s">
        <v>64</v>
      </c>
      <c r="E102" s="372"/>
      <c r="F102" s="130" t="s">
        <v>65</v>
      </c>
      <c r="G102" s="107" t="s">
        <v>2</v>
      </c>
      <c r="K102" s="131"/>
      <c r="O102" s="106"/>
    </row>
    <row r="103" spans="2:15" ht="19.5" customHeight="1" x14ac:dyDescent="0.25">
      <c r="B103" s="106"/>
      <c r="D103" s="373"/>
      <c r="E103" s="374"/>
      <c r="F103" s="130" t="s">
        <v>66</v>
      </c>
      <c r="G103" s="132"/>
      <c r="K103" s="133"/>
      <c r="O103" s="106"/>
    </row>
    <row r="104" spans="2:15" ht="27.75" customHeight="1" x14ac:dyDescent="0.25">
      <c r="B104" s="106"/>
      <c r="D104" s="373"/>
      <c r="E104" s="374"/>
      <c r="F104" s="130" t="s">
        <v>67</v>
      </c>
      <c r="G104" s="375"/>
      <c r="H104" s="376"/>
      <c r="I104" s="376"/>
      <c r="J104" s="376"/>
      <c r="K104" s="376"/>
      <c r="L104" s="376"/>
      <c r="M104" s="377"/>
      <c r="O104" s="106"/>
    </row>
    <row r="105" spans="2:15" ht="3.95" customHeight="1" x14ac:dyDescent="0.25">
      <c r="B105" s="106"/>
      <c r="O105" s="106"/>
    </row>
    <row r="106" spans="2:15" ht="229.5" customHeight="1" x14ac:dyDescent="0.25">
      <c r="B106" s="106"/>
      <c r="D106" s="378" t="s">
        <v>68</v>
      </c>
      <c r="E106" s="379"/>
      <c r="F106" s="380" t="s">
        <v>102</v>
      </c>
      <c r="G106" s="381"/>
      <c r="H106" s="381"/>
      <c r="I106" s="381"/>
      <c r="J106" s="381"/>
      <c r="K106" s="381"/>
      <c r="L106" s="381"/>
      <c r="M106" s="382"/>
      <c r="O106" s="106"/>
    </row>
    <row r="107" spans="2:15" ht="3.95" customHeight="1" x14ac:dyDescent="0.25">
      <c r="B107" s="106"/>
      <c r="O107" s="106"/>
    </row>
    <row r="108" spans="2:15" ht="17.25" customHeight="1" x14ac:dyDescent="0.25">
      <c r="B108" s="106"/>
      <c r="D108" s="371" t="s">
        <v>2040</v>
      </c>
      <c r="E108" s="372"/>
      <c r="F108" s="130" t="s">
        <v>2041</v>
      </c>
      <c r="G108" s="375" t="str">
        <f>+VLOOKUP(H10,tablero!$P$5:$R$201,3,FALSE)</f>
        <v xml:space="preserve">Director(a) Niñez y Adolescencia </v>
      </c>
      <c r="H108" s="376"/>
      <c r="I108" s="376"/>
      <c r="J108" s="376"/>
      <c r="K108" s="376"/>
      <c r="L108" s="376"/>
      <c r="M108" s="377"/>
      <c r="O108" s="106"/>
    </row>
    <row r="109" spans="2:15" ht="17.25" customHeight="1" x14ac:dyDescent="0.25">
      <c r="B109" s="106"/>
      <c r="D109" s="373"/>
      <c r="E109" s="374"/>
      <c r="F109" s="130" t="s">
        <v>2042</v>
      </c>
      <c r="G109" s="375" t="str">
        <f>+IF(M23="Si","Coordinador(a) Planeación y Sistemas","")</f>
        <v/>
      </c>
      <c r="H109" s="376"/>
      <c r="I109" s="376"/>
      <c r="J109" s="376"/>
      <c r="K109" s="376"/>
      <c r="L109" s="376"/>
      <c r="M109" s="377"/>
      <c r="O109" s="106"/>
    </row>
    <row r="110" spans="2:15" ht="17.25" customHeight="1" x14ac:dyDescent="0.25">
      <c r="B110" s="106"/>
      <c r="D110" s="373"/>
      <c r="E110" s="374"/>
      <c r="F110" s="130" t="s">
        <v>2043</v>
      </c>
      <c r="G110" s="375" t="str">
        <f>+IF(M24="Si","Coordinador(a) Centro Zonal","")</f>
        <v/>
      </c>
      <c r="H110" s="376"/>
      <c r="I110" s="376"/>
      <c r="J110" s="376"/>
      <c r="K110" s="376"/>
      <c r="L110" s="376"/>
      <c r="M110" s="377"/>
      <c r="O110" s="106"/>
    </row>
    <row r="111" spans="2:15" ht="3.95" customHeight="1" x14ac:dyDescent="0.25">
      <c r="B111" s="106"/>
      <c r="O111" s="106"/>
    </row>
    <row r="112" spans="2:15" ht="3" customHeight="1" x14ac:dyDescent="0.25">
      <c r="B112" s="106"/>
      <c r="C112" s="106"/>
      <c r="D112" s="106"/>
      <c r="E112" s="106"/>
      <c r="F112" s="106"/>
      <c r="G112" s="106"/>
      <c r="H112" s="106"/>
      <c r="I112" s="106"/>
      <c r="J112" s="106"/>
      <c r="K112" s="106"/>
      <c r="L112" s="106"/>
      <c r="M112" s="106"/>
      <c r="N112" s="106"/>
      <c r="O112" s="106"/>
    </row>
    <row r="113" spans="13:13" x14ac:dyDescent="0.25">
      <c r="M113" s="121" t="s">
        <v>70</v>
      </c>
    </row>
  </sheetData>
  <mergeCells count="85">
    <mergeCell ref="C3:N5"/>
    <mergeCell ref="D10:E10"/>
    <mergeCell ref="D12:E12"/>
    <mergeCell ref="F12:M12"/>
    <mergeCell ref="D14:E14"/>
    <mergeCell ref="F14:M14"/>
    <mergeCell ref="D22:E22"/>
    <mergeCell ref="G22:H22"/>
    <mergeCell ref="K22:L22"/>
    <mergeCell ref="D23:E23"/>
    <mergeCell ref="G23:H23"/>
    <mergeCell ref="K23:L23"/>
    <mergeCell ref="D24:E24"/>
    <mergeCell ref="G24:H24"/>
    <mergeCell ref="K24:L24"/>
    <mergeCell ref="D25:E25"/>
    <mergeCell ref="D29:E29"/>
    <mergeCell ref="F29:M29"/>
    <mergeCell ref="D30:E31"/>
    <mergeCell ref="G30:M30"/>
    <mergeCell ref="G31:M31"/>
    <mergeCell ref="D32:E33"/>
    <mergeCell ref="G32:M32"/>
    <mergeCell ref="G33:M33"/>
    <mergeCell ref="D34:E35"/>
    <mergeCell ref="G34:M34"/>
    <mergeCell ref="G35:M35"/>
    <mergeCell ref="D43:E43"/>
    <mergeCell ref="D44:E45"/>
    <mergeCell ref="G44:M44"/>
    <mergeCell ref="G45:M45"/>
    <mergeCell ref="D46:E47"/>
    <mergeCell ref="G46:M46"/>
    <mergeCell ref="G47:M47"/>
    <mergeCell ref="D48:E49"/>
    <mergeCell ref="G48:M48"/>
    <mergeCell ref="G49:M49"/>
    <mergeCell ref="D51:E51"/>
    <mergeCell ref="G51:H51"/>
    <mergeCell ref="D59:E59"/>
    <mergeCell ref="F59:M59"/>
    <mergeCell ref="D60:E60"/>
    <mergeCell ref="F60:M60"/>
    <mergeCell ref="D82:E82"/>
    <mergeCell ref="D83:E83"/>
    <mergeCell ref="D61:E61"/>
    <mergeCell ref="F61:M61"/>
    <mergeCell ref="D67:E67"/>
    <mergeCell ref="D71:E71"/>
    <mergeCell ref="D73:E74"/>
    <mergeCell ref="F73:G73"/>
    <mergeCell ref="H73:I73"/>
    <mergeCell ref="J73:K73"/>
    <mergeCell ref="L73:M73"/>
    <mergeCell ref="D77:E77"/>
    <mergeCell ref="D78:E78"/>
    <mergeCell ref="D79:E79"/>
    <mergeCell ref="D80:E80"/>
    <mergeCell ref="D81:E81"/>
    <mergeCell ref="AR73:AS73"/>
    <mergeCell ref="D75:E75"/>
    <mergeCell ref="D76:E76"/>
    <mergeCell ref="AL73:AM73"/>
    <mergeCell ref="AN73:AO73"/>
    <mergeCell ref="AP73:AQ73"/>
    <mergeCell ref="D84:E84"/>
    <mergeCell ref="D85:E85"/>
    <mergeCell ref="D86:E86"/>
    <mergeCell ref="D88:E88"/>
    <mergeCell ref="F97:M97"/>
    <mergeCell ref="D96:E96"/>
    <mergeCell ref="D97:E97"/>
    <mergeCell ref="F88:M88"/>
    <mergeCell ref="D98:E98"/>
    <mergeCell ref="F98:M98"/>
    <mergeCell ref="D108:E110"/>
    <mergeCell ref="G108:M108"/>
    <mergeCell ref="G109:M109"/>
    <mergeCell ref="G110:M110"/>
    <mergeCell ref="D102:E104"/>
    <mergeCell ref="G104:M104"/>
    <mergeCell ref="D106:E106"/>
    <mergeCell ref="F106:M106"/>
    <mergeCell ref="D100:E100"/>
    <mergeCell ref="F100:M100"/>
  </mergeCells>
  <conditionalFormatting sqref="F44:M49">
    <cfRule type="expression" dxfId="2973" priority="34">
      <formula>+IF($F$43="no",1,0)</formula>
    </cfRule>
  </conditionalFormatting>
  <conditionalFormatting sqref="F32:M33">
    <cfRule type="expression" dxfId="2972" priority="33">
      <formula>+IF($Q$30="NA",1,0)</formula>
    </cfRule>
  </conditionalFormatting>
  <conditionalFormatting sqref="F33:M33">
    <cfRule type="expression" dxfId="2971" priority="32">
      <formula>+IF($Q$33=0,1,0)</formula>
    </cfRule>
  </conditionalFormatting>
  <conditionalFormatting sqref="F47:M47">
    <cfRule type="expression" dxfId="2970" priority="31">
      <formula>+IF($Q$47=0,1,0)</formula>
    </cfRule>
  </conditionalFormatting>
  <conditionalFormatting sqref="Y75:Y78">
    <cfRule type="expression" dxfId="2969" priority="27">
      <formula>+IF(Y$73=0,1,0)</formula>
    </cfRule>
  </conditionalFormatting>
  <conditionalFormatting sqref="AA75:AA78">
    <cfRule type="expression" dxfId="2968" priority="26">
      <formula>+IF(AA$73=0,1,0)</formula>
    </cfRule>
  </conditionalFormatting>
  <conditionalFormatting sqref="AC75:AC78">
    <cfRule type="expression" dxfId="2967" priority="25">
      <formula>+IF(AC$73=0,1,0)</formula>
    </cfRule>
  </conditionalFormatting>
  <conditionalFormatting sqref="S82:S84">
    <cfRule type="expression" dxfId="2966" priority="24">
      <formula>+IF(S$79=0,1,0)</formula>
    </cfRule>
  </conditionalFormatting>
  <conditionalFormatting sqref="U82:U84">
    <cfRule type="expression" dxfId="2965" priority="23">
      <formula>+IF(U$79=0,1,0)</formula>
    </cfRule>
  </conditionalFormatting>
  <conditionalFormatting sqref="W82:W84">
    <cfRule type="expression" dxfId="2964" priority="22">
      <formula>+IF(W$79=0,1,0)</formula>
    </cfRule>
  </conditionalFormatting>
  <conditionalFormatting sqref="Y81:Y84">
    <cfRule type="expression" dxfId="2963" priority="21">
      <formula>+IF(Y$79=0,1,0)</formula>
    </cfRule>
  </conditionalFormatting>
  <conditionalFormatting sqref="AA81:AA84">
    <cfRule type="expression" dxfId="2962" priority="20">
      <formula>+IF(AA$79=0,1,0)</formula>
    </cfRule>
  </conditionalFormatting>
  <conditionalFormatting sqref="AC81:AC84">
    <cfRule type="expression" dxfId="2961" priority="19">
      <formula>+IF(AC$79=0,1,0)</formula>
    </cfRule>
  </conditionalFormatting>
  <conditionalFormatting sqref="F73:G73">
    <cfRule type="cellIs" dxfId="2960" priority="17" operator="equal">
      <formula>"optimo"</formula>
    </cfRule>
    <cfRule type="cellIs" dxfId="2959" priority="18" operator="equal">
      <formula>"critico"</formula>
    </cfRule>
  </conditionalFormatting>
  <conditionalFormatting sqref="H73:I73">
    <cfRule type="cellIs" dxfId="2958" priority="15" operator="equal">
      <formula>"Adecuado"</formula>
    </cfRule>
    <cfRule type="cellIs" dxfId="2957" priority="16" operator="equal">
      <formula>"en riesgo"</formula>
    </cfRule>
  </conditionalFormatting>
  <conditionalFormatting sqref="J73:K73">
    <cfRule type="cellIs" dxfId="2956" priority="13" operator="equal">
      <formula>"Adecuado"</formula>
    </cfRule>
    <cfRule type="cellIs" dxfId="2955" priority="14" operator="equal">
      <formula>"en riesgo"</formula>
    </cfRule>
  </conditionalFormatting>
  <conditionalFormatting sqref="L73:M73">
    <cfRule type="cellIs" dxfId="2954" priority="11" operator="equal">
      <formula>"optimo"</formula>
    </cfRule>
    <cfRule type="cellIs" dxfId="2953" priority="12" operator="equal">
      <formula>"critico"</formula>
    </cfRule>
  </conditionalFormatting>
  <conditionalFormatting sqref="F75:M76">
    <cfRule type="expression" dxfId="2952" priority="10">
      <formula>+IF($AK75=0,1)</formula>
    </cfRule>
  </conditionalFormatting>
  <conditionalFormatting sqref="F103:G104">
    <cfRule type="expression" dxfId="2951" priority="9">
      <formula>+IF($G$102="No",1,0)</formula>
    </cfRule>
  </conditionalFormatting>
  <conditionalFormatting sqref="F51">
    <cfRule type="expression" dxfId="2950" priority="8">
      <formula>+IF($F$43="no",1,0)</formula>
    </cfRule>
  </conditionalFormatting>
  <conditionalFormatting sqref="I51">
    <cfRule type="expression" dxfId="2949" priority="7">
      <formula>+IF($F$51="no",1,0)</formula>
    </cfRule>
  </conditionalFormatting>
  <conditionalFormatting sqref="F77:F86 M77:M86">
    <cfRule type="expression" dxfId="2948" priority="2">
      <formula>+IF($AK77=0,1)</formula>
    </cfRule>
  </conditionalFormatting>
  <conditionalFormatting sqref="G77:L86">
    <cfRule type="expression" dxfId="2947" priority="1">
      <formula>+IF($AK77=0,1)</formula>
    </cfRule>
  </conditionalFormatting>
  <dataValidations count="13">
    <dataValidation type="list" allowBlank="1" showInputMessage="1" showErrorMessage="1" sqref="F25">
      <formula1>dimen</formula1>
    </dataValidation>
    <dataValidation type="list" allowBlank="1" showInputMessage="1" showErrorMessage="1" sqref="G49:M49">
      <formula1>proyectos</formula1>
    </dataValidation>
    <dataValidation type="list" allowBlank="1" showInputMessage="1" showErrorMessage="1" sqref="F71">
      <formula1>$D$75:$D$86</formula1>
    </dataValidation>
    <dataValidation type="list" allowBlank="1" showInputMessage="1" showErrorMessage="1" sqref="I24">
      <formula1>ambito</formula1>
    </dataValidation>
    <dataValidation type="list" allowBlank="1" showInputMessage="1" showErrorMessage="1" sqref="I23">
      <formula1>medidas</formula1>
    </dataValidation>
    <dataValidation type="list" allowBlank="1" showInputMessage="1" showErrorMessage="1" sqref="F24">
      <formula1>tendencia</formula1>
    </dataValidation>
    <dataValidation type="list" allowBlank="1" showInputMessage="1" showErrorMessage="1" sqref="G47:M47">
      <formula1>INDIRECT($Q$45)</formula1>
    </dataValidation>
    <dataValidation type="list" allowBlank="1" showInputMessage="1" showErrorMessage="1" sqref="G45:M45">
      <formula1>lineas</formula1>
    </dataValidation>
    <dataValidation type="list" allowBlank="1" showInputMessage="1" showErrorMessage="1" sqref="G31:M31">
      <formula1>macroproceso</formula1>
    </dataValidation>
    <dataValidation type="list" allowBlank="1" showInputMessage="1" showErrorMessage="1" sqref="G33:M33">
      <formula1>INDIRECT($Q$30)</formula1>
    </dataValidation>
    <dataValidation type="list" allowBlank="1" showInputMessage="1" showErrorMessage="1" sqref="F35:G35">
      <formula1>macroprocesos</formula1>
    </dataValidation>
    <dataValidation type="list" allowBlank="1" showInputMessage="1" showErrorMessage="1" sqref="F29:M29">
      <formula1>objetivos</formula1>
    </dataValidation>
    <dataValidation type="list" allowBlank="1" showInputMessage="1" showErrorMessage="1" sqref="G102 F43 F51">
      <formula1>$S$4:$S$5</formula1>
    </dataValidation>
  </dataValidations>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[1]Hoja1!#REF!</xm:f>
          </x14:formula1>
          <xm:sqref>S12</xm:sqref>
        </x14:dataValidation>
        <x14:dataValidation type="list" allowBlank="1" showInputMessage="1" showErrorMessage="1">
          <x14:formula1>
            <xm:f>[1]base!#REF!</xm:f>
          </x14:formula1>
          <xm:sqref>R75:R78 T75:T78 V75:V78 X75:X78 Z75:Z78 AB75:AB78 T81:T84 Z81:Z84 R81:R84 V81:V84 X81:X84 AB81:AB84 F23</xm:sqref>
        </x14:dataValidation>
      </x14:dataValidations>
    </ext>
  </extLs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5">
    <tabColor rgb="FF75C4FF"/>
  </sheetPr>
  <dimension ref="B1:AV113"/>
  <sheetViews>
    <sheetView zoomScaleNormal="100" workbookViewId="0">
      <selection activeCell="P2" sqref="P2"/>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171</v>
      </c>
      <c r="O10" s="2"/>
    </row>
    <row r="11" spans="2:24" ht="3.95" customHeight="1" x14ac:dyDescent="0.25">
      <c r="B11" s="2"/>
      <c r="D11" s="6"/>
      <c r="O11" s="2"/>
    </row>
    <row r="12" spans="2:24" ht="36" customHeight="1" x14ac:dyDescent="0.25">
      <c r="B12" s="2"/>
      <c r="D12" s="338" t="s">
        <v>5</v>
      </c>
      <c r="E12" s="339"/>
      <c r="F12" s="340" t="s">
        <v>528</v>
      </c>
      <c r="G12" s="341"/>
      <c r="H12" s="341"/>
      <c r="I12" s="341"/>
      <c r="J12" s="341"/>
      <c r="K12" s="341"/>
      <c r="L12" s="341"/>
      <c r="M12" s="342"/>
      <c r="O12" s="2"/>
      <c r="W12" s="3" t="str">
        <f>+F23</f>
        <v>Mensual</v>
      </c>
      <c r="X12" s="3" t="str">
        <f>+F71</f>
        <v>Julio</v>
      </c>
    </row>
    <row r="13" spans="2:24" ht="3.95" customHeight="1" x14ac:dyDescent="0.25">
      <c r="B13" s="2"/>
      <c r="O13" s="2"/>
    </row>
    <row r="14" spans="2:24" ht="50.25" customHeight="1" x14ac:dyDescent="0.25">
      <c r="B14" s="2"/>
      <c r="D14" s="338" t="s">
        <v>6</v>
      </c>
      <c r="E14" s="339"/>
      <c r="F14" s="340" t="s">
        <v>2162</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8">
        <v>138059</v>
      </c>
      <c r="G22" s="337" t="s">
        <v>9</v>
      </c>
      <c r="H22" s="337"/>
      <c r="I22" s="8">
        <v>105488</v>
      </c>
      <c r="K22" s="337" t="s">
        <v>10</v>
      </c>
      <c r="L22" s="337"/>
      <c r="M22" s="9" t="s">
        <v>496</v>
      </c>
      <c r="O22" s="2"/>
    </row>
    <row r="23" spans="2:17" ht="19.5" customHeight="1" x14ac:dyDescent="0.25">
      <c r="B23" s="2"/>
      <c r="D23" s="337" t="s">
        <v>11</v>
      </c>
      <c r="E23" s="337"/>
      <c r="F23" s="4" t="s">
        <v>84</v>
      </c>
      <c r="G23" s="337" t="s">
        <v>12</v>
      </c>
      <c r="H23" s="337"/>
      <c r="I23" s="4" t="s">
        <v>514</v>
      </c>
      <c r="K23" s="337" t="s">
        <v>13</v>
      </c>
      <c r="L23" s="337"/>
      <c r="M23" s="9" t="s">
        <v>496</v>
      </c>
      <c r="O23" s="2"/>
    </row>
    <row r="24" spans="2:17" ht="20.100000000000001" customHeight="1" x14ac:dyDescent="0.25">
      <c r="B24" s="2"/>
      <c r="D24" s="337" t="s">
        <v>14</v>
      </c>
      <c r="E24" s="337"/>
      <c r="F24" s="4" t="s">
        <v>498</v>
      </c>
      <c r="G24" s="337" t="s">
        <v>15</v>
      </c>
      <c r="H24" s="337"/>
      <c r="I24" s="4" t="s">
        <v>519</v>
      </c>
      <c r="K24" s="337" t="s">
        <v>16</v>
      </c>
      <c r="L24" s="337"/>
      <c r="M24" s="9" t="s">
        <v>496</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482</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NA</v>
      </c>
    </row>
    <row r="31" spans="2:17" ht="24" customHeight="1" x14ac:dyDescent="0.25">
      <c r="B31" s="2"/>
      <c r="D31" s="347"/>
      <c r="E31" s="348"/>
      <c r="F31" s="4" t="s">
        <v>168</v>
      </c>
      <c r="G31" s="340" t="s">
        <v>169</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500</v>
      </c>
      <c r="G33" s="340"/>
      <c r="H33" s="341"/>
      <c r="I33" s="341"/>
      <c r="J33" s="341"/>
      <c r="K33" s="341"/>
      <c r="L33" s="341"/>
      <c r="M33" s="342"/>
      <c r="O33" s="2"/>
      <c r="Q33" s="3" t="str">
        <f>+IFERROR(IF(VLOOKUP(G33,base!$A$26:$C$40,3,FALSE)=F31,1,0),"")</f>
        <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1713</v>
      </c>
      <c r="G35" s="340" t="s">
        <v>1589</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501</v>
      </c>
      <c r="G45" s="340" t="s">
        <v>515</v>
      </c>
      <c r="H45" s="341"/>
      <c r="I45" s="341"/>
      <c r="J45" s="341"/>
      <c r="K45" s="341"/>
      <c r="L45" s="341"/>
      <c r="M45" s="342"/>
      <c r="O45" s="2"/>
      <c r="Q45" s="3" t="str">
        <f>+IFERROR(VLOOKUP(G45,base!$A$41:$C$45,3,FALSE),"")</f>
        <v>misional</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503</v>
      </c>
      <c r="G47" s="340" t="s">
        <v>504</v>
      </c>
      <c r="H47" s="341"/>
      <c r="I47" s="341"/>
      <c r="J47" s="341"/>
      <c r="K47" s="341"/>
      <c r="L47" s="341"/>
      <c r="M47" s="342"/>
      <c r="O47" s="2"/>
      <c r="Q47" s="3">
        <f>+IF(VLOOKUP(G47,base!$A$46:$C$66,3,FALSE)=F45,1,0)</f>
        <v>1</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516</v>
      </c>
      <c r="G49" s="340" t="s">
        <v>483</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496</v>
      </c>
      <c r="G51" s="337" t="s">
        <v>32</v>
      </c>
      <c r="H51" s="337"/>
      <c r="I51" s="8">
        <v>560000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75" customHeight="1" x14ac:dyDescent="0.25">
      <c r="B59" s="2"/>
      <c r="D59" s="337" t="s">
        <v>34</v>
      </c>
      <c r="E59" s="337"/>
      <c r="F59" s="344" t="s">
        <v>2165</v>
      </c>
      <c r="G59" s="344"/>
      <c r="H59" s="344"/>
      <c r="I59" s="344"/>
      <c r="J59" s="344"/>
      <c r="K59" s="344"/>
      <c r="L59" s="344"/>
      <c r="M59" s="344"/>
      <c r="O59" s="2"/>
    </row>
    <row r="60" spans="2:15" ht="27" customHeight="1" x14ac:dyDescent="0.25">
      <c r="B60" s="2"/>
      <c r="D60" s="359" t="s">
        <v>35</v>
      </c>
      <c r="E60" s="359"/>
      <c r="F60" s="344" t="s">
        <v>2163</v>
      </c>
      <c r="G60" s="344"/>
      <c r="H60" s="344"/>
      <c r="I60" s="344"/>
      <c r="J60" s="344"/>
      <c r="K60" s="344"/>
      <c r="L60" s="344"/>
      <c r="M60" s="344"/>
      <c r="O60" s="2"/>
    </row>
    <row r="61" spans="2:15" ht="27" customHeight="1" x14ac:dyDescent="0.25">
      <c r="B61" s="2"/>
      <c r="D61" s="359" t="s">
        <v>36</v>
      </c>
      <c r="E61" s="359"/>
      <c r="F61" s="344" t="s">
        <v>2164</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43" t="s">
        <v>39</v>
      </c>
      <c r="E71" s="343"/>
      <c r="F71" s="4" t="s">
        <v>53</v>
      </c>
      <c r="G71" s="3">
        <v>5</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60" t="s">
        <v>49</v>
      </c>
      <c r="E79" s="360"/>
      <c r="F79" s="16" t="s">
        <v>500</v>
      </c>
      <c r="G79" s="16"/>
      <c r="H79" s="16"/>
      <c r="I79" s="16"/>
      <c r="J79" s="16"/>
      <c r="K79" s="16"/>
      <c r="L79" s="16"/>
      <c r="M79" s="16" t="s">
        <v>500</v>
      </c>
      <c r="O79" s="2"/>
      <c r="AE79" s="3" t="s">
        <v>49</v>
      </c>
      <c r="AF79" s="3">
        <v>5</v>
      </c>
      <c r="AG79" s="3">
        <f t="shared" si="0"/>
        <v>1</v>
      </c>
      <c r="AH79" s="3">
        <f>+IF(AG79=0,0,IF(AG79=1,(SUM($AG$75:AG79)-1),1))</f>
        <v>0</v>
      </c>
      <c r="AI79" s="3">
        <f t="shared" si="1"/>
        <v>0</v>
      </c>
      <c r="AJ79" s="3">
        <f t="shared" si="2"/>
        <v>0</v>
      </c>
      <c r="AK79" s="3">
        <f t="shared" si="3"/>
        <v>0</v>
      </c>
    </row>
    <row r="80" spans="2:37" x14ac:dyDescent="0.25">
      <c r="B80" s="2"/>
      <c r="D80" s="360" t="s">
        <v>50</v>
      </c>
      <c r="E80" s="360"/>
      <c r="F80" s="16" t="s">
        <v>500</v>
      </c>
      <c r="G80" s="16"/>
      <c r="H80" s="16"/>
      <c r="I80" s="16"/>
      <c r="J80" s="16"/>
      <c r="K80" s="16"/>
      <c r="L80" s="16"/>
      <c r="M80" s="16" t="s">
        <v>500</v>
      </c>
      <c r="O80" s="2"/>
      <c r="AE80" s="3" t="s">
        <v>50</v>
      </c>
      <c r="AF80" s="3">
        <v>6</v>
      </c>
      <c r="AG80" s="3">
        <f t="shared" si="0"/>
        <v>1</v>
      </c>
      <c r="AH80" s="3">
        <f>+IF(AG80=0,0,IF(AG80=1,(SUM($AG$75:AG80)-1),1))</f>
        <v>1</v>
      </c>
      <c r="AI80" s="3">
        <f t="shared" si="1"/>
        <v>1</v>
      </c>
      <c r="AJ80" s="3">
        <f t="shared" si="2"/>
        <v>0</v>
      </c>
      <c r="AK80" s="3">
        <f t="shared" si="3"/>
        <v>1</v>
      </c>
    </row>
    <row r="81" spans="2:37" x14ac:dyDescent="0.25">
      <c r="B81" s="2"/>
      <c r="D81" s="360" t="s">
        <v>53</v>
      </c>
      <c r="E81" s="360"/>
      <c r="F81" s="16" t="s">
        <v>500</v>
      </c>
      <c r="G81" s="16">
        <v>5.8999999999999997E-2</v>
      </c>
      <c r="H81" s="16">
        <v>0.06</v>
      </c>
      <c r="I81" s="16">
        <v>0.1</v>
      </c>
      <c r="J81" s="16">
        <v>0.10100000000000001</v>
      </c>
      <c r="K81" s="16">
        <v>0.19900000000000001</v>
      </c>
      <c r="L81" s="16">
        <v>0.2</v>
      </c>
      <c r="M81" s="16" t="s">
        <v>500</v>
      </c>
      <c r="O81" s="2"/>
      <c r="AE81" s="3" t="s">
        <v>53</v>
      </c>
      <c r="AF81" s="3">
        <v>7</v>
      </c>
      <c r="AG81" s="3">
        <f t="shared" si="0"/>
        <v>1</v>
      </c>
      <c r="AH81" s="3">
        <f>+IF(AG81=0,0,IF(AG81=1,(SUM($AG$75:AG81)-1),1))</f>
        <v>2</v>
      </c>
      <c r="AI81" s="3">
        <f t="shared" si="1"/>
        <v>1</v>
      </c>
      <c r="AJ81" s="3">
        <f t="shared" si="2"/>
        <v>1</v>
      </c>
      <c r="AK81" s="3">
        <f t="shared" si="3"/>
        <v>1</v>
      </c>
    </row>
    <row r="82" spans="2:37" x14ac:dyDescent="0.25">
      <c r="B82" s="2"/>
      <c r="D82" s="360" t="s">
        <v>54</v>
      </c>
      <c r="E82" s="360"/>
      <c r="F82" s="16" t="s">
        <v>500</v>
      </c>
      <c r="G82" s="16">
        <v>0.29899999999999999</v>
      </c>
      <c r="H82" s="16">
        <v>0.3</v>
      </c>
      <c r="I82" s="16">
        <v>0.5</v>
      </c>
      <c r="J82" s="16">
        <v>0.501</v>
      </c>
      <c r="K82" s="16">
        <v>0.79900000000000004</v>
      </c>
      <c r="L82" s="16">
        <v>0.8</v>
      </c>
      <c r="M82" s="16"/>
      <c r="O82" s="2"/>
      <c r="AE82" s="3" t="s">
        <v>54</v>
      </c>
      <c r="AF82" s="3">
        <v>8</v>
      </c>
      <c r="AG82" s="3">
        <f t="shared" si="0"/>
        <v>1</v>
      </c>
      <c r="AH82" s="3">
        <f>+IF(AG82=0,0,IF(AG82=1,(SUM($AG$75:AG82)-1),1))</f>
        <v>3</v>
      </c>
      <c r="AI82" s="3">
        <f t="shared" si="1"/>
        <v>1</v>
      </c>
      <c r="AJ82" s="3">
        <f t="shared" si="2"/>
        <v>0</v>
      </c>
      <c r="AK82" s="3">
        <f t="shared" si="3"/>
        <v>1</v>
      </c>
    </row>
    <row r="83" spans="2:37" x14ac:dyDescent="0.25">
      <c r="B83" s="2"/>
      <c r="D83" s="360" t="s">
        <v>55</v>
      </c>
      <c r="E83" s="360"/>
      <c r="F83" s="16" t="s">
        <v>500</v>
      </c>
      <c r="G83" s="16">
        <v>0.499</v>
      </c>
      <c r="H83" s="16">
        <v>0.5</v>
      </c>
      <c r="I83" s="16">
        <v>0.79900000000000004</v>
      </c>
      <c r="J83" s="16">
        <v>0.8</v>
      </c>
      <c r="K83" s="16">
        <v>0.999</v>
      </c>
      <c r="L83" s="16" t="s">
        <v>500</v>
      </c>
      <c r="M83" s="16">
        <v>1</v>
      </c>
      <c r="O83" s="2"/>
      <c r="AE83" s="3" t="s">
        <v>55</v>
      </c>
      <c r="AF83" s="3">
        <v>9</v>
      </c>
      <c r="AG83" s="3">
        <f t="shared" si="0"/>
        <v>1</v>
      </c>
      <c r="AH83" s="3">
        <f>+IF(AG83=0,0,IF(AG83=1,(SUM($AG$75:AG83)-1),1))</f>
        <v>4</v>
      </c>
      <c r="AI83" s="3">
        <f t="shared" si="1"/>
        <v>1</v>
      </c>
      <c r="AJ83" s="3">
        <f t="shared" si="2"/>
        <v>0</v>
      </c>
      <c r="AK83" s="3">
        <f t="shared" si="3"/>
        <v>1</v>
      </c>
    </row>
    <row r="84" spans="2:37" x14ac:dyDescent="0.25">
      <c r="B84" s="2"/>
      <c r="D84" s="360" t="s">
        <v>56</v>
      </c>
      <c r="E84" s="360"/>
      <c r="F84" s="16" t="s">
        <v>500</v>
      </c>
      <c r="G84" s="16">
        <v>0.69899999999999995</v>
      </c>
      <c r="H84" s="16">
        <v>0.7</v>
      </c>
      <c r="I84" s="16">
        <v>0.79900000000000004</v>
      </c>
      <c r="J84" s="16">
        <v>0.8</v>
      </c>
      <c r="K84" s="16">
        <v>0.999</v>
      </c>
      <c r="L84" s="16" t="s">
        <v>500</v>
      </c>
      <c r="M84" s="16">
        <v>1</v>
      </c>
      <c r="O84" s="2"/>
      <c r="AE84" s="3" t="s">
        <v>56</v>
      </c>
      <c r="AF84" s="3">
        <v>10</v>
      </c>
      <c r="AG84" s="3">
        <f t="shared" si="0"/>
        <v>1</v>
      </c>
      <c r="AH84" s="3">
        <f>+IF(AG84=0,0,IF(AG84=1,(SUM($AG$75:AG84)-1),1))</f>
        <v>5</v>
      </c>
      <c r="AI84" s="3">
        <f t="shared" si="1"/>
        <v>1</v>
      </c>
      <c r="AJ84" s="3">
        <f t="shared" si="2"/>
        <v>0</v>
      </c>
      <c r="AK84" s="3">
        <f t="shared" si="3"/>
        <v>1</v>
      </c>
    </row>
    <row r="85" spans="2:37" x14ac:dyDescent="0.25">
      <c r="B85" s="2"/>
      <c r="D85" s="360" t="s">
        <v>57</v>
      </c>
      <c r="E85" s="360"/>
      <c r="F85" s="16" t="s">
        <v>500</v>
      </c>
      <c r="G85" s="16">
        <v>0.69899999999999995</v>
      </c>
      <c r="H85" s="16">
        <v>0.7</v>
      </c>
      <c r="I85" s="16">
        <v>0.79900000000000004</v>
      </c>
      <c r="J85" s="16">
        <v>0.8</v>
      </c>
      <c r="K85" s="16">
        <v>0.999</v>
      </c>
      <c r="L85" s="16" t="s">
        <v>500</v>
      </c>
      <c r="M85" s="16">
        <v>1</v>
      </c>
      <c r="O85" s="2"/>
      <c r="AE85" s="3" t="s">
        <v>57</v>
      </c>
      <c r="AF85" s="3">
        <v>11</v>
      </c>
      <c r="AG85" s="3">
        <f t="shared" si="0"/>
        <v>1</v>
      </c>
      <c r="AH85" s="3">
        <f>+IF(AG85=0,0,IF(AG85=1,(SUM($AG$75:AG85)-1),1))</f>
        <v>6</v>
      </c>
      <c r="AI85" s="3">
        <f t="shared" si="1"/>
        <v>1</v>
      </c>
      <c r="AJ85" s="3">
        <f t="shared" si="2"/>
        <v>0</v>
      </c>
      <c r="AK85" s="3">
        <f t="shared" si="3"/>
        <v>1</v>
      </c>
    </row>
    <row r="86" spans="2:37" x14ac:dyDescent="0.25">
      <c r="B86" s="2"/>
      <c r="D86" s="360" t="s">
        <v>58</v>
      </c>
      <c r="E86" s="360"/>
      <c r="F86" s="16" t="s">
        <v>500</v>
      </c>
      <c r="G86" s="16">
        <v>0.69899999999999995</v>
      </c>
      <c r="H86" s="16">
        <v>0.7</v>
      </c>
      <c r="I86" s="16">
        <v>0.79900000000000004</v>
      </c>
      <c r="J86" s="16">
        <v>0.8</v>
      </c>
      <c r="K86" s="16">
        <v>0.999</v>
      </c>
      <c r="L86" s="16" t="s">
        <v>500</v>
      </c>
      <c r="M86" s="16">
        <v>1</v>
      </c>
      <c r="O86" s="2"/>
      <c r="AE86" s="3" t="s">
        <v>58</v>
      </c>
      <c r="AF86" s="65">
        <v>12</v>
      </c>
      <c r="AG86" s="3">
        <f t="shared" si="0"/>
        <v>1</v>
      </c>
      <c r="AH86" s="3">
        <f>+IF(AG86=0,0,IF(AG86=1,(SUM($AG$75:AG86)-1),1))</f>
        <v>7</v>
      </c>
      <c r="AI86" s="3">
        <f t="shared" si="1"/>
        <v>1</v>
      </c>
      <c r="AJ86" s="3">
        <f t="shared" si="2"/>
        <v>0</v>
      </c>
      <c r="AK86" s="3">
        <f t="shared" si="3"/>
        <v>1</v>
      </c>
    </row>
    <row r="87" spans="2:37" ht="3.75" customHeight="1" x14ac:dyDescent="0.25">
      <c r="B87" s="2"/>
      <c r="O87" s="2"/>
    </row>
    <row r="88" spans="2:37" ht="66" customHeight="1" x14ac:dyDescent="0.25">
      <c r="B88" s="2"/>
      <c r="D88" s="338" t="s">
        <v>59</v>
      </c>
      <c r="E88" s="339"/>
      <c r="F88" s="340" t="s">
        <v>2166</v>
      </c>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28.5" customHeight="1" x14ac:dyDescent="0.25">
      <c r="B97" s="2"/>
      <c r="D97" s="359" t="s">
        <v>35</v>
      </c>
      <c r="E97" s="359"/>
      <c r="F97" s="344" t="s">
        <v>530</v>
      </c>
      <c r="G97" s="344"/>
      <c r="H97" s="344"/>
      <c r="I97" s="344"/>
      <c r="J97" s="344"/>
      <c r="K97" s="344"/>
      <c r="L97" s="344"/>
      <c r="M97" s="344"/>
      <c r="O97" s="2"/>
    </row>
    <row r="98" spans="2:15" ht="28.5" customHeight="1" x14ac:dyDescent="0.25">
      <c r="B98" s="2"/>
      <c r="D98" s="359" t="s">
        <v>36</v>
      </c>
      <c r="E98" s="359"/>
      <c r="F98" s="344" t="s">
        <v>531</v>
      </c>
      <c r="G98" s="344"/>
      <c r="H98" s="344"/>
      <c r="I98" s="344"/>
      <c r="J98" s="344"/>
      <c r="K98" s="344"/>
      <c r="L98" s="344"/>
      <c r="M98" s="344"/>
      <c r="O98" s="2"/>
    </row>
    <row r="99" spans="2:15" ht="3.95" customHeight="1" x14ac:dyDescent="0.25">
      <c r="B99" s="2"/>
      <c r="O99" s="2"/>
    </row>
    <row r="100" spans="2:15" ht="58.5" customHeight="1" x14ac:dyDescent="0.25">
      <c r="B100" s="2"/>
      <c r="D100" s="338" t="s">
        <v>62</v>
      </c>
      <c r="E100" s="339"/>
      <c r="F100" s="333"/>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1</v>
      </c>
      <c r="K102" s="20"/>
      <c r="O102" s="2"/>
    </row>
    <row r="103" spans="2:15" ht="19.5" customHeight="1" x14ac:dyDescent="0.25">
      <c r="B103" s="2"/>
      <c r="D103" s="331"/>
      <c r="E103" s="332"/>
      <c r="F103" s="19" t="s">
        <v>66</v>
      </c>
      <c r="G103" s="4" t="s">
        <v>484</v>
      </c>
      <c r="K103" s="21"/>
      <c r="O103" s="2"/>
    </row>
    <row r="104" spans="2:15" ht="27.75" customHeight="1" x14ac:dyDescent="0.25">
      <c r="B104" s="2"/>
      <c r="D104" s="331"/>
      <c r="E104" s="332"/>
      <c r="F104" s="19" t="s">
        <v>67</v>
      </c>
      <c r="G104" s="333" t="s">
        <v>485</v>
      </c>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Director(a) Familia y Comunidades</v>
      </c>
      <c r="H108" s="334"/>
      <c r="I108" s="334"/>
      <c r="J108" s="334"/>
      <c r="K108" s="334"/>
      <c r="L108" s="334"/>
      <c r="M108" s="335"/>
      <c r="O108" s="2"/>
    </row>
    <row r="109" spans="2:15" ht="17.25" customHeight="1" x14ac:dyDescent="0.25">
      <c r="B109" s="2"/>
      <c r="D109" s="331"/>
      <c r="E109" s="332"/>
      <c r="F109" s="19" t="s">
        <v>2042</v>
      </c>
      <c r="G109" s="333" t="str">
        <f>+IF(M23="Si","Coordinador(a) Planeación y Sistemas","")</f>
        <v>Coordinador(a) Planeación y Sistemas</v>
      </c>
      <c r="H109" s="334"/>
      <c r="I109" s="334"/>
      <c r="J109" s="334"/>
      <c r="K109" s="334"/>
      <c r="L109" s="334"/>
      <c r="M109" s="335"/>
      <c r="O109" s="2"/>
    </row>
    <row r="110" spans="2:15" ht="17.25" customHeight="1" x14ac:dyDescent="0.25">
      <c r="B110" s="2"/>
      <c r="D110" s="331"/>
      <c r="E110" s="332"/>
      <c r="F110" s="19" t="s">
        <v>2043</v>
      </c>
      <c r="G110" s="333" t="str">
        <f>+IF(M24="Si","Coordinador(a) Centro Zonal","")</f>
        <v>Coordinador(a) Centro Zonal</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F51 G102">
    <cfRule type="expression" dxfId="2946" priority="30">
      <formula>+IF($F$43="no",1,0)</formula>
    </cfRule>
  </conditionalFormatting>
  <conditionalFormatting sqref="F32:M33">
    <cfRule type="expression" dxfId="2945" priority="29">
      <formula>+IF($Q$30="NA",1,0)</formula>
    </cfRule>
  </conditionalFormatting>
  <conditionalFormatting sqref="F33:M33">
    <cfRule type="expression" dxfId="2944" priority="28">
      <formula>+IF($Q$33=0,1,0)</formula>
    </cfRule>
  </conditionalFormatting>
  <conditionalFormatting sqref="F47:M47">
    <cfRule type="expression" dxfId="2943" priority="27">
      <formula>+IF($Q$47=0,1,0)</formula>
    </cfRule>
  </conditionalFormatting>
  <conditionalFormatting sqref="F73:G73">
    <cfRule type="cellIs" dxfId="2942" priority="17" operator="equal">
      <formula>"optimo"</formula>
    </cfRule>
    <cfRule type="cellIs" dxfId="2941" priority="18" operator="equal">
      <formula>"critico"</formula>
    </cfRule>
  </conditionalFormatting>
  <conditionalFormatting sqref="H73:I73">
    <cfRule type="cellIs" dxfId="2940" priority="15" operator="equal">
      <formula>"Adecuado"</formula>
    </cfRule>
    <cfRule type="cellIs" dxfId="2939" priority="16" operator="equal">
      <formula>"en riesgo"</formula>
    </cfRule>
  </conditionalFormatting>
  <conditionalFormatting sqref="J73:K73">
    <cfRule type="cellIs" dxfId="2938" priority="13" operator="equal">
      <formula>"Adecuado"</formula>
    </cfRule>
    <cfRule type="cellIs" dxfId="2937" priority="14" operator="equal">
      <formula>"en riesgo"</formula>
    </cfRule>
  </conditionalFormatting>
  <conditionalFormatting sqref="L73:M73">
    <cfRule type="cellIs" dxfId="2936" priority="11" operator="equal">
      <formula>"optimo"</formula>
    </cfRule>
    <cfRule type="cellIs" dxfId="2935" priority="12" operator="equal">
      <formula>"critico"</formula>
    </cfRule>
  </conditionalFormatting>
  <conditionalFormatting sqref="F75:M78">
    <cfRule type="expression" dxfId="2934" priority="10">
      <formula>+IF($AK75=0,1)</formula>
    </cfRule>
  </conditionalFormatting>
  <conditionalFormatting sqref="F103:G104">
    <cfRule type="expression" dxfId="2933" priority="9">
      <formula>+IF($G$102="No",1,0)</formula>
    </cfRule>
  </conditionalFormatting>
  <conditionalFormatting sqref="F79:M79">
    <cfRule type="expression" dxfId="2932" priority="7">
      <formula>+IF($AK79=0,1)</formula>
    </cfRule>
  </conditionalFormatting>
  <conditionalFormatting sqref="F81:M86">
    <cfRule type="expression" dxfId="2931" priority="6">
      <formula>+IF($AK81=0,1)</formula>
    </cfRule>
  </conditionalFormatting>
  <conditionalFormatting sqref="F80:M80">
    <cfRule type="expression" dxfId="2930" priority="1">
      <formula>+IF($AK80=0,1)</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6">
    <tabColor rgb="FF0070C0"/>
  </sheetPr>
  <dimension ref="B1:AV113"/>
  <sheetViews>
    <sheetView zoomScaleNormal="100" workbookViewId="0">
      <selection activeCell="P1" sqref="P1"/>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172</v>
      </c>
      <c r="O10" s="2"/>
    </row>
    <row r="11" spans="2:24" ht="3.95" customHeight="1" x14ac:dyDescent="0.25">
      <c r="B11" s="2"/>
      <c r="D11" s="6"/>
      <c r="O11" s="2"/>
    </row>
    <row r="12" spans="2:24" ht="36" customHeight="1" x14ac:dyDescent="0.25">
      <c r="B12" s="2"/>
      <c r="D12" s="338" t="s">
        <v>5</v>
      </c>
      <c r="E12" s="339"/>
      <c r="F12" s="340" t="s">
        <v>522</v>
      </c>
      <c r="G12" s="341"/>
      <c r="H12" s="341"/>
      <c r="I12" s="341"/>
      <c r="J12" s="341"/>
      <c r="K12" s="341"/>
      <c r="L12" s="341"/>
      <c r="M12" s="342"/>
      <c r="O12" s="2"/>
      <c r="W12" s="3" t="str">
        <f>+F23</f>
        <v>Mensual</v>
      </c>
      <c r="X12" s="3" t="str">
        <f>+F71</f>
        <v>Julio</v>
      </c>
    </row>
    <row r="13" spans="2:24" ht="3.95" customHeight="1" x14ac:dyDescent="0.25">
      <c r="B13" s="2"/>
      <c r="O13" s="2"/>
    </row>
    <row r="14" spans="2:24" ht="36" customHeight="1" x14ac:dyDescent="0.25">
      <c r="B14" s="2"/>
      <c r="D14" s="338" t="s">
        <v>6</v>
      </c>
      <c r="E14" s="339"/>
      <c r="F14" s="340" t="s">
        <v>1674</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8">
        <v>21000</v>
      </c>
      <c r="G22" s="337" t="s">
        <v>9</v>
      </c>
      <c r="H22" s="337"/>
      <c r="I22" s="8">
        <v>22000</v>
      </c>
      <c r="K22" s="337" t="s">
        <v>10</v>
      </c>
      <c r="L22" s="337"/>
      <c r="M22" s="9" t="s">
        <v>496</v>
      </c>
      <c r="O22" s="2"/>
    </row>
    <row r="23" spans="2:17" ht="19.5" customHeight="1" x14ac:dyDescent="0.25">
      <c r="B23" s="2"/>
      <c r="D23" s="337" t="s">
        <v>11</v>
      </c>
      <c r="E23" s="337"/>
      <c r="F23" s="4" t="s">
        <v>84</v>
      </c>
      <c r="G23" s="337" t="s">
        <v>12</v>
      </c>
      <c r="H23" s="337"/>
      <c r="I23" s="4" t="s">
        <v>514</v>
      </c>
      <c r="K23" s="337" t="s">
        <v>13</v>
      </c>
      <c r="L23" s="337"/>
      <c r="M23" s="9" t="s">
        <v>496</v>
      </c>
      <c r="O23" s="2"/>
    </row>
    <row r="24" spans="2:17" ht="20.100000000000001" customHeight="1" x14ac:dyDescent="0.25">
      <c r="B24" s="2"/>
      <c r="D24" s="337" t="s">
        <v>14</v>
      </c>
      <c r="E24" s="337"/>
      <c r="F24" s="4" t="s">
        <v>498</v>
      </c>
      <c r="G24" s="337" t="s">
        <v>15</v>
      </c>
      <c r="H24" s="337"/>
      <c r="I24" s="4" t="s">
        <v>519</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482</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NA</v>
      </c>
    </row>
    <row r="31" spans="2:17" ht="24" customHeight="1" x14ac:dyDescent="0.25">
      <c r="B31" s="2"/>
      <c r="D31" s="347"/>
      <c r="E31" s="348"/>
      <c r="F31" s="4" t="s">
        <v>168</v>
      </c>
      <c r="G31" s="340" t="s">
        <v>169</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500</v>
      </c>
      <c r="G33" s="340"/>
      <c r="H33" s="341"/>
      <c r="I33" s="341"/>
      <c r="J33" s="341"/>
      <c r="K33" s="341"/>
      <c r="L33" s="341"/>
      <c r="M33" s="342"/>
      <c r="O33" s="2"/>
      <c r="Q33" s="3" t="str">
        <f>+IFERROR(IF(VLOOKUP(G33,base!$A$26:$C$40,3,FALSE)=F31,1,0),"")</f>
        <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1713</v>
      </c>
      <c r="G35" s="340" t="s">
        <v>1589</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501</v>
      </c>
      <c r="G45" s="340" t="s">
        <v>515</v>
      </c>
      <c r="H45" s="341"/>
      <c r="I45" s="341"/>
      <c r="J45" s="341"/>
      <c r="K45" s="341"/>
      <c r="L45" s="341"/>
      <c r="M45" s="342"/>
      <c r="O45" s="2"/>
      <c r="Q45" s="3" t="str">
        <f>+IFERROR(VLOOKUP(G45,base!$A$41:$C$45,3,FALSE),"")</f>
        <v>misional</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503</v>
      </c>
      <c r="G47" s="340" t="s">
        <v>504</v>
      </c>
      <c r="H47" s="341"/>
      <c r="I47" s="341"/>
      <c r="J47" s="341"/>
      <c r="K47" s="341"/>
      <c r="L47" s="341"/>
      <c r="M47" s="342"/>
      <c r="O47" s="2"/>
      <c r="Q47" s="3">
        <f>+IF(VLOOKUP(G47,base!$A$46:$C$66,3,FALSE)=F45,1,0)</f>
        <v>1</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516</v>
      </c>
      <c r="G49" s="340" t="s">
        <v>483</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496</v>
      </c>
      <c r="G51" s="337" t="s">
        <v>32</v>
      </c>
      <c r="H51" s="337"/>
      <c r="I51" s="8">
        <v>114000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75" customHeight="1" x14ac:dyDescent="0.25">
      <c r="B59" s="2"/>
      <c r="D59" s="337" t="s">
        <v>34</v>
      </c>
      <c r="E59" s="337"/>
      <c r="F59" s="344" t="s">
        <v>523</v>
      </c>
      <c r="G59" s="344"/>
      <c r="H59" s="344"/>
      <c r="I59" s="344"/>
      <c r="J59" s="344"/>
      <c r="K59" s="344"/>
      <c r="L59" s="344"/>
      <c r="M59" s="344"/>
      <c r="O59" s="2"/>
    </row>
    <row r="60" spans="2:15" ht="27" customHeight="1" x14ac:dyDescent="0.25">
      <c r="B60" s="2"/>
      <c r="D60" s="359" t="s">
        <v>35</v>
      </c>
      <c r="E60" s="359"/>
      <c r="F60" s="344" t="s">
        <v>524</v>
      </c>
      <c r="G60" s="344"/>
      <c r="H60" s="344"/>
      <c r="I60" s="344"/>
      <c r="J60" s="344"/>
      <c r="K60" s="344"/>
      <c r="L60" s="344"/>
      <c r="M60" s="344"/>
      <c r="O60" s="2"/>
    </row>
    <row r="61" spans="2:15" ht="27" customHeight="1" x14ac:dyDescent="0.25">
      <c r="B61" s="2"/>
      <c r="D61" s="359" t="s">
        <v>36</v>
      </c>
      <c r="E61" s="359"/>
      <c r="F61" s="344" t="s">
        <v>525</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43" t="s">
        <v>39</v>
      </c>
      <c r="E71" s="343"/>
      <c r="F71" s="4" t="s">
        <v>53</v>
      </c>
      <c r="G71" s="3">
        <v>5</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60" t="s">
        <v>49</v>
      </c>
      <c r="E79" s="360"/>
      <c r="F79" s="16" t="s">
        <v>500</v>
      </c>
      <c r="G79" s="16">
        <v>9.0000000000000011E-3</v>
      </c>
      <c r="H79" s="16">
        <v>0.01</v>
      </c>
      <c r="I79" s="16">
        <v>4.9000000000000002E-2</v>
      </c>
      <c r="J79" s="16">
        <v>0.05</v>
      </c>
      <c r="K79" s="16">
        <v>9.9000000000000005E-2</v>
      </c>
      <c r="L79" s="16">
        <v>0.1</v>
      </c>
      <c r="M79" s="16" t="s">
        <v>500</v>
      </c>
      <c r="O79" s="2"/>
      <c r="AE79" s="3" t="s">
        <v>49</v>
      </c>
      <c r="AF79" s="3">
        <v>5</v>
      </c>
      <c r="AG79" s="3">
        <f t="shared" si="0"/>
        <v>1</v>
      </c>
      <c r="AH79" s="3">
        <f>+IF(AG79=0,0,IF(AG79=1,(SUM($AG$75:AG79)-1),1))</f>
        <v>0</v>
      </c>
      <c r="AI79" s="3">
        <f t="shared" si="1"/>
        <v>0</v>
      </c>
      <c r="AJ79" s="3">
        <f t="shared" si="2"/>
        <v>0</v>
      </c>
      <c r="AK79" s="3">
        <f t="shared" si="3"/>
        <v>0</v>
      </c>
    </row>
    <row r="80" spans="2:37" x14ac:dyDescent="0.25">
      <c r="B80" s="2"/>
      <c r="D80" s="360" t="s">
        <v>50</v>
      </c>
      <c r="E80" s="360"/>
      <c r="F80" s="16" t="s">
        <v>500</v>
      </c>
      <c r="G80" s="16"/>
      <c r="H80" s="16"/>
      <c r="I80" s="16"/>
      <c r="J80" s="16"/>
      <c r="K80" s="16"/>
      <c r="L80" s="16"/>
      <c r="M80" s="16" t="s">
        <v>500</v>
      </c>
      <c r="O80" s="2"/>
      <c r="AE80" s="3" t="s">
        <v>50</v>
      </c>
      <c r="AF80" s="3">
        <v>6</v>
      </c>
      <c r="AG80" s="3">
        <f t="shared" si="0"/>
        <v>1</v>
      </c>
      <c r="AH80" s="3">
        <f>+IF(AG80=0,0,IF(AG80=1,(SUM($AG$75:AG80)-1),1))</f>
        <v>1</v>
      </c>
      <c r="AI80" s="3">
        <f t="shared" si="1"/>
        <v>1</v>
      </c>
      <c r="AJ80" s="3">
        <f t="shared" si="2"/>
        <v>0</v>
      </c>
      <c r="AK80" s="3">
        <f t="shared" si="3"/>
        <v>1</v>
      </c>
    </row>
    <row r="81" spans="2:37" x14ac:dyDescent="0.25">
      <c r="B81" s="2"/>
      <c r="D81" s="360" t="s">
        <v>53</v>
      </c>
      <c r="E81" s="360"/>
      <c r="F81" s="16" t="s">
        <v>500</v>
      </c>
      <c r="G81" s="16">
        <v>0.19900000000000001</v>
      </c>
      <c r="H81" s="16">
        <v>0.3</v>
      </c>
      <c r="I81" s="16">
        <v>0.39900000000000002</v>
      </c>
      <c r="J81" s="16">
        <v>0.4</v>
      </c>
      <c r="K81" s="16">
        <v>0.499</v>
      </c>
      <c r="L81" s="16">
        <v>0.5</v>
      </c>
      <c r="M81" s="16" t="s">
        <v>500</v>
      </c>
      <c r="O81" s="2"/>
      <c r="AE81" s="3" t="s">
        <v>53</v>
      </c>
      <c r="AF81" s="3">
        <v>7</v>
      </c>
      <c r="AG81" s="3">
        <f t="shared" si="0"/>
        <v>1</v>
      </c>
      <c r="AH81" s="3">
        <f>+IF(AG81=0,0,IF(AG81=1,(SUM($AG$75:AG81)-1),1))</f>
        <v>2</v>
      </c>
      <c r="AI81" s="3">
        <f t="shared" si="1"/>
        <v>1</v>
      </c>
      <c r="AJ81" s="3">
        <f t="shared" si="2"/>
        <v>1</v>
      </c>
      <c r="AK81" s="3">
        <f t="shared" si="3"/>
        <v>1</v>
      </c>
    </row>
    <row r="82" spans="2:37" x14ac:dyDescent="0.25">
      <c r="B82" s="2"/>
      <c r="D82" s="360" t="s">
        <v>54</v>
      </c>
      <c r="E82" s="360"/>
      <c r="F82" s="16" t="s">
        <v>500</v>
      </c>
      <c r="G82" s="16">
        <v>0.499</v>
      </c>
      <c r="H82" s="16">
        <v>0.5</v>
      </c>
      <c r="I82" s="16">
        <v>0.54900000000000004</v>
      </c>
      <c r="J82" s="16">
        <v>0.55000000000000004</v>
      </c>
      <c r="K82" s="16">
        <v>0.59899999999999998</v>
      </c>
      <c r="L82" s="16">
        <v>0.6</v>
      </c>
      <c r="M82" s="16" t="s">
        <v>500</v>
      </c>
      <c r="O82" s="2"/>
      <c r="AE82" s="3" t="s">
        <v>54</v>
      </c>
      <c r="AF82" s="3">
        <v>8</v>
      </c>
      <c r="AG82" s="3">
        <f t="shared" si="0"/>
        <v>1</v>
      </c>
      <c r="AH82" s="3">
        <f>+IF(AG82=0,0,IF(AG82=1,(SUM($AG$75:AG82)-1),1))</f>
        <v>3</v>
      </c>
      <c r="AI82" s="3">
        <f t="shared" si="1"/>
        <v>1</v>
      </c>
      <c r="AJ82" s="3">
        <f t="shared" si="2"/>
        <v>0</v>
      </c>
      <c r="AK82" s="3">
        <f t="shared" si="3"/>
        <v>1</v>
      </c>
    </row>
    <row r="83" spans="2:37" x14ac:dyDescent="0.25">
      <c r="B83" s="2"/>
      <c r="D83" s="360" t="s">
        <v>55</v>
      </c>
      <c r="E83" s="360"/>
      <c r="F83" s="16" t="s">
        <v>500</v>
      </c>
      <c r="G83" s="16">
        <v>0.59899999999999998</v>
      </c>
      <c r="H83" s="16">
        <v>0.6</v>
      </c>
      <c r="I83" s="16">
        <v>0.64900000000000002</v>
      </c>
      <c r="J83" s="16">
        <v>0.65</v>
      </c>
      <c r="K83" s="16">
        <v>0.69899999999999995</v>
      </c>
      <c r="L83" s="16">
        <v>0.7</v>
      </c>
      <c r="M83" s="16" t="s">
        <v>500</v>
      </c>
      <c r="O83" s="2"/>
      <c r="AE83" s="3" t="s">
        <v>55</v>
      </c>
      <c r="AF83" s="3">
        <v>9</v>
      </c>
      <c r="AG83" s="3">
        <f t="shared" si="0"/>
        <v>1</v>
      </c>
      <c r="AH83" s="3">
        <f>+IF(AG83=0,0,IF(AG83=1,(SUM($AG$75:AG83)-1),1))</f>
        <v>4</v>
      </c>
      <c r="AI83" s="3">
        <f t="shared" si="1"/>
        <v>1</v>
      </c>
      <c r="AJ83" s="3">
        <f t="shared" si="2"/>
        <v>0</v>
      </c>
      <c r="AK83" s="3">
        <f t="shared" si="3"/>
        <v>1</v>
      </c>
    </row>
    <row r="84" spans="2:37" x14ac:dyDescent="0.25">
      <c r="B84" s="2"/>
      <c r="D84" s="360" t="s">
        <v>56</v>
      </c>
      <c r="E84" s="360"/>
      <c r="F84" s="16" t="s">
        <v>500</v>
      </c>
      <c r="G84" s="16">
        <v>0.69899999999999995</v>
      </c>
      <c r="H84" s="16">
        <v>0.7</v>
      </c>
      <c r="I84" s="16">
        <v>0.749</v>
      </c>
      <c r="J84" s="16">
        <v>0.75</v>
      </c>
      <c r="K84" s="16">
        <v>0.79900000000000004</v>
      </c>
      <c r="L84" s="16">
        <v>0.8</v>
      </c>
      <c r="M84" s="16" t="s">
        <v>500</v>
      </c>
      <c r="O84" s="2"/>
      <c r="AE84" s="3" t="s">
        <v>56</v>
      </c>
      <c r="AF84" s="3">
        <v>10</v>
      </c>
      <c r="AG84" s="3">
        <f t="shared" si="0"/>
        <v>1</v>
      </c>
      <c r="AH84" s="3">
        <f>+IF(AG84=0,0,IF(AG84=1,(SUM($AG$75:AG84)-1),1))</f>
        <v>5</v>
      </c>
      <c r="AI84" s="3">
        <f t="shared" si="1"/>
        <v>1</v>
      </c>
      <c r="AJ84" s="3">
        <f t="shared" si="2"/>
        <v>0</v>
      </c>
      <c r="AK84" s="3">
        <f t="shared" si="3"/>
        <v>1</v>
      </c>
    </row>
    <row r="85" spans="2:37" x14ac:dyDescent="0.25">
      <c r="B85" s="2"/>
      <c r="D85" s="360" t="s">
        <v>57</v>
      </c>
      <c r="E85" s="360"/>
      <c r="F85" s="16" t="s">
        <v>500</v>
      </c>
      <c r="G85" s="16">
        <v>0.79900000000000004</v>
      </c>
      <c r="H85" s="16">
        <v>0.8</v>
      </c>
      <c r="I85" s="16">
        <v>0.84899999999999998</v>
      </c>
      <c r="J85" s="16">
        <v>0.85</v>
      </c>
      <c r="K85" s="16">
        <v>0.89900000000000002</v>
      </c>
      <c r="L85" s="16">
        <v>0.9</v>
      </c>
      <c r="M85" s="16" t="s">
        <v>500</v>
      </c>
      <c r="O85" s="2"/>
      <c r="AE85" s="3" t="s">
        <v>57</v>
      </c>
      <c r="AF85" s="3">
        <v>11</v>
      </c>
      <c r="AG85" s="3">
        <f t="shared" si="0"/>
        <v>1</v>
      </c>
      <c r="AH85" s="3">
        <f>+IF(AG85=0,0,IF(AG85=1,(SUM($AG$75:AG85)-1),1))</f>
        <v>6</v>
      </c>
      <c r="AI85" s="3">
        <f t="shared" si="1"/>
        <v>1</v>
      </c>
      <c r="AJ85" s="3">
        <f t="shared" si="2"/>
        <v>0</v>
      </c>
      <c r="AK85" s="3">
        <f t="shared" si="3"/>
        <v>1</v>
      </c>
    </row>
    <row r="86" spans="2:37" x14ac:dyDescent="0.25">
      <c r="B86" s="2"/>
      <c r="D86" s="360" t="s">
        <v>58</v>
      </c>
      <c r="E86" s="360"/>
      <c r="F86" s="16" t="s">
        <v>500</v>
      </c>
      <c r="G86" s="16">
        <v>0.89900000000000002</v>
      </c>
      <c r="H86" s="16">
        <v>0.9</v>
      </c>
      <c r="I86" s="16">
        <v>0.94899999999999995</v>
      </c>
      <c r="J86" s="16">
        <v>0.95</v>
      </c>
      <c r="K86" s="16">
        <v>0.999</v>
      </c>
      <c r="L86" s="16" t="s">
        <v>500</v>
      </c>
      <c r="M86" s="16">
        <v>1</v>
      </c>
      <c r="O86" s="2"/>
      <c r="AE86" s="3" t="s">
        <v>58</v>
      </c>
      <c r="AF86" s="65">
        <v>12</v>
      </c>
      <c r="AG86" s="3">
        <f t="shared" si="0"/>
        <v>1</v>
      </c>
      <c r="AH86" s="3">
        <f>+IF(AG86=0,0,IF(AG86=1,(SUM($AG$75:AG86)-1),1))</f>
        <v>7</v>
      </c>
      <c r="AI86" s="3">
        <f t="shared" si="1"/>
        <v>1</v>
      </c>
      <c r="AJ86" s="3">
        <f t="shared" si="2"/>
        <v>0</v>
      </c>
      <c r="AK86" s="3">
        <f t="shared" si="3"/>
        <v>1</v>
      </c>
    </row>
    <row r="87" spans="2:37" ht="3.75" customHeight="1" x14ac:dyDescent="0.25">
      <c r="B87" s="2"/>
      <c r="O87" s="2"/>
    </row>
    <row r="88" spans="2:37" ht="66" customHeight="1" x14ac:dyDescent="0.25">
      <c r="B88" s="2"/>
      <c r="D88" s="338" t="s">
        <v>59</v>
      </c>
      <c r="E88" s="339"/>
      <c r="F88" s="340" t="s">
        <v>2111</v>
      </c>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28.5" customHeight="1" x14ac:dyDescent="0.25">
      <c r="B97" s="2"/>
      <c r="D97" s="359" t="s">
        <v>35</v>
      </c>
      <c r="E97" s="359"/>
      <c r="F97" s="344" t="s">
        <v>526</v>
      </c>
      <c r="G97" s="344"/>
      <c r="H97" s="344"/>
      <c r="I97" s="344"/>
      <c r="J97" s="344"/>
      <c r="K97" s="344"/>
      <c r="L97" s="344"/>
      <c r="M97" s="344"/>
      <c r="O97" s="2"/>
    </row>
    <row r="98" spans="2:15" ht="28.5" customHeight="1" x14ac:dyDescent="0.25">
      <c r="B98" s="2"/>
      <c r="D98" s="359" t="s">
        <v>36</v>
      </c>
      <c r="E98" s="359"/>
      <c r="F98" s="344" t="s">
        <v>527</v>
      </c>
      <c r="G98" s="344"/>
      <c r="H98" s="344"/>
      <c r="I98" s="344"/>
      <c r="J98" s="344"/>
      <c r="K98" s="344"/>
      <c r="L98" s="344"/>
      <c r="M98" s="344"/>
      <c r="O98" s="2"/>
    </row>
    <row r="99" spans="2:15" ht="3.95" customHeight="1" x14ac:dyDescent="0.25">
      <c r="B99" s="2"/>
      <c r="O99" s="2"/>
    </row>
    <row r="100" spans="2:15" ht="335.25" customHeight="1" x14ac:dyDescent="0.25">
      <c r="B100" s="2"/>
      <c r="D100" s="338" t="s">
        <v>62</v>
      </c>
      <c r="E100" s="339"/>
      <c r="F100" s="420" t="s">
        <v>1748</v>
      </c>
      <c r="G100" s="421"/>
      <c r="H100" s="421"/>
      <c r="I100" s="421"/>
      <c r="J100" s="421"/>
      <c r="K100" s="421"/>
      <c r="L100" s="421"/>
      <c r="M100" s="422"/>
      <c r="O100" s="2"/>
    </row>
    <row r="101" spans="2:15" ht="3.95" customHeight="1" x14ac:dyDescent="0.25">
      <c r="B101" s="2"/>
      <c r="O101" s="2"/>
    </row>
    <row r="102" spans="2:15" ht="19.5" customHeight="1" x14ac:dyDescent="0.25">
      <c r="B102" s="2"/>
      <c r="D102" s="329" t="s">
        <v>64</v>
      </c>
      <c r="E102" s="330"/>
      <c r="F102" s="19" t="s">
        <v>65</v>
      </c>
      <c r="G102" s="4" t="s">
        <v>2</v>
      </c>
      <c r="K102" s="20"/>
      <c r="O102" s="2"/>
    </row>
    <row r="103" spans="2:15" ht="19.5" customHeight="1" x14ac:dyDescent="0.25">
      <c r="B103" s="2"/>
      <c r="D103" s="331"/>
      <c r="E103" s="332"/>
      <c r="F103" s="19" t="s">
        <v>66</v>
      </c>
      <c r="G103" s="4"/>
      <c r="K103" s="21"/>
      <c r="O103" s="2"/>
    </row>
    <row r="104" spans="2:15" ht="27.75" customHeight="1" x14ac:dyDescent="0.25">
      <c r="B104" s="2"/>
      <c r="D104" s="331"/>
      <c r="E104" s="332"/>
      <c r="F104" s="19" t="s">
        <v>67</v>
      </c>
      <c r="G104" s="333"/>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Director(a) Familia y Comunidades</v>
      </c>
      <c r="H108" s="334"/>
      <c r="I108" s="334"/>
      <c r="J108" s="334"/>
      <c r="K108" s="334"/>
      <c r="L108" s="334"/>
      <c r="M108" s="335"/>
      <c r="O108" s="2"/>
    </row>
    <row r="109" spans="2:15" ht="17.25" customHeight="1" x14ac:dyDescent="0.25">
      <c r="B109" s="2"/>
      <c r="D109" s="331"/>
      <c r="E109" s="332"/>
      <c r="F109" s="19" t="s">
        <v>2042</v>
      </c>
      <c r="G109" s="333" t="str">
        <f>+IF(M23="Si","Coordinador(a) Planeación y Sistemas","")</f>
        <v>Coordinador(a) Planeación y Sistemas</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929" priority="33">
      <formula>+IF($F$43="no",1,0)</formula>
    </cfRule>
  </conditionalFormatting>
  <conditionalFormatting sqref="F32:M33">
    <cfRule type="expression" dxfId="2928" priority="32">
      <formula>+IF($Q$30="NA",1,0)</formula>
    </cfRule>
  </conditionalFormatting>
  <conditionalFormatting sqref="F33:M33">
    <cfRule type="expression" dxfId="2927" priority="31">
      <formula>+IF($Q$33=0,1,0)</formula>
    </cfRule>
  </conditionalFormatting>
  <conditionalFormatting sqref="F47:M47">
    <cfRule type="expression" dxfId="2926" priority="30">
      <formula>+IF($Q$47=0,1,0)</formula>
    </cfRule>
  </conditionalFormatting>
  <conditionalFormatting sqref="F73:G73">
    <cfRule type="cellIs" dxfId="2925" priority="16" operator="equal">
      <formula>"optimo"</formula>
    </cfRule>
    <cfRule type="cellIs" dxfId="2924" priority="17" operator="equal">
      <formula>"critico"</formula>
    </cfRule>
  </conditionalFormatting>
  <conditionalFormatting sqref="H73:I73">
    <cfRule type="cellIs" dxfId="2923" priority="14" operator="equal">
      <formula>"Adecuado"</formula>
    </cfRule>
    <cfRule type="cellIs" dxfId="2922" priority="15" operator="equal">
      <formula>"en riesgo"</formula>
    </cfRule>
  </conditionalFormatting>
  <conditionalFormatting sqref="J73:K73">
    <cfRule type="cellIs" dxfId="2921" priority="12" operator="equal">
      <formula>"Adecuado"</formula>
    </cfRule>
    <cfRule type="cellIs" dxfId="2920" priority="13" operator="equal">
      <formula>"en riesgo"</formula>
    </cfRule>
  </conditionalFormatting>
  <conditionalFormatting sqref="L73:M73">
    <cfRule type="cellIs" dxfId="2919" priority="10" operator="equal">
      <formula>"optimo"</formula>
    </cfRule>
    <cfRule type="cellIs" dxfId="2918" priority="11" operator="equal">
      <formula>"critico"</formula>
    </cfRule>
  </conditionalFormatting>
  <conditionalFormatting sqref="F75:M78">
    <cfRule type="expression" dxfId="2917" priority="9">
      <formula>+IF($AK75=0,1)</formula>
    </cfRule>
  </conditionalFormatting>
  <conditionalFormatting sqref="F103:G104">
    <cfRule type="expression" dxfId="2916" priority="8">
      <formula>+IF($G$102="No",1,0)</formula>
    </cfRule>
  </conditionalFormatting>
  <conditionalFormatting sqref="F51">
    <cfRule type="expression" dxfId="2915" priority="7">
      <formula>+IF($F$43="no",1,0)</formula>
    </cfRule>
  </conditionalFormatting>
  <conditionalFormatting sqref="I51">
    <cfRule type="expression" dxfId="2914" priority="6">
      <formula>+IF($F$51="no",1,0)</formula>
    </cfRule>
  </conditionalFormatting>
  <conditionalFormatting sqref="F79:M79">
    <cfRule type="expression" dxfId="2913" priority="5">
      <formula>+IF($AK79=0,1)</formula>
    </cfRule>
  </conditionalFormatting>
  <conditionalFormatting sqref="F80:M80">
    <cfRule type="expression" dxfId="2912" priority="1">
      <formula>+IF($AK80=0,1)</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BK201"/>
  <sheetViews>
    <sheetView workbookViewId="0">
      <pane ySplit="4" topLeftCell="A5" activePane="bottomLeft" state="frozen"/>
      <selection activeCell="H1" sqref="H1"/>
      <selection pane="bottomLeft" activeCell="AG23" sqref="AG23"/>
    </sheetView>
  </sheetViews>
  <sheetFormatPr baseColWidth="10" defaultRowHeight="11.25" x14ac:dyDescent="0.25"/>
  <cols>
    <col min="1" max="1" width="2.85546875" style="76" bestFit="1" customWidth="1"/>
    <col min="2" max="2" width="21.42578125" style="76" customWidth="1"/>
    <col min="3" max="3" width="0.7109375" style="75" customWidth="1"/>
    <col min="4" max="4" width="6.5703125" style="76" bestFit="1" customWidth="1"/>
    <col min="5" max="5" width="21.42578125" style="76" customWidth="1"/>
    <col min="6" max="6" width="8.28515625" style="76" bestFit="1" customWidth="1"/>
    <col min="7" max="7" width="21.42578125" style="76" customWidth="1"/>
    <col min="8" max="8" width="0.7109375" style="75" customWidth="1"/>
    <col min="9" max="9" width="8.140625" style="76" bestFit="1" customWidth="1"/>
    <col min="10" max="10" width="21.42578125" style="76" customWidth="1"/>
    <col min="11" max="11" width="0.7109375" style="75" customWidth="1"/>
    <col min="12" max="12" width="8.140625" style="76" bestFit="1" customWidth="1"/>
    <col min="13" max="13" width="19.7109375" style="76" customWidth="1"/>
    <col min="14" max="14" width="8.140625" style="76" bestFit="1" customWidth="1"/>
    <col min="15" max="15" width="20.28515625" style="76" customWidth="1"/>
    <col min="16" max="16" width="0.7109375" style="176" customWidth="1"/>
    <col min="17" max="17" width="19.28515625" style="76" customWidth="1"/>
    <col min="18" max="18" width="0.7109375" style="176" customWidth="1"/>
    <col min="19" max="19" width="9.85546875" style="76" bestFit="1" customWidth="1"/>
    <col min="20" max="20" width="78.42578125" style="77" customWidth="1"/>
    <col min="21" max="21" width="12.5703125" style="78" customWidth="1"/>
    <col min="22" max="22" width="12.5703125" style="137" customWidth="1"/>
    <col min="23" max="23" width="0.7109375" style="75" customWidth="1"/>
    <col min="24" max="24" width="4" style="78" customWidth="1"/>
    <col min="25" max="25" width="4.7109375" style="78" customWidth="1"/>
    <col min="26" max="28" width="4" style="78" customWidth="1"/>
    <col min="29" max="30" width="4.5703125" style="78" customWidth="1"/>
    <col min="31" max="31" width="0.7109375" style="75" customWidth="1"/>
    <col min="32" max="35" width="11.42578125" style="75"/>
    <col min="36" max="45" width="2.42578125" style="78" customWidth="1"/>
    <col min="46" max="47" width="2.42578125" style="79" customWidth="1"/>
    <col min="48" max="48" width="11.42578125" style="176"/>
    <col min="49" max="63" width="11.42578125" style="80"/>
    <col min="64" max="16384" width="11.42578125" style="75"/>
  </cols>
  <sheetData>
    <row r="1" spans="1:48" ht="46.5" customHeight="1" x14ac:dyDescent="0.25">
      <c r="A1" s="328" t="s">
        <v>1663</v>
      </c>
      <c r="B1" s="328"/>
      <c r="C1" s="328"/>
      <c r="D1" s="328"/>
      <c r="E1" s="328"/>
      <c r="F1" s="328"/>
      <c r="G1" s="328"/>
      <c r="H1" s="328"/>
      <c r="I1" s="328"/>
      <c r="J1" s="328"/>
      <c r="K1" s="328"/>
      <c r="L1" s="328"/>
      <c r="M1" s="328"/>
      <c r="N1" s="328"/>
      <c r="O1" s="328"/>
      <c r="Q1" s="75"/>
    </row>
    <row r="3" spans="1:48" ht="15" customHeight="1" x14ac:dyDescent="0.25">
      <c r="A3" s="326" t="s">
        <v>1634</v>
      </c>
      <c r="B3" s="326"/>
      <c r="D3" s="326" t="s">
        <v>1635</v>
      </c>
      <c r="E3" s="326"/>
      <c r="F3" s="326"/>
      <c r="G3" s="326"/>
      <c r="I3" s="326" t="s">
        <v>1636</v>
      </c>
      <c r="J3" s="326"/>
      <c r="L3" s="326" t="s">
        <v>1637</v>
      </c>
      <c r="M3" s="326"/>
      <c r="N3" s="326"/>
      <c r="O3" s="326"/>
      <c r="Q3" s="75"/>
      <c r="S3" s="326" t="s">
        <v>1638</v>
      </c>
      <c r="T3" s="326"/>
      <c r="U3" s="326"/>
      <c r="V3" s="326"/>
      <c r="X3" s="327" t="s">
        <v>1563</v>
      </c>
      <c r="Y3" s="327"/>
      <c r="Z3" s="327"/>
      <c r="AA3" s="327"/>
      <c r="AB3" s="327"/>
      <c r="AC3" s="327"/>
      <c r="AD3" s="327"/>
      <c r="AF3" s="326" t="s">
        <v>1943</v>
      </c>
      <c r="AG3" s="326"/>
      <c r="AH3" s="326"/>
      <c r="AI3" s="326"/>
      <c r="AJ3" s="326"/>
      <c r="AK3" s="326"/>
      <c r="AL3" s="326"/>
      <c r="AM3" s="326"/>
      <c r="AN3" s="326"/>
      <c r="AO3" s="326"/>
      <c r="AP3" s="326"/>
      <c r="AQ3" s="326"/>
      <c r="AR3" s="326"/>
      <c r="AS3" s="326"/>
      <c r="AT3" s="326"/>
      <c r="AU3" s="326"/>
    </row>
    <row r="4" spans="1:48" x14ac:dyDescent="0.25">
      <c r="A4" s="81" t="s">
        <v>2</v>
      </c>
      <c r="B4" s="81" t="s">
        <v>1593</v>
      </c>
      <c r="D4" s="81" t="s">
        <v>1633</v>
      </c>
      <c r="E4" s="81" t="s">
        <v>21</v>
      </c>
      <c r="F4" s="81" t="s">
        <v>1633</v>
      </c>
      <c r="G4" s="81" t="s">
        <v>23</v>
      </c>
      <c r="H4" s="75" t="s">
        <v>1948</v>
      </c>
      <c r="I4" s="81" t="s">
        <v>1633</v>
      </c>
      <c r="J4" s="81" t="s">
        <v>24</v>
      </c>
      <c r="K4" s="75" t="s">
        <v>1948</v>
      </c>
      <c r="L4" s="81" t="s">
        <v>1633</v>
      </c>
      <c r="M4" s="81" t="s">
        <v>1598</v>
      </c>
      <c r="N4" s="81" t="s">
        <v>1633</v>
      </c>
      <c r="O4" s="81" t="s">
        <v>28</v>
      </c>
      <c r="P4" s="176" t="s">
        <v>1948</v>
      </c>
      <c r="Q4" s="96" t="s">
        <v>1950</v>
      </c>
      <c r="R4" s="176" t="s">
        <v>1948</v>
      </c>
      <c r="S4" s="81" t="s">
        <v>1633</v>
      </c>
      <c r="T4" s="81" t="s">
        <v>1571</v>
      </c>
      <c r="U4" s="82" t="s">
        <v>1580</v>
      </c>
      <c r="V4" s="138" t="s">
        <v>1942</v>
      </c>
      <c r="W4" s="75" t="s">
        <v>1948</v>
      </c>
      <c r="X4" s="82" t="s">
        <v>1558</v>
      </c>
      <c r="Y4" s="83" t="s">
        <v>1559</v>
      </c>
      <c r="Z4" s="83" t="s">
        <v>1560</v>
      </c>
      <c r="AA4" s="83" t="s">
        <v>1561</v>
      </c>
      <c r="AB4" s="83" t="s">
        <v>1562</v>
      </c>
      <c r="AC4" s="83" t="s">
        <v>1572</v>
      </c>
      <c r="AD4" s="83" t="s">
        <v>1946</v>
      </c>
      <c r="AE4" s="75" t="s">
        <v>1948</v>
      </c>
      <c r="AF4" s="82" t="s">
        <v>1944</v>
      </c>
      <c r="AG4" s="82" t="s">
        <v>1941</v>
      </c>
      <c r="AH4" s="82" t="s">
        <v>11</v>
      </c>
      <c r="AI4" s="82" t="s">
        <v>1945</v>
      </c>
      <c r="AJ4" s="84" t="s">
        <v>1951</v>
      </c>
      <c r="AK4" s="84" t="s">
        <v>1952</v>
      </c>
      <c r="AL4" s="84" t="s">
        <v>1953</v>
      </c>
      <c r="AM4" s="84" t="s">
        <v>1954</v>
      </c>
      <c r="AN4" s="84" t="s">
        <v>1955</v>
      </c>
      <c r="AO4" s="84" t="s">
        <v>1956</v>
      </c>
      <c r="AP4" s="84" t="s">
        <v>1957</v>
      </c>
      <c r="AQ4" s="84" t="s">
        <v>1958</v>
      </c>
      <c r="AR4" s="84" t="s">
        <v>1959</v>
      </c>
      <c r="AS4" s="84" t="s">
        <v>1960</v>
      </c>
      <c r="AT4" s="85" t="s">
        <v>1961</v>
      </c>
      <c r="AU4" s="85" t="s">
        <v>1962</v>
      </c>
    </row>
    <row r="5" spans="1:48" ht="39.75" customHeight="1" x14ac:dyDescent="0.25">
      <c r="A5" s="86">
        <v>1</v>
      </c>
      <c r="B5" s="86" t="s">
        <v>1587</v>
      </c>
      <c r="D5" s="86" t="s">
        <v>109</v>
      </c>
      <c r="E5" s="86" t="s">
        <v>110</v>
      </c>
      <c r="F5" s="86" t="s">
        <v>512</v>
      </c>
      <c r="G5" s="86" t="s">
        <v>512</v>
      </c>
      <c r="I5" s="86" t="s">
        <v>1711</v>
      </c>
      <c r="J5" s="86" t="s">
        <v>1587</v>
      </c>
      <c r="L5" s="86" t="s">
        <v>501</v>
      </c>
      <c r="M5" s="86" t="s">
        <v>502</v>
      </c>
      <c r="N5" s="86" t="s">
        <v>503</v>
      </c>
      <c r="O5" s="86" t="s">
        <v>504</v>
      </c>
      <c r="P5" s="176" t="s">
        <v>112</v>
      </c>
      <c r="Q5" s="86" t="s">
        <v>111</v>
      </c>
      <c r="R5" s="176" t="str">
        <f>+"Director(a) "&amp;MID(Q5,14,100)</f>
        <v xml:space="preserve">Director(a) Primera Infancia </v>
      </c>
      <c r="S5" s="87" t="s">
        <v>112</v>
      </c>
      <c r="T5" s="177" t="s">
        <v>113</v>
      </c>
      <c r="U5" s="88">
        <v>1100000</v>
      </c>
      <c r="V5" s="136">
        <f>+VLOOKUP(AV5,Hoja1!$P$6:$R$26,3,FALSE)</f>
        <v>8.4210526315789489E-3</v>
      </c>
      <c r="X5" s="89" t="s">
        <v>1564</v>
      </c>
      <c r="Y5" s="89" t="s">
        <v>1564</v>
      </c>
      <c r="Z5" s="89" t="s">
        <v>1564</v>
      </c>
      <c r="AA5" s="89" t="s">
        <v>1564</v>
      </c>
      <c r="AB5" s="89" t="s">
        <v>1564</v>
      </c>
      <c r="AC5" s="89" t="s">
        <v>1564</v>
      </c>
      <c r="AD5" s="89" t="s">
        <v>1564</v>
      </c>
      <c r="AF5" s="89" t="s">
        <v>98</v>
      </c>
      <c r="AG5" s="89" t="s">
        <v>519</v>
      </c>
      <c r="AH5" s="89" t="s">
        <v>84</v>
      </c>
      <c r="AI5" s="89" t="s">
        <v>40</v>
      </c>
      <c r="AJ5" s="89"/>
      <c r="AK5" s="90" t="s">
        <v>1564</v>
      </c>
      <c r="AL5" s="90" t="s">
        <v>1564</v>
      </c>
      <c r="AM5" s="90" t="s">
        <v>1564</v>
      </c>
      <c r="AN5" s="90" t="s">
        <v>1564</v>
      </c>
      <c r="AO5" s="90" t="s">
        <v>1564</v>
      </c>
      <c r="AP5" s="90" t="s">
        <v>1564</v>
      </c>
      <c r="AQ5" s="90" t="s">
        <v>1564</v>
      </c>
      <c r="AR5" s="90" t="s">
        <v>1564</v>
      </c>
      <c r="AS5" s="90" t="s">
        <v>1564</v>
      </c>
      <c r="AT5" s="91" t="s">
        <v>1564</v>
      </c>
      <c r="AU5" s="91" t="s">
        <v>1564</v>
      </c>
      <c r="AV5" s="176" t="str">
        <f>+AG5&amp;AA5</f>
        <v>Productox</v>
      </c>
    </row>
    <row r="6" spans="1:48" ht="39.75" customHeight="1" x14ac:dyDescent="0.25">
      <c r="A6" s="86">
        <v>1</v>
      </c>
      <c r="B6" s="86" t="s">
        <v>1587</v>
      </c>
      <c r="D6" s="86" t="s">
        <v>109</v>
      </c>
      <c r="E6" s="86" t="s">
        <v>110</v>
      </c>
      <c r="F6" s="86" t="s">
        <v>512</v>
      </c>
      <c r="G6" s="86" t="s">
        <v>512</v>
      </c>
      <c r="I6" s="86" t="s">
        <v>1711</v>
      </c>
      <c r="J6" s="86" t="s">
        <v>1587</v>
      </c>
      <c r="L6" s="86" t="s">
        <v>501</v>
      </c>
      <c r="M6" s="86" t="s">
        <v>502</v>
      </c>
      <c r="N6" s="86" t="s">
        <v>503</v>
      </c>
      <c r="O6" s="86" t="s">
        <v>504</v>
      </c>
      <c r="P6" s="176" t="s">
        <v>114</v>
      </c>
      <c r="Q6" s="86" t="s">
        <v>111</v>
      </c>
      <c r="R6" s="176" t="str">
        <f t="shared" ref="R6:R55" si="0">+"Director(a) "&amp;MID(Q6,14,100)</f>
        <v xml:space="preserve">Director(a) Primera Infancia </v>
      </c>
      <c r="S6" s="87" t="s">
        <v>114</v>
      </c>
      <c r="T6" s="177" t="s">
        <v>2180</v>
      </c>
      <c r="U6" s="92">
        <v>0.09</v>
      </c>
      <c r="V6" s="136">
        <f>+VLOOKUP(AV6,Hoja1!$P$6:$R$26,3,FALSE)</f>
        <v>8.4210526315789489E-3</v>
      </c>
      <c r="X6" s="89" t="s">
        <v>1564</v>
      </c>
      <c r="Y6" s="89"/>
      <c r="Z6" s="89"/>
      <c r="AA6" s="89" t="s">
        <v>1564</v>
      </c>
      <c r="AB6" s="89" t="s">
        <v>1564</v>
      </c>
      <c r="AC6" s="89"/>
      <c r="AD6" s="89"/>
      <c r="AF6" s="89" t="s">
        <v>98</v>
      </c>
      <c r="AG6" s="89" t="s">
        <v>519</v>
      </c>
      <c r="AH6" s="89" t="s">
        <v>84</v>
      </c>
      <c r="AI6" s="89" t="s">
        <v>55</v>
      </c>
      <c r="AJ6" s="89"/>
      <c r="AK6" s="89"/>
      <c r="AL6" s="89"/>
      <c r="AM6" s="89"/>
      <c r="AN6" s="89"/>
      <c r="AO6" s="89"/>
      <c r="AP6" s="89"/>
      <c r="AQ6" s="89"/>
      <c r="AR6" s="90" t="s">
        <v>1564</v>
      </c>
      <c r="AS6" s="90" t="s">
        <v>1564</v>
      </c>
      <c r="AT6" s="91" t="s">
        <v>1564</v>
      </c>
      <c r="AU6" s="91" t="s">
        <v>1564</v>
      </c>
      <c r="AV6" s="176" t="str">
        <f t="shared" ref="AV6:AV69" si="1">+AG6&amp;AA6</f>
        <v>Productox</v>
      </c>
    </row>
    <row r="7" spans="1:48" ht="39.75" customHeight="1" x14ac:dyDescent="0.25">
      <c r="A7" s="86">
        <v>1</v>
      </c>
      <c r="B7" s="86" t="s">
        <v>1587</v>
      </c>
      <c r="D7" s="86" t="s">
        <v>109</v>
      </c>
      <c r="E7" s="86" t="s">
        <v>110</v>
      </c>
      <c r="F7" s="86" t="s">
        <v>512</v>
      </c>
      <c r="G7" s="86" t="s">
        <v>512</v>
      </c>
      <c r="I7" s="86" t="s">
        <v>1711</v>
      </c>
      <c r="J7" s="86" t="s">
        <v>1587</v>
      </c>
      <c r="L7" s="86" t="s">
        <v>501</v>
      </c>
      <c r="M7" s="86" t="s">
        <v>502</v>
      </c>
      <c r="N7" s="86" t="s">
        <v>503</v>
      </c>
      <c r="O7" s="86" t="s">
        <v>504</v>
      </c>
      <c r="P7" s="176" t="s">
        <v>115</v>
      </c>
      <c r="Q7" s="86" t="s">
        <v>111</v>
      </c>
      <c r="R7" s="176" t="str">
        <f t="shared" si="0"/>
        <v xml:space="preserve">Director(a) Primera Infancia </v>
      </c>
      <c r="S7" s="87" t="s">
        <v>115</v>
      </c>
      <c r="T7" s="177" t="s">
        <v>116</v>
      </c>
      <c r="U7" s="92">
        <v>0.8</v>
      </c>
      <c r="V7" s="136">
        <f>+VLOOKUP(AV7,Hoja1!$P$6:$R$26,3,FALSE)</f>
        <v>5.5813953488372094E-3</v>
      </c>
      <c r="X7" s="89" t="s">
        <v>1564</v>
      </c>
      <c r="Y7" s="89"/>
      <c r="Z7" s="89"/>
      <c r="AA7" s="89" t="s">
        <v>1564</v>
      </c>
      <c r="AB7" s="89" t="s">
        <v>1564</v>
      </c>
      <c r="AC7" s="89"/>
      <c r="AD7" s="89" t="s">
        <v>1564</v>
      </c>
      <c r="AF7" s="89" t="s">
        <v>98</v>
      </c>
      <c r="AG7" s="89" t="s">
        <v>533</v>
      </c>
      <c r="AH7" s="89" t="s">
        <v>71</v>
      </c>
      <c r="AI7" s="89" t="s">
        <v>55</v>
      </c>
      <c r="AJ7" s="89"/>
      <c r="AK7" s="89"/>
      <c r="AL7" s="89"/>
      <c r="AM7" s="89"/>
      <c r="AN7" s="89"/>
      <c r="AO7" s="89"/>
      <c r="AP7" s="89"/>
      <c r="AQ7" s="89"/>
      <c r="AR7" s="90" t="s">
        <v>1564</v>
      </c>
      <c r="AS7" s="93"/>
      <c r="AT7" s="94"/>
      <c r="AU7" s="91" t="s">
        <v>1564</v>
      </c>
      <c r="AV7" s="176" t="str">
        <f t="shared" si="1"/>
        <v>Gestiónx</v>
      </c>
    </row>
    <row r="8" spans="1:48" ht="39.75" customHeight="1" x14ac:dyDescent="0.25">
      <c r="A8" s="86">
        <v>1</v>
      </c>
      <c r="B8" s="86" t="s">
        <v>1587</v>
      </c>
      <c r="D8" s="86" t="s">
        <v>109</v>
      </c>
      <c r="E8" s="86" t="s">
        <v>110</v>
      </c>
      <c r="F8" s="86" t="s">
        <v>512</v>
      </c>
      <c r="G8" s="86" t="s">
        <v>512</v>
      </c>
      <c r="I8" s="86" t="s">
        <v>1711</v>
      </c>
      <c r="J8" s="86" t="s">
        <v>1587</v>
      </c>
      <c r="L8" s="86" t="s">
        <v>501</v>
      </c>
      <c r="M8" s="86" t="s">
        <v>502</v>
      </c>
      <c r="N8" s="86" t="s">
        <v>503</v>
      </c>
      <c r="O8" s="86" t="s">
        <v>504</v>
      </c>
      <c r="P8" s="176" t="s">
        <v>117</v>
      </c>
      <c r="Q8" s="86" t="s">
        <v>111</v>
      </c>
      <c r="R8" s="176" t="str">
        <f t="shared" si="0"/>
        <v xml:space="preserve">Director(a) Primera Infancia </v>
      </c>
      <c r="S8" s="87" t="s">
        <v>117</v>
      </c>
      <c r="T8" s="177" t="s">
        <v>118</v>
      </c>
      <c r="U8" s="92">
        <v>0.2</v>
      </c>
      <c r="V8" s="136">
        <f>+VLOOKUP(AV8,Hoja1!$P$6:$R$26,3,FALSE)</f>
        <v>8.4210526315789489E-3</v>
      </c>
      <c r="X8" s="89" t="s">
        <v>1564</v>
      </c>
      <c r="Y8" s="89"/>
      <c r="Z8" s="89"/>
      <c r="AA8" s="89" t="s">
        <v>1564</v>
      </c>
      <c r="AB8" s="89" t="s">
        <v>1564</v>
      </c>
      <c r="AC8" s="89" t="s">
        <v>1564</v>
      </c>
      <c r="AD8" s="89" t="s">
        <v>1564</v>
      </c>
      <c r="AF8" s="89" t="s">
        <v>98</v>
      </c>
      <c r="AG8" s="89" t="s">
        <v>519</v>
      </c>
      <c r="AH8" s="89" t="s">
        <v>84</v>
      </c>
      <c r="AI8" s="89" t="s">
        <v>55</v>
      </c>
      <c r="AJ8" s="89"/>
      <c r="AK8" s="89"/>
      <c r="AL8" s="89"/>
      <c r="AM8" s="89"/>
      <c r="AN8" s="89"/>
      <c r="AO8" s="89"/>
      <c r="AP8" s="89"/>
      <c r="AQ8" s="89"/>
      <c r="AR8" s="90" t="s">
        <v>1564</v>
      </c>
      <c r="AS8" s="90" t="s">
        <v>1564</v>
      </c>
      <c r="AT8" s="91" t="s">
        <v>1564</v>
      </c>
      <c r="AU8" s="91" t="s">
        <v>1564</v>
      </c>
      <c r="AV8" s="176" t="str">
        <f t="shared" si="1"/>
        <v>Productox</v>
      </c>
    </row>
    <row r="9" spans="1:48" ht="39.75" customHeight="1" x14ac:dyDescent="0.25">
      <c r="A9" s="86">
        <v>1</v>
      </c>
      <c r="B9" s="86" t="s">
        <v>1587</v>
      </c>
      <c r="D9" s="86" t="s">
        <v>109</v>
      </c>
      <c r="E9" s="86" t="s">
        <v>110</v>
      </c>
      <c r="F9" s="86" t="s">
        <v>512</v>
      </c>
      <c r="G9" s="86" t="s">
        <v>512</v>
      </c>
      <c r="I9" s="86" t="s">
        <v>1711</v>
      </c>
      <c r="J9" s="86" t="s">
        <v>1587</v>
      </c>
      <c r="L9" s="86" t="s">
        <v>501</v>
      </c>
      <c r="M9" s="86" t="s">
        <v>502</v>
      </c>
      <c r="N9" s="86" t="s">
        <v>503</v>
      </c>
      <c r="O9" s="86" t="s">
        <v>504</v>
      </c>
      <c r="P9" s="176" t="s">
        <v>119</v>
      </c>
      <c r="Q9" s="86" t="s">
        <v>111</v>
      </c>
      <c r="R9" s="176" t="str">
        <f t="shared" si="0"/>
        <v xml:space="preserve">Director(a) Primera Infancia </v>
      </c>
      <c r="S9" s="87" t="s">
        <v>119</v>
      </c>
      <c r="T9" s="177" t="s">
        <v>2091</v>
      </c>
      <c r="U9" s="88">
        <v>20000</v>
      </c>
      <c r="V9" s="136">
        <f>+VLOOKUP(AV9,Hoja1!$P$6:$R$26,3,FALSE)</f>
        <v>8.4210526315789489E-3</v>
      </c>
      <c r="X9" s="89" t="s">
        <v>1564</v>
      </c>
      <c r="Y9" s="89"/>
      <c r="Z9" s="89"/>
      <c r="AA9" s="89" t="s">
        <v>1564</v>
      </c>
      <c r="AB9" s="89" t="s">
        <v>1564</v>
      </c>
      <c r="AC9" s="89" t="s">
        <v>1564</v>
      </c>
      <c r="AD9" s="89" t="s">
        <v>1564</v>
      </c>
      <c r="AF9" s="89" t="s">
        <v>98</v>
      </c>
      <c r="AG9" s="89" t="s">
        <v>519</v>
      </c>
      <c r="AH9" s="89" t="s">
        <v>84</v>
      </c>
      <c r="AI9" s="89" t="s">
        <v>48</v>
      </c>
      <c r="AJ9" s="89"/>
      <c r="AK9" s="89"/>
      <c r="AL9" s="89"/>
      <c r="AM9" s="90" t="s">
        <v>1564</v>
      </c>
      <c r="AN9" s="90" t="s">
        <v>1564</v>
      </c>
      <c r="AO9" s="90" t="s">
        <v>1564</v>
      </c>
      <c r="AP9" s="90" t="s">
        <v>1564</v>
      </c>
      <c r="AQ9" s="90" t="s">
        <v>1564</v>
      </c>
      <c r="AR9" s="90" t="s">
        <v>1564</v>
      </c>
      <c r="AS9" s="90" t="s">
        <v>1564</v>
      </c>
      <c r="AT9" s="91" t="s">
        <v>1564</v>
      </c>
      <c r="AU9" s="91" t="s">
        <v>1564</v>
      </c>
      <c r="AV9" s="176" t="str">
        <f t="shared" si="1"/>
        <v>Productox</v>
      </c>
    </row>
    <row r="10" spans="1:48" ht="39.75" customHeight="1" x14ac:dyDescent="0.25">
      <c r="A10" s="86">
        <v>1</v>
      </c>
      <c r="B10" s="86" t="s">
        <v>1587</v>
      </c>
      <c r="D10" s="86" t="s">
        <v>109</v>
      </c>
      <c r="E10" s="86" t="s">
        <v>110</v>
      </c>
      <c r="F10" s="86" t="s">
        <v>512</v>
      </c>
      <c r="G10" s="86" t="s">
        <v>512</v>
      </c>
      <c r="I10" s="86" t="s">
        <v>1711</v>
      </c>
      <c r="J10" s="86" t="s">
        <v>1587</v>
      </c>
      <c r="L10" s="86" t="s">
        <v>501</v>
      </c>
      <c r="M10" s="86" t="s">
        <v>502</v>
      </c>
      <c r="N10" s="86" t="s">
        <v>503</v>
      </c>
      <c r="O10" s="86" t="s">
        <v>504</v>
      </c>
      <c r="P10" s="176" t="s">
        <v>120</v>
      </c>
      <c r="Q10" s="86" t="s">
        <v>111</v>
      </c>
      <c r="R10" s="176" t="str">
        <f t="shared" si="0"/>
        <v xml:space="preserve">Director(a) Primera Infancia </v>
      </c>
      <c r="S10" s="87" t="s">
        <v>120</v>
      </c>
      <c r="T10" s="177" t="s">
        <v>121</v>
      </c>
      <c r="U10" s="88">
        <v>50</v>
      </c>
      <c r="V10" s="136">
        <f>+VLOOKUP(AV10,Hoja1!$P$6:$R$26,3,FALSE)</f>
        <v>8.4210526315789489E-3</v>
      </c>
      <c r="X10" s="89" t="s">
        <v>1564</v>
      </c>
      <c r="Y10" s="89"/>
      <c r="Z10" s="89"/>
      <c r="AA10" s="89" t="s">
        <v>1564</v>
      </c>
      <c r="AB10" s="89" t="s">
        <v>1564</v>
      </c>
      <c r="AC10" s="89"/>
      <c r="AD10" s="89"/>
      <c r="AF10" s="89" t="s">
        <v>98</v>
      </c>
      <c r="AG10" s="89" t="s">
        <v>519</v>
      </c>
      <c r="AH10" s="89" t="s">
        <v>71</v>
      </c>
      <c r="AI10" s="89" t="s">
        <v>50</v>
      </c>
      <c r="AJ10" s="89"/>
      <c r="AK10" s="89"/>
      <c r="AL10" s="89"/>
      <c r="AM10" s="89"/>
      <c r="AN10" s="89"/>
      <c r="AO10" s="90" t="s">
        <v>1564</v>
      </c>
      <c r="AP10" s="93"/>
      <c r="AQ10" s="93"/>
      <c r="AR10" s="90" t="s">
        <v>1564</v>
      </c>
      <c r="AS10" s="93"/>
      <c r="AT10" s="94"/>
      <c r="AU10" s="91" t="s">
        <v>1564</v>
      </c>
      <c r="AV10" s="176" t="str">
        <f t="shared" si="1"/>
        <v>Productox</v>
      </c>
    </row>
    <row r="11" spans="1:48" ht="39.75" customHeight="1" x14ac:dyDescent="0.25">
      <c r="A11" s="86">
        <v>1</v>
      </c>
      <c r="B11" s="86" t="s">
        <v>1587</v>
      </c>
      <c r="D11" s="86" t="s">
        <v>109</v>
      </c>
      <c r="E11" s="86" t="s">
        <v>110</v>
      </c>
      <c r="F11" s="86" t="s">
        <v>512</v>
      </c>
      <c r="G11" s="86" t="s">
        <v>512</v>
      </c>
      <c r="I11" s="86" t="s">
        <v>1711</v>
      </c>
      <c r="J11" s="86" t="s">
        <v>1587</v>
      </c>
      <c r="L11" s="86" t="s">
        <v>501</v>
      </c>
      <c r="M11" s="86" t="s">
        <v>502</v>
      </c>
      <c r="N11" s="86" t="s">
        <v>503</v>
      </c>
      <c r="O11" s="86" t="s">
        <v>504</v>
      </c>
      <c r="P11" s="176" t="s">
        <v>122</v>
      </c>
      <c r="Q11" s="86" t="s">
        <v>111</v>
      </c>
      <c r="R11" s="176" t="str">
        <f t="shared" si="0"/>
        <v xml:space="preserve">Director(a) Primera Infancia </v>
      </c>
      <c r="S11" s="87" t="s">
        <v>122</v>
      </c>
      <c r="T11" s="177" t="s">
        <v>2097</v>
      </c>
      <c r="U11" s="88">
        <v>70</v>
      </c>
      <c r="V11" s="136">
        <f>+VLOOKUP(AV11,Hoja1!$P$6:$R$26,3,FALSE)</f>
        <v>5.5813953488372094E-3</v>
      </c>
      <c r="X11" s="89" t="s">
        <v>1564</v>
      </c>
      <c r="Y11" s="89"/>
      <c r="Z11" s="89"/>
      <c r="AA11" s="89" t="s">
        <v>1564</v>
      </c>
      <c r="AB11" s="89" t="s">
        <v>1564</v>
      </c>
      <c r="AC11" s="89" t="s">
        <v>1564</v>
      </c>
      <c r="AD11" s="89" t="s">
        <v>1564</v>
      </c>
      <c r="AF11" s="89" t="s">
        <v>98</v>
      </c>
      <c r="AG11" s="89" t="s">
        <v>533</v>
      </c>
      <c r="AH11" s="89" t="s">
        <v>84</v>
      </c>
      <c r="AI11" s="89" t="s">
        <v>47</v>
      </c>
      <c r="AJ11" s="89"/>
      <c r="AK11" s="89"/>
      <c r="AL11" s="90" t="s">
        <v>1564</v>
      </c>
      <c r="AM11" s="90" t="s">
        <v>1564</v>
      </c>
      <c r="AN11" s="90" t="s">
        <v>1564</v>
      </c>
      <c r="AO11" s="90" t="s">
        <v>1564</v>
      </c>
      <c r="AP11" s="90" t="s">
        <v>1564</v>
      </c>
      <c r="AQ11" s="90" t="s">
        <v>1564</v>
      </c>
      <c r="AR11" s="90" t="s">
        <v>1564</v>
      </c>
      <c r="AS11" s="90" t="s">
        <v>1564</v>
      </c>
      <c r="AT11" s="91" t="s">
        <v>1564</v>
      </c>
      <c r="AU11" s="91" t="s">
        <v>1564</v>
      </c>
      <c r="AV11" s="176" t="str">
        <f t="shared" si="1"/>
        <v>Gestiónx</v>
      </c>
    </row>
    <row r="12" spans="1:48" ht="39.75" customHeight="1" x14ac:dyDescent="0.25">
      <c r="A12" s="86">
        <v>1</v>
      </c>
      <c r="B12" s="86" t="s">
        <v>1587</v>
      </c>
      <c r="D12" s="86" t="s">
        <v>109</v>
      </c>
      <c r="E12" s="86" t="s">
        <v>110</v>
      </c>
      <c r="F12" s="86" t="s">
        <v>512</v>
      </c>
      <c r="G12" s="86" t="s">
        <v>512</v>
      </c>
      <c r="I12" s="86" t="s">
        <v>1711</v>
      </c>
      <c r="J12" s="86" t="s">
        <v>1587</v>
      </c>
      <c r="L12" s="86" t="s">
        <v>501</v>
      </c>
      <c r="M12" s="86" t="s">
        <v>502</v>
      </c>
      <c r="N12" s="86" t="s">
        <v>503</v>
      </c>
      <c r="O12" s="86" t="s">
        <v>504</v>
      </c>
      <c r="P12" s="176" t="s">
        <v>123</v>
      </c>
      <c r="Q12" s="86" t="s">
        <v>111</v>
      </c>
      <c r="R12" s="176" t="str">
        <f t="shared" si="0"/>
        <v xml:space="preserve">Director(a) Primera Infancia </v>
      </c>
      <c r="S12" s="87" t="s">
        <v>123</v>
      </c>
      <c r="T12" s="177" t="s">
        <v>1906</v>
      </c>
      <c r="U12" s="92">
        <v>0.5</v>
      </c>
      <c r="V12" s="136">
        <f>+VLOOKUP(AV12,Hoja1!$P$6:$R$26,3,FALSE)</f>
        <v>5.5813953488372094E-3</v>
      </c>
      <c r="X12" s="89" t="s">
        <v>1564</v>
      </c>
      <c r="Y12" s="89"/>
      <c r="Z12" s="89"/>
      <c r="AA12" s="89" t="s">
        <v>1564</v>
      </c>
      <c r="AB12" s="89" t="s">
        <v>1564</v>
      </c>
      <c r="AC12" s="89" t="s">
        <v>1564</v>
      </c>
      <c r="AD12" s="89" t="s">
        <v>1564</v>
      </c>
      <c r="AF12" s="89" t="s">
        <v>98</v>
      </c>
      <c r="AG12" s="89" t="s">
        <v>533</v>
      </c>
      <c r="AH12" s="89" t="s">
        <v>84</v>
      </c>
      <c r="AI12" s="89" t="s">
        <v>47</v>
      </c>
      <c r="AJ12" s="89"/>
      <c r="AK12" s="89"/>
      <c r="AL12" s="90" t="s">
        <v>1564</v>
      </c>
      <c r="AM12" s="90" t="s">
        <v>1564</v>
      </c>
      <c r="AN12" s="90" t="s">
        <v>1564</v>
      </c>
      <c r="AO12" s="90" t="s">
        <v>1564</v>
      </c>
      <c r="AP12" s="90" t="s">
        <v>1564</v>
      </c>
      <c r="AQ12" s="90" t="s">
        <v>1564</v>
      </c>
      <c r="AR12" s="90" t="s">
        <v>1564</v>
      </c>
      <c r="AS12" s="90" t="s">
        <v>1564</v>
      </c>
      <c r="AT12" s="91" t="s">
        <v>1564</v>
      </c>
      <c r="AU12" s="91" t="s">
        <v>1564</v>
      </c>
      <c r="AV12" s="176" t="str">
        <f t="shared" si="1"/>
        <v>Gestiónx</v>
      </c>
    </row>
    <row r="13" spans="1:48" ht="39.75" customHeight="1" x14ac:dyDescent="0.25">
      <c r="A13" s="86">
        <v>1</v>
      </c>
      <c r="B13" s="86" t="s">
        <v>1587</v>
      </c>
      <c r="D13" s="86" t="s">
        <v>109</v>
      </c>
      <c r="E13" s="86" t="s">
        <v>110</v>
      </c>
      <c r="F13" s="86" t="s">
        <v>512</v>
      </c>
      <c r="G13" s="86" t="s">
        <v>512</v>
      </c>
      <c r="I13" s="86" t="s">
        <v>1711</v>
      </c>
      <c r="J13" s="86" t="s">
        <v>1587</v>
      </c>
      <c r="L13" s="86" t="s">
        <v>501</v>
      </c>
      <c r="M13" s="86" t="s">
        <v>502</v>
      </c>
      <c r="N13" s="86" t="s">
        <v>503</v>
      </c>
      <c r="O13" s="86" t="s">
        <v>504</v>
      </c>
      <c r="P13" s="176" t="s">
        <v>125</v>
      </c>
      <c r="Q13" s="86" t="s">
        <v>111</v>
      </c>
      <c r="R13" s="176" t="str">
        <f t="shared" si="0"/>
        <v xml:space="preserve">Director(a) Primera Infancia </v>
      </c>
      <c r="S13" s="87" t="s">
        <v>125</v>
      </c>
      <c r="T13" s="177" t="s">
        <v>126</v>
      </c>
      <c r="U13" s="88">
        <v>54000</v>
      </c>
      <c r="V13" s="136">
        <f>+VLOOKUP(AV13,Hoja1!$P$6:$R$26,3,FALSE)</f>
        <v>8.4210526315789489E-3</v>
      </c>
      <c r="X13" s="89" t="s">
        <v>1564</v>
      </c>
      <c r="Y13" s="89" t="s">
        <v>1564</v>
      </c>
      <c r="Z13" s="89"/>
      <c r="AA13" s="89" t="s">
        <v>1564</v>
      </c>
      <c r="AB13" s="89" t="s">
        <v>1564</v>
      </c>
      <c r="AC13" s="89"/>
      <c r="AD13" s="89"/>
      <c r="AF13" s="89" t="s">
        <v>98</v>
      </c>
      <c r="AG13" s="89" t="s">
        <v>519</v>
      </c>
      <c r="AH13" s="89" t="s">
        <v>84</v>
      </c>
      <c r="AI13" s="89" t="s">
        <v>49</v>
      </c>
      <c r="AJ13" s="89"/>
      <c r="AK13" s="89"/>
      <c r="AL13" s="89"/>
      <c r="AM13" s="89"/>
      <c r="AN13" s="90" t="s">
        <v>1564</v>
      </c>
      <c r="AO13" s="90" t="s">
        <v>1564</v>
      </c>
      <c r="AP13" s="90" t="s">
        <v>1564</v>
      </c>
      <c r="AQ13" s="90" t="s">
        <v>1564</v>
      </c>
      <c r="AR13" s="90" t="s">
        <v>1564</v>
      </c>
      <c r="AS13" s="90" t="s">
        <v>1564</v>
      </c>
      <c r="AT13" s="91" t="s">
        <v>1564</v>
      </c>
      <c r="AU13" s="91" t="s">
        <v>1564</v>
      </c>
      <c r="AV13" s="176" t="str">
        <f t="shared" si="1"/>
        <v>Productox</v>
      </c>
    </row>
    <row r="14" spans="1:48" ht="39.75" customHeight="1" x14ac:dyDescent="0.25">
      <c r="A14" s="86">
        <v>1</v>
      </c>
      <c r="B14" s="86" t="s">
        <v>1587</v>
      </c>
      <c r="D14" s="86" t="s">
        <v>109</v>
      </c>
      <c r="E14" s="86" t="s">
        <v>110</v>
      </c>
      <c r="F14" s="86" t="s">
        <v>512</v>
      </c>
      <c r="G14" s="86" t="s">
        <v>512</v>
      </c>
      <c r="I14" s="86" t="s">
        <v>1711</v>
      </c>
      <c r="J14" s="86" t="s">
        <v>1587</v>
      </c>
      <c r="L14" s="86" t="s">
        <v>512</v>
      </c>
      <c r="M14" s="86" t="s">
        <v>512</v>
      </c>
      <c r="N14" s="86" t="s">
        <v>512</v>
      </c>
      <c r="O14" s="86" t="s">
        <v>512</v>
      </c>
      <c r="P14" s="176" t="s">
        <v>127</v>
      </c>
      <c r="Q14" s="86" t="s">
        <v>111</v>
      </c>
      <c r="R14" s="176" t="str">
        <f t="shared" si="0"/>
        <v xml:space="preserve">Director(a) Primera Infancia </v>
      </c>
      <c r="S14" s="87" t="s">
        <v>127</v>
      </c>
      <c r="T14" s="177" t="s">
        <v>128</v>
      </c>
      <c r="U14" s="88">
        <v>777706</v>
      </c>
      <c r="V14" s="136">
        <f>+VLOOKUP(AV14,Hoja1!$P$6:$R$26,3,FALSE)</f>
        <v>1.8181818181818186E-3</v>
      </c>
      <c r="X14" s="89" t="s">
        <v>1564</v>
      </c>
      <c r="Y14" s="89" t="s">
        <v>1564</v>
      </c>
      <c r="Z14" s="89" t="s">
        <v>1564</v>
      </c>
      <c r="AA14" s="89"/>
      <c r="AB14" s="89"/>
      <c r="AC14" s="89"/>
      <c r="AD14" s="89"/>
      <c r="AF14" s="89" t="s">
        <v>98</v>
      </c>
      <c r="AG14" s="89" t="s">
        <v>519</v>
      </c>
      <c r="AH14" s="89" t="s">
        <v>84</v>
      </c>
      <c r="AI14" s="89" t="s">
        <v>40</v>
      </c>
      <c r="AJ14" s="89"/>
      <c r="AK14" s="90" t="s">
        <v>1564</v>
      </c>
      <c r="AL14" s="90" t="s">
        <v>1564</v>
      </c>
      <c r="AM14" s="90" t="s">
        <v>1564</v>
      </c>
      <c r="AN14" s="90" t="s">
        <v>1564</v>
      </c>
      <c r="AO14" s="90" t="s">
        <v>1564</v>
      </c>
      <c r="AP14" s="90" t="s">
        <v>1564</v>
      </c>
      <c r="AQ14" s="90" t="s">
        <v>1564</v>
      </c>
      <c r="AR14" s="90" t="s">
        <v>1564</v>
      </c>
      <c r="AS14" s="90" t="s">
        <v>1564</v>
      </c>
      <c r="AT14" s="91" t="s">
        <v>1564</v>
      </c>
      <c r="AU14" s="91" t="s">
        <v>1564</v>
      </c>
      <c r="AV14" s="176" t="str">
        <f t="shared" si="1"/>
        <v>Producto</v>
      </c>
    </row>
    <row r="15" spans="1:48" ht="39.75" customHeight="1" x14ac:dyDescent="0.25">
      <c r="A15" s="86">
        <v>1</v>
      </c>
      <c r="B15" s="86" t="s">
        <v>1587</v>
      </c>
      <c r="D15" s="86" t="s">
        <v>109</v>
      </c>
      <c r="E15" s="86" t="s">
        <v>110</v>
      </c>
      <c r="F15" s="86" t="s">
        <v>512</v>
      </c>
      <c r="G15" s="86" t="s">
        <v>512</v>
      </c>
      <c r="I15" s="86" t="s">
        <v>1711</v>
      </c>
      <c r="J15" s="86" t="s">
        <v>1587</v>
      </c>
      <c r="L15" s="86" t="s">
        <v>512</v>
      </c>
      <c r="M15" s="86" t="s">
        <v>512</v>
      </c>
      <c r="N15" s="86" t="s">
        <v>512</v>
      </c>
      <c r="O15" s="86" t="s">
        <v>512</v>
      </c>
      <c r="P15" s="176" t="s">
        <v>129</v>
      </c>
      <c r="Q15" s="86" t="s">
        <v>111</v>
      </c>
      <c r="R15" s="176" t="str">
        <f t="shared" si="0"/>
        <v xml:space="preserve">Director(a) Primera Infancia </v>
      </c>
      <c r="S15" s="87" t="s">
        <v>129</v>
      </c>
      <c r="T15" s="177" t="s">
        <v>2104</v>
      </c>
      <c r="U15" s="88">
        <v>1936658</v>
      </c>
      <c r="V15" s="136">
        <f>+VLOOKUP(AV15,Hoja1!$P$6:$R$26,3,FALSE)</f>
        <v>1.8181818181818186E-3</v>
      </c>
      <c r="X15" s="89" t="s">
        <v>1564</v>
      </c>
      <c r="Y15" s="89" t="s">
        <v>1564</v>
      </c>
      <c r="Z15" s="89"/>
      <c r="AA15" s="89"/>
      <c r="AB15" s="89"/>
      <c r="AC15" s="89"/>
      <c r="AD15" s="89"/>
      <c r="AF15" s="89" t="s">
        <v>98</v>
      </c>
      <c r="AG15" s="89" t="s">
        <v>519</v>
      </c>
      <c r="AH15" s="89" t="s">
        <v>71</v>
      </c>
      <c r="AI15" s="89" t="s">
        <v>49</v>
      </c>
      <c r="AJ15" s="89"/>
      <c r="AK15" s="89"/>
      <c r="AL15" s="89"/>
      <c r="AM15" s="89"/>
      <c r="AN15" s="90" t="s">
        <v>1564</v>
      </c>
      <c r="AO15" s="89"/>
      <c r="AP15" s="89"/>
      <c r="AQ15" s="90" t="s">
        <v>1564</v>
      </c>
      <c r="AR15" s="89"/>
      <c r="AS15" s="89"/>
      <c r="AT15" s="91" t="s">
        <v>1564</v>
      </c>
      <c r="AU15" s="89"/>
      <c r="AV15" s="176" t="str">
        <f t="shared" si="1"/>
        <v>Producto</v>
      </c>
    </row>
    <row r="16" spans="1:48" ht="39.75" customHeight="1" x14ac:dyDescent="0.25">
      <c r="A16" s="86">
        <v>1</v>
      </c>
      <c r="B16" s="86" t="s">
        <v>1587</v>
      </c>
      <c r="D16" s="86" t="s">
        <v>109</v>
      </c>
      <c r="E16" s="86" t="s">
        <v>110</v>
      </c>
      <c r="F16" s="86" t="s">
        <v>512</v>
      </c>
      <c r="G16" s="86" t="s">
        <v>512</v>
      </c>
      <c r="I16" s="86" t="s">
        <v>1711</v>
      </c>
      <c r="J16" s="86" t="s">
        <v>1587</v>
      </c>
      <c r="L16" s="86" t="s">
        <v>512</v>
      </c>
      <c r="M16" s="86" t="s">
        <v>512</v>
      </c>
      <c r="N16" s="86" t="s">
        <v>512</v>
      </c>
      <c r="O16" s="86" t="s">
        <v>512</v>
      </c>
      <c r="P16" s="176" t="s">
        <v>130</v>
      </c>
      <c r="Q16" s="86" t="s">
        <v>111</v>
      </c>
      <c r="R16" s="176" t="str">
        <f t="shared" si="0"/>
        <v xml:space="preserve">Director(a) Primera Infancia </v>
      </c>
      <c r="S16" s="87" t="s">
        <v>130</v>
      </c>
      <c r="T16" s="177" t="s">
        <v>131</v>
      </c>
      <c r="U16" s="88">
        <v>1100000</v>
      </c>
      <c r="V16" s="136">
        <f>+VLOOKUP(AV16,Hoja1!$P$6:$R$26,3,FALSE)</f>
        <v>1.8181818181818186E-3</v>
      </c>
      <c r="X16" s="89" t="s">
        <v>1564</v>
      </c>
      <c r="Y16" s="89" t="s">
        <v>1564</v>
      </c>
      <c r="Z16" s="89"/>
      <c r="AA16" s="89"/>
      <c r="AB16" s="89"/>
      <c r="AC16" s="89"/>
      <c r="AD16" s="89"/>
      <c r="AF16" s="89" t="s">
        <v>98</v>
      </c>
      <c r="AG16" s="89" t="s">
        <v>519</v>
      </c>
      <c r="AH16" s="89" t="s">
        <v>84</v>
      </c>
      <c r="AI16" s="89" t="s">
        <v>49</v>
      </c>
      <c r="AJ16" s="89"/>
      <c r="AK16" s="89"/>
      <c r="AL16" s="89"/>
      <c r="AM16" s="89"/>
      <c r="AN16" s="90" t="s">
        <v>1564</v>
      </c>
      <c r="AO16" s="90" t="s">
        <v>1564</v>
      </c>
      <c r="AP16" s="90" t="s">
        <v>1564</v>
      </c>
      <c r="AQ16" s="90" t="s">
        <v>1564</v>
      </c>
      <c r="AR16" s="90" t="s">
        <v>1564</v>
      </c>
      <c r="AS16" s="90" t="s">
        <v>1564</v>
      </c>
      <c r="AT16" s="91" t="s">
        <v>1564</v>
      </c>
      <c r="AU16" s="91" t="s">
        <v>1564</v>
      </c>
      <c r="AV16" s="176" t="str">
        <f t="shared" si="1"/>
        <v>Producto</v>
      </c>
    </row>
    <row r="17" spans="1:48" ht="39.75" customHeight="1" x14ac:dyDescent="0.25">
      <c r="A17" s="86">
        <v>1</v>
      </c>
      <c r="B17" s="86" t="s">
        <v>1587</v>
      </c>
      <c r="D17" s="86" t="s">
        <v>109</v>
      </c>
      <c r="E17" s="86" t="s">
        <v>110</v>
      </c>
      <c r="F17" s="86" t="s">
        <v>512</v>
      </c>
      <c r="G17" s="86" t="s">
        <v>512</v>
      </c>
      <c r="I17" s="86" t="s">
        <v>1711</v>
      </c>
      <c r="J17" s="86" t="s">
        <v>1587</v>
      </c>
      <c r="L17" s="86" t="s">
        <v>512</v>
      </c>
      <c r="M17" s="86" t="s">
        <v>512</v>
      </c>
      <c r="N17" s="86" t="s">
        <v>512</v>
      </c>
      <c r="O17" s="86" t="s">
        <v>512</v>
      </c>
      <c r="P17" s="176" t="s">
        <v>132</v>
      </c>
      <c r="Q17" s="86" t="s">
        <v>111</v>
      </c>
      <c r="R17" s="176" t="str">
        <f t="shared" si="0"/>
        <v xml:space="preserve">Director(a) Primera Infancia </v>
      </c>
      <c r="S17" s="87" t="s">
        <v>132</v>
      </c>
      <c r="T17" s="177" t="s">
        <v>133</v>
      </c>
      <c r="U17" s="88">
        <v>1100000</v>
      </c>
      <c r="V17" s="136">
        <f>+VLOOKUP(AV17,Hoja1!$P$6:$R$26,3,FALSE)</f>
        <v>1.8181818181818186E-3</v>
      </c>
      <c r="X17" s="89" t="s">
        <v>1564</v>
      </c>
      <c r="Y17" s="89" t="s">
        <v>1564</v>
      </c>
      <c r="Z17" s="89"/>
      <c r="AA17" s="89"/>
      <c r="AB17" s="89"/>
      <c r="AC17" s="89"/>
      <c r="AD17" s="89"/>
      <c r="AF17" s="89" t="s">
        <v>98</v>
      </c>
      <c r="AG17" s="89" t="s">
        <v>519</v>
      </c>
      <c r="AH17" s="89" t="s">
        <v>84</v>
      </c>
      <c r="AI17" s="89" t="s">
        <v>49</v>
      </c>
      <c r="AJ17" s="89"/>
      <c r="AK17" s="89"/>
      <c r="AL17" s="89"/>
      <c r="AM17" s="89"/>
      <c r="AN17" s="90" t="s">
        <v>1564</v>
      </c>
      <c r="AO17" s="90" t="s">
        <v>1564</v>
      </c>
      <c r="AP17" s="90" t="s">
        <v>1564</v>
      </c>
      <c r="AQ17" s="90" t="s">
        <v>1564</v>
      </c>
      <c r="AR17" s="90" t="s">
        <v>1564</v>
      </c>
      <c r="AS17" s="90" t="s">
        <v>1564</v>
      </c>
      <c r="AT17" s="91" t="s">
        <v>1564</v>
      </c>
      <c r="AU17" s="91" t="s">
        <v>1564</v>
      </c>
      <c r="AV17" s="176" t="str">
        <f t="shared" si="1"/>
        <v>Producto</v>
      </c>
    </row>
    <row r="18" spans="1:48" ht="39.75" customHeight="1" x14ac:dyDescent="0.25">
      <c r="A18" s="86">
        <v>1</v>
      </c>
      <c r="B18" s="86" t="s">
        <v>1587</v>
      </c>
      <c r="D18" s="86" t="s">
        <v>109</v>
      </c>
      <c r="E18" s="86" t="s">
        <v>110</v>
      </c>
      <c r="F18" s="86" t="s">
        <v>512</v>
      </c>
      <c r="G18" s="86" t="s">
        <v>512</v>
      </c>
      <c r="I18" s="86" t="s">
        <v>1711</v>
      </c>
      <c r="J18" s="86" t="s">
        <v>1587</v>
      </c>
      <c r="L18" s="86" t="s">
        <v>512</v>
      </c>
      <c r="M18" s="86" t="s">
        <v>512</v>
      </c>
      <c r="N18" s="86" t="s">
        <v>512</v>
      </c>
      <c r="O18" s="86" t="s">
        <v>512</v>
      </c>
      <c r="P18" s="176" t="s">
        <v>134</v>
      </c>
      <c r="Q18" s="86" t="s">
        <v>111</v>
      </c>
      <c r="R18" s="176" t="str">
        <f t="shared" si="0"/>
        <v xml:space="preserve">Director(a) Primera Infancia </v>
      </c>
      <c r="S18" s="87" t="s">
        <v>134</v>
      </c>
      <c r="T18" s="177" t="s">
        <v>135</v>
      </c>
      <c r="U18" s="92">
        <v>1</v>
      </c>
      <c r="V18" s="136">
        <f>+VLOOKUP(AV18,Hoja1!$P$6:$R$26,3,FALSE)</f>
        <v>3.7499999999999999E-3</v>
      </c>
      <c r="X18" s="89" t="s">
        <v>1564</v>
      </c>
      <c r="Y18" s="89" t="s">
        <v>1564</v>
      </c>
      <c r="Z18" s="89"/>
      <c r="AA18" s="89"/>
      <c r="AB18" s="89"/>
      <c r="AC18" s="89"/>
      <c r="AD18" s="89"/>
      <c r="AF18" s="89" t="s">
        <v>683</v>
      </c>
      <c r="AG18" s="89" t="s">
        <v>103</v>
      </c>
      <c r="AH18" s="89" t="s">
        <v>104</v>
      </c>
      <c r="AI18" s="89" t="s">
        <v>50</v>
      </c>
      <c r="AJ18" s="89"/>
      <c r="AK18" s="89"/>
      <c r="AL18" s="89"/>
      <c r="AM18" s="89"/>
      <c r="AN18" s="89"/>
      <c r="AO18" s="90" t="s">
        <v>1564</v>
      </c>
      <c r="AP18" s="93"/>
      <c r="AQ18" s="93"/>
      <c r="AR18" s="93"/>
      <c r="AS18" s="93"/>
      <c r="AT18" s="94"/>
      <c r="AU18" s="91" t="s">
        <v>1564</v>
      </c>
      <c r="AV18" s="176" t="str">
        <f t="shared" si="1"/>
        <v>Resultado</v>
      </c>
    </row>
    <row r="19" spans="1:48" ht="39.75" customHeight="1" x14ac:dyDescent="0.25">
      <c r="A19" s="307">
        <v>1</v>
      </c>
      <c r="B19" s="307" t="s">
        <v>1587</v>
      </c>
      <c r="C19" s="308"/>
      <c r="D19" s="307" t="s">
        <v>109</v>
      </c>
      <c r="E19" s="307" t="s">
        <v>110</v>
      </c>
      <c r="F19" s="307" t="s">
        <v>512</v>
      </c>
      <c r="G19" s="307" t="s">
        <v>512</v>
      </c>
      <c r="H19" s="308"/>
      <c r="I19" s="307" t="s">
        <v>1711</v>
      </c>
      <c r="J19" s="307" t="s">
        <v>1587</v>
      </c>
      <c r="K19" s="308"/>
      <c r="L19" s="307" t="s">
        <v>512</v>
      </c>
      <c r="M19" s="307" t="s">
        <v>512</v>
      </c>
      <c r="N19" s="307" t="s">
        <v>512</v>
      </c>
      <c r="O19" s="307" t="s">
        <v>512</v>
      </c>
      <c r="P19" s="308" t="s">
        <v>136</v>
      </c>
      <c r="Q19" s="307" t="s">
        <v>111</v>
      </c>
      <c r="R19" s="308" t="str">
        <f t="shared" si="0"/>
        <v xml:space="preserve">Director(a) Primera Infancia </v>
      </c>
      <c r="S19" s="307" t="s">
        <v>136</v>
      </c>
      <c r="T19" s="309" t="s">
        <v>137</v>
      </c>
      <c r="U19" s="310">
        <v>426000</v>
      </c>
      <c r="V19" s="311">
        <f>+VLOOKUP(AV19,Hoja1!$P$6:$R$26,3,FALSE)</f>
        <v>1.8181818181818186E-3</v>
      </c>
      <c r="W19" s="308"/>
      <c r="X19" s="312" t="s">
        <v>1564</v>
      </c>
      <c r="Y19" s="312" t="s">
        <v>1564</v>
      </c>
      <c r="Z19" s="312"/>
      <c r="AA19" s="312"/>
      <c r="AB19" s="312"/>
      <c r="AC19" s="312"/>
      <c r="AD19" s="312"/>
      <c r="AE19" s="308"/>
      <c r="AF19" s="312" t="s">
        <v>98</v>
      </c>
      <c r="AG19" s="312" t="s">
        <v>519</v>
      </c>
      <c r="AH19" s="312" t="s">
        <v>84</v>
      </c>
      <c r="AI19" s="312" t="s">
        <v>50</v>
      </c>
      <c r="AJ19" s="312"/>
      <c r="AK19" s="312"/>
      <c r="AL19" s="312"/>
      <c r="AM19" s="312"/>
      <c r="AN19" s="312"/>
      <c r="AO19" s="312" t="s">
        <v>1564</v>
      </c>
      <c r="AP19" s="312"/>
      <c r="AQ19" s="312"/>
      <c r="AR19" s="312"/>
      <c r="AS19" s="312"/>
      <c r="AT19" s="312"/>
      <c r="AU19" s="312"/>
      <c r="AV19" s="176" t="str">
        <f t="shared" si="1"/>
        <v>Producto</v>
      </c>
    </row>
    <row r="20" spans="1:48" ht="39.75" customHeight="1" x14ac:dyDescent="0.25">
      <c r="A20" s="86">
        <v>1</v>
      </c>
      <c r="B20" s="86" t="s">
        <v>1587</v>
      </c>
      <c r="D20" s="86" t="s">
        <v>109</v>
      </c>
      <c r="E20" s="86" t="s">
        <v>110</v>
      </c>
      <c r="F20" s="86" t="s">
        <v>512</v>
      </c>
      <c r="G20" s="86" t="s">
        <v>512</v>
      </c>
      <c r="I20" s="86" t="s">
        <v>1711</v>
      </c>
      <c r="J20" s="86" t="s">
        <v>1587</v>
      </c>
      <c r="L20" s="86" t="s">
        <v>512</v>
      </c>
      <c r="M20" s="86" t="s">
        <v>512</v>
      </c>
      <c r="N20" s="86" t="s">
        <v>512</v>
      </c>
      <c r="O20" s="86" t="s">
        <v>512</v>
      </c>
      <c r="P20" s="176" t="s">
        <v>138</v>
      </c>
      <c r="Q20" s="86" t="s">
        <v>111</v>
      </c>
      <c r="R20" s="176" t="str">
        <f t="shared" si="0"/>
        <v xml:space="preserve">Director(a) Primera Infancia </v>
      </c>
      <c r="S20" s="87" t="s">
        <v>138</v>
      </c>
      <c r="T20" s="177" t="s">
        <v>139</v>
      </c>
      <c r="U20" s="88">
        <v>1100000</v>
      </c>
      <c r="V20" s="136">
        <f>+VLOOKUP(AV20,Hoja1!$P$6:$R$26,3,FALSE)</f>
        <v>1.8181818181818186E-3</v>
      </c>
      <c r="X20" s="89" t="s">
        <v>1564</v>
      </c>
      <c r="Y20" s="89" t="s">
        <v>1564</v>
      </c>
      <c r="Z20" s="89" t="s">
        <v>1564</v>
      </c>
      <c r="AA20" s="89"/>
      <c r="AB20" s="89"/>
      <c r="AC20" s="89"/>
      <c r="AD20" s="89"/>
      <c r="AF20" s="89" t="s">
        <v>98</v>
      </c>
      <c r="AG20" s="89" t="s">
        <v>519</v>
      </c>
      <c r="AH20" s="89" t="s">
        <v>84</v>
      </c>
      <c r="AI20" s="89" t="s">
        <v>50</v>
      </c>
      <c r="AJ20" s="89"/>
      <c r="AK20" s="89"/>
      <c r="AL20" s="89"/>
      <c r="AM20" s="89"/>
      <c r="AN20" s="89"/>
      <c r="AO20" s="90" t="s">
        <v>1564</v>
      </c>
      <c r="AP20" s="90" t="s">
        <v>1564</v>
      </c>
      <c r="AQ20" s="90" t="s">
        <v>1564</v>
      </c>
      <c r="AR20" s="90" t="s">
        <v>1564</v>
      </c>
      <c r="AS20" s="90" t="s">
        <v>1564</v>
      </c>
      <c r="AT20" s="91" t="s">
        <v>1564</v>
      </c>
      <c r="AU20" s="91" t="s">
        <v>1564</v>
      </c>
      <c r="AV20" s="176" t="str">
        <f t="shared" si="1"/>
        <v>Producto</v>
      </c>
    </row>
    <row r="21" spans="1:48" ht="39.75" customHeight="1" x14ac:dyDescent="0.25">
      <c r="A21" s="86">
        <v>1</v>
      </c>
      <c r="B21" s="86" t="s">
        <v>1587</v>
      </c>
      <c r="D21" s="86" t="s">
        <v>109</v>
      </c>
      <c r="E21" s="86" t="s">
        <v>110</v>
      </c>
      <c r="F21" s="86" t="s">
        <v>512</v>
      </c>
      <c r="G21" s="86" t="s">
        <v>512</v>
      </c>
      <c r="I21" s="86" t="s">
        <v>1711</v>
      </c>
      <c r="J21" s="86" t="s">
        <v>1587</v>
      </c>
      <c r="L21" s="86" t="s">
        <v>512</v>
      </c>
      <c r="M21" s="86" t="s">
        <v>512</v>
      </c>
      <c r="N21" s="86" t="s">
        <v>512</v>
      </c>
      <c r="O21" s="86" t="s">
        <v>512</v>
      </c>
      <c r="P21" s="176" t="s">
        <v>140</v>
      </c>
      <c r="Q21" s="86" t="s">
        <v>111</v>
      </c>
      <c r="R21" s="176" t="str">
        <f t="shared" si="0"/>
        <v xml:space="preserve">Director(a) Primera Infancia </v>
      </c>
      <c r="S21" s="87" t="s">
        <v>140</v>
      </c>
      <c r="T21" s="177" t="s">
        <v>141</v>
      </c>
      <c r="U21" s="88">
        <v>117698</v>
      </c>
      <c r="V21" s="136">
        <f>+VLOOKUP(AV21,Hoja1!$P$6:$R$26,3,FALSE)</f>
        <v>1.8181818181818186E-3</v>
      </c>
      <c r="X21" s="89" t="s">
        <v>1564</v>
      </c>
      <c r="Y21" s="89" t="s">
        <v>1564</v>
      </c>
      <c r="Z21" s="89" t="s">
        <v>1564</v>
      </c>
      <c r="AA21" s="89"/>
      <c r="AB21" s="89"/>
      <c r="AC21" s="89"/>
      <c r="AD21" s="89"/>
      <c r="AF21" s="89" t="s">
        <v>98</v>
      </c>
      <c r="AG21" s="89" t="s">
        <v>519</v>
      </c>
      <c r="AH21" s="89" t="s">
        <v>513</v>
      </c>
      <c r="AI21" s="89" t="s">
        <v>48</v>
      </c>
      <c r="AJ21" s="89"/>
      <c r="AK21" s="89"/>
      <c r="AL21" s="89"/>
      <c r="AM21" s="90" t="s">
        <v>1564</v>
      </c>
      <c r="AN21" s="93"/>
      <c r="AO21" s="90" t="s">
        <v>1564</v>
      </c>
      <c r="AP21" s="93"/>
      <c r="AQ21" s="90" t="s">
        <v>1564</v>
      </c>
      <c r="AR21" s="93"/>
      <c r="AS21" s="90" t="s">
        <v>1564</v>
      </c>
      <c r="AT21" s="94"/>
      <c r="AU21" s="91" t="s">
        <v>1564</v>
      </c>
      <c r="AV21" s="176" t="str">
        <f t="shared" si="1"/>
        <v>Producto</v>
      </c>
    </row>
    <row r="22" spans="1:48" ht="39.75" customHeight="1" x14ac:dyDescent="0.25">
      <c r="A22" s="86">
        <v>1</v>
      </c>
      <c r="B22" s="86" t="s">
        <v>1587</v>
      </c>
      <c r="D22" s="86" t="s">
        <v>109</v>
      </c>
      <c r="E22" s="86" t="s">
        <v>110</v>
      </c>
      <c r="F22" s="86" t="s">
        <v>512</v>
      </c>
      <c r="G22" s="86" t="s">
        <v>512</v>
      </c>
      <c r="I22" s="86" t="s">
        <v>1711</v>
      </c>
      <c r="J22" s="86" t="s">
        <v>1587</v>
      </c>
      <c r="L22" s="86" t="s">
        <v>512</v>
      </c>
      <c r="M22" s="86" t="s">
        <v>512</v>
      </c>
      <c r="N22" s="86" t="s">
        <v>512</v>
      </c>
      <c r="O22" s="86" t="s">
        <v>512</v>
      </c>
      <c r="P22" s="176" t="s">
        <v>142</v>
      </c>
      <c r="Q22" s="86" t="s">
        <v>111</v>
      </c>
      <c r="R22" s="176" t="str">
        <f t="shared" si="0"/>
        <v xml:space="preserve">Director(a) Primera Infancia </v>
      </c>
      <c r="S22" s="87" t="s">
        <v>142</v>
      </c>
      <c r="T22" s="177" t="s">
        <v>143</v>
      </c>
      <c r="U22" s="88">
        <v>221734</v>
      </c>
      <c r="V22" s="136">
        <f>+VLOOKUP(AV22,Hoja1!$P$6:$R$26,3,FALSE)</f>
        <v>1.8181818181818186E-3</v>
      </c>
      <c r="X22" s="89" t="s">
        <v>1564</v>
      </c>
      <c r="Y22" s="89" t="s">
        <v>1564</v>
      </c>
      <c r="Z22" s="89"/>
      <c r="AA22" s="89"/>
      <c r="AB22" s="89"/>
      <c r="AC22" s="89"/>
      <c r="AD22" s="89"/>
      <c r="AF22" s="89" t="s">
        <v>98</v>
      </c>
      <c r="AG22" s="89" t="s">
        <v>519</v>
      </c>
      <c r="AH22" s="89" t="s">
        <v>513</v>
      </c>
      <c r="AI22" s="89" t="s">
        <v>48</v>
      </c>
      <c r="AJ22" s="89"/>
      <c r="AK22" s="89"/>
      <c r="AL22" s="89"/>
      <c r="AM22" s="90" t="s">
        <v>1564</v>
      </c>
      <c r="AN22" s="93"/>
      <c r="AO22" s="90" t="s">
        <v>1564</v>
      </c>
      <c r="AP22" s="93"/>
      <c r="AQ22" s="90" t="s">
        <v>1564</v>
      </c>
      <c r="AR22" s="93"/>
      <c r="AS22" s="90" t="s">
        <v>1564</v>
      </c>
      <c r="AT22" s="94"/>
      <c r="AU22" s="91" t="s">
        <v>1564</v>
      </c>
      <c r="AV22" s="176" t="str">
        <f t="shared" si="1"/>
        <v>Producto</v>
      </c>
    </row>
    <row r="23" spans="1:48" ht="39.75" customHeight="1" x14ac:dyDescent="0.25">
      <c r="A23" s="86">
        <v>1</v>
      </c>
      <c r="B23" s="86" t="s">
        <v>1587</v>
      </c>
      <c r="D23" s="86" t="s">
        <v>109</v>
      </c>
      <c r="E23" s="86" t="s">
        <v>110</v>
      </c>
      <c r="F23" s="86" t="s">
        <v>512</v>
      </c>
      <c r="G23" s="86" t="s">
        <v>512</v>
      </c>
      <c r="I23" s="86" t="s">
        <v>1711</v>
      </c>
      <c r="J23" s="86" t="s">
        <v>1587</v>
      </c>
      <c r="L23" s="86" t="s">
        <v>512</v>
      </c>
      <c r="M23" s="86" t="s">
        <v>512</v>
      </c>
      <c r="N23" s="86" t="s">
        <v>512</v>
      </c>
      <c r="O23" s="86" t="s">
        <v>512</v>
      </c>
      <c r="P23" s="176" t="s">
        <v>1326</v>
      </c>
      <c r="Q23" s="86" t="s">
        <v>111</v>
      </c>
      <c r="R23" s="176" t="str">
        <f t="shared" si="0"/>
        <v xml:space="preserve">Director(a) Primera Infancia </v>
      </c>
      <c r="S23" s="87" t="s">
        <v>1326</v>
      </c>
      <c r="T23" s="177" t="s">
        <v>1355</v>
      </c>
      <c r="U23" s="92">
        <v>1</v>
      </c>
      <c r="V23" s="136">
        <f>+VLOOKUP(AV23,Hoja1!$P$6:$R$26,3,FALSE)</f>
        <v>1.276595744680851E-3</v>
      </c>
      <c r="X23" s="89" t="s">
        <v>1564</v>
      </c>
      <c r="Y23" s="89"/>
      <c r="Z23" s="89"/>
      <c r="AA23" s="89"/>
      <c r="AB23" s="89"/>
      <c r="AC23" s="89"/>
      <c r="AD23" s="89"/>
      <c r="AF23" s="89" t="s">
        <v>683</v>
      </c>
      <c r="AG23" s="89" t="s">
        <v>533</v>
      </c>
      <c r="AH23" s="89" t="s">
        <v>84</v>
      </c>
      <c r="AI23" s="89" t="s">
        <v>47</v>
      </c>
      <c r="AJ23" s="89"/>
      <c r="AK23" s="89"/>
      <c r="AL23" s="90" t="s">
        <v>1564</v>
      </c>
      <c r="AM23" s="90" t="s">
        <v>1564</v>
      </c>
      <c r="AN23" s="90" t="s">
        <v>1564</v>
      </c>
      <c r="AO23" s="90" t="s">
        <v>1564</v>
      </c>
      <c r="AP23" s="90" t="s">
        <v>1564</v>
      </c>
      <c r="AQ23" s="90" t="s">
        <v>1564</v>
      </c>
      <c r="AR23" s="90" t="s">
        <v>1564</v>
      </c>
      <c r="AS23" s="90" t="s">
        <v>1564</v>
      </c>
      <c r="AT23" s="91" t="s">
        <v>1564</v>
      </c>
      <c r="AU23" s="91" t="s">
        <v>1564</v>
      </c>
      <c r="AV23" s="176" t="str">
        <f t="shared" si="1"/>
        <v>Gestión</v>
      </c>
    </row>
    <row r="24" spans="1:48" ht="39.75" customHeight="1" x14ac:dyDescent="0.25">
      <c r="A24" s="86">
        <v>2</v>
      </c>
      <c r="B24" s="86" t="s">
        <v>1588</v>
      </c>
      <c r="D24" s="86" t="s">
        <v>144</v>
      </c>
      <c r="E24" s="86" t="s">
        <v>145</v>
      </c>
      <c r="F24" s="86" t="s">
        <v>512</v>
      </c>
      <c r="G24" s="86" t="s">
        <v>512</v>
      </c>
      <c r="I24" s="86" t="s">
        <v>1712</v>
      </c>
      <c r="J24" s="86" t="s">
        <v>1588</v>
      </c>
      <c r="L24" s="86" t="s">
        <v>501</v>
      </c>
      <c r="M24" s="86" t="s">
        <v>502</v>
      </c>
      <c r="N24" s="86" t="s">
        <v>503</v>
      </c>
      <c r="O24" s="86" t="s">
        <v>504</v>
      </c>
      <c r="P24" s="176" t="s">
        <v>147</v>
      </c>
      <c r="Q24" s="86" t="s">
        <v>146</v>
      </c>
      <c r="R24" s="176" t="str">
        <f t="shared" si="0"/>
        <v xml:space="preserve">Director(a) Niñez y Adolescencia </v>
      </c>
      <c r="S24" s="87" t="s">
        <v>147</v>
      </c>
      <c r="T24" s="177" t="s">
        <v>148</v>
      </c>
      <c r="U24" s="92">
        <v>0.3</v>
      </c>
      <c r="V24" s="136">
        <f>+VLOOKUP(AV24,Hoja1!$P$6:$R$26,3,FALSE)</f>
        <v>5.5813953488372094E-3</v>
      </c>
      <c r="X24" s="89" t="s">
        <v>1564</v>
      </c>
      <c r="Y24" s="89"/>
      <c r="Z24" s="89"/>
      <c r="AA24" s="89" t="s">
        <v>1564</v>
      </c>
      <c r="AB24" s="89" t="s">
        <v>1564</v>
      </c>
      <c r="AC24" s="89"/>
      <c r="AD24" s="89"/>
      <c r="AF24" s="89" t="s">
        <v>98</v>
      </c>
      <c r="AG24" s="89" t="s">
        <v>533</v>
      </c>
      <c r="AH24" s="89" t="s">
        <v>71</v>
      </c>
      <c r="AI24" s="89" t="s">
        <v>55</v>
      </c>
      <c r="AJ24" s="89"/>
      <c r="AK24" s="89"/>
      <c r="AL24" s="89"/>
      <c r="AM24" s="89"/>
      <c r="AN24" s="89"/>
      <c r="AO24" s="89"/>
      <c r="AP24" s="89"/>
      <c r="AQ24" s="89"/>
      <c r="AR24" s="90" t="s">
        <v>1564</v>
      </c>
      <c r="AS24" s="93"/>
      <c r="AT24" s="94"/>
      <c r="AU24" s="91" t="s">
        <v>1564</v>
      </c>
      <c r="AV24" s="176" t="str">
        <f t="shared" si="1"/>
        <v>Gestiónx</v>
      </c>
    </row>
    <row r="25" spans="1:48" ht="39.75" customHeight="1" x14ac:dyDescent="0.25">
      <c r="A25" s="86">
        <v>2</v>
      </c>
      <c r="B25" s="86" t="s">
        <v>1588</v>
      </c>
      <c r="D25" s="86" t="s">
        <v>144</v>
      </c>
      <c r="E25" s="86" t="s">
        <v>145</v>
      </c>
      <c r="F25" s="86" t="s">
        <v>512</v>
      </c>
      <c r="G25" s="86" t="s">
        <v>512</v>
      </c>
      <c r="I25" s="86" t="s">
        <v>1712</v>
      </c>
      <c r="J25" s="86" t="s">
        <v>1588</v>
      </c>
      <c r="L25" s="86" t="s">
        <v>501</v>
      </c>
      <c r="M25" s="86" t="s">
        <v>502</v>
      </c>
      <c r="N25" s="86" t="s">
        <v>503</v>
      </c>
      <c r="O25" s="86" t="s">
        <v>504</v>
      </c>
      <c r="P25" s="176" t="s">
        <v>149</v>
      </c>
      <c r="Q25" s="86" t="s">
        <v>146</v>
      </c>
      <c r="R25" s="176" t="str">
        <f t="shared" si="0"/>
        <v xml:space="preserve">Director(a) Niñez y Adolescencia </v>
      </c>
      <c r="S25" s="87" t="s">
        <v>149</v>
      </c>
      <c r="T25" s="177" t="s">
        <v>150</v>
      </c>
      <c r="U25" s="92">
        <v>0.3</v>
      </c>
      <c r="V25" s="136">
        <f>+VLOOKUP(AV25,Hoja1!$P$6:$R$26,3,FALSE)</f>
        <v>5.5813953488372094E-3</v>
      </c>
      <c r="X25" s="89" t="s">
        <v>1564</v>
      </c>
      <c r="Y25" s="89"/>
      <c r="Z25" s="89"/>
      <c r="AA25" s="89" t="s">
        <v>1564</v>
      </c>
      <c r="AB25" s="89" t="s">
        <v>1564</v>
      </c>
      <c r="AC25" s="89"/>
      <c r="AD25" s="89"/>
      <c r="AF25" s="89" t="s">
        <v>98</v>
      </c>
      <c r="AG25" s="89" t="s">
        <v>533</v>
      </c>
      <c r="AH25" s="89" t="s">
        <v>71</v>
      </c>
      <c r="AI25" s="89" t="s">
        <v>55</v>
      </c>
      <c r="AJ25" s="89"/>
      <c r="AK25" s="89"/>
      <c r="AL25" s="89"/>
      <c r="AM25" s="89"/>
      <c r="AN25" s="89"/>
      <c r="AO25" s="89"/>
      <c r="AP25" s="89"/>
      <c r="AQ25" s="89"/>
      <c r="AR25" s="90" t="s">
        <v>1564</v>
      </c>
      <c r="AS25" s="93"/>
      <c r="AT25" s="94"/>
      <c r="AU25" s="91" t="s">
        <v>1564</v>
      </c>
      <c r="AV25" s="176" t="str">
        <f t="shared" si="1"/>
        <v>Gestiónx</v>
      </c>
    </row>
    <row r="26" spans="1:48" ht="39.75" customHeight="1" x14ac:dyDescent="0.25">
      <c r="A26" s="86">
        <v>2</v>
      </c>
      <c r="B26" s="86" t="s">
        <v>1588</v>
      </c>
      <c r="D26" s="86" t="s">
        <v>144</v>
      </c>
      <c r="E26" s="86" t="s">
        <v>145</v>
      </c>
      <c r="F26" s="86" t="s">
        <v>512</v>
      </c>
      <c r="G26" s="86" t="s">
        <v>512</v>
      </c>
      <c r="I26" s="86" t="s">
        <v>1712</v>
      </c>
      <c r="J26" s="86" t="s">
        <v>1588</v>
      </c>
      <c r="L26" s="86" t="s">
        <v>501</v>
      </c>
      <c r="M26" s="86" t="s">
        <v>502</v>
      </c>
      <c r="N26" s="86" t="s">
        <v>503</v>
      </c>
      <c r="O26" s="86" t="s">
        <v>504</v>
      </c>
      <c r="P26" s="176" t="s">
        <v>151</v>
      </c>
      <c r="Q26" s="86" t="s">
        <v>146</v>
      </c>
      <c r="R26" s="176" t="str">
        <f t="shared" si="0"/>
        <v xml:space="preserve">Director(a) Niñez y Adolescencia </v>
      </c>
      <c r="S26" s="87" t="s">
        <v>151</v>
      </c>
      <c r="T26" s="177" t="s">
        <v>152</v>
      </c>
      <c r="U26" s="88">
        <v>6</v>
      </c>
      <c r="V26" s="136">
        <f>+VLOOKUP(AV26,Hoja1!$P$6:$R$26,3,FALSE)</f>
        <v>9.3023255813953487E-3</v>
      </c>
      <c r="X26" s="89" t="s">
        <v>1564</v>
      </c>
      <c r="Y26" s="89"/>
      <c r="Z26" s="89"/>
      <c r="AA26" s="89" t="s">
        <v>1564</v>
      </c>
      <c r="AB26" s="89" t="s">
        <v>1564</v>
      </c>
      <c r="AC26" s="89"/>
      <c r="AD26" s="89"/>
      <c r="AF26" s="89" t="s">
        <v>98</v>
      </c>
      <c r="AG26" s="89" t="s">
        <v>103</v>
      </c>
      <c r="AH26" s="89" t="s">
        <v>71</v>
      </c>
      <c r="AI26" s="89" t="s">
        <v>55</v>
      </c>
      <c r="AJ26" s="89"/>
      <c r="AK26" s="89"/>
      <c r="AL26" s="89"/>
      <c r="AM26" s="89"/>
      <c r="AN26" s="89"/>
      <c r="AO26" s="89"/>
      <c r="AP26" s="89"/>
      <c r="AQ26" s="89"/>
      <c r="AR26" s="90" t="s">
        <v>1564</v>
      </c>
      <c r="AS26" s="93"/>
      <c r="AT26" s="94"/>
      <c r="AU26" s="91" t="s">
        <v>1564</v>
      </c>
      <c r="AV26" s="176" t="str">
        <f t="shared" si="1"/>
        <v>Resultadox</v>
      </c>
    </row>
    <row r="27" spans="1:48" ht="39.75" customHeight="1" x14ac:dyDescent="0.25">
      <c r="A27" s="86">
        <v>2</v>
      </c>
      <c r="B27" s="86" t="s">
        <v>1588</v>
      </c>
      <c r="D27" s="86" t="s">
        <v>144</v>
      </c>
      <c r="E27" s="86" t="s">
        <v>145</v>
      </c>
      <c r="F27" s="86" t="s">
        <v>512</v>
      </c>
      <c r="G27" s="86" t="s">
        <v>512</v>
      </c>
      <c r="I27" s="86" t="s">
        <v>1712</v>
      </c>
      <c r="J27" s="86" t="s">
        <v>1588</v>
      </c>
      <c r="L27" s="86" t="s">
        <v>501</v>
      </c>
      <c r="M27" s="86" t="s">
        <v>502</v>
      </c>
      <c r="N27" s="86" t="s">
        <v>503</v>
      </c>
      <c r="O27" s="86" t="s">
        <v>504</v>
      </c>
      <c r="P27" s="176" t="s">
        <v>153</v>
      </c>
      <c r="Q27" s="86" t="s">
        <v>146</v>
      </c>
      <c r="R27" s="176" t="str">
        <f t="shared" si="0"/>
        <v xml:space="preserve">Director(a) Niñez y Adolescencia </v>
      </c>
      <c r="S27" s="87" t="s">
        <v>153</v>
      </c>
      <c r="T27" s="177" t="s">
        <v>154</v>
      </c>
      <c r="U27" s="88">
        <v>75</v>
      </c>
      <c r="V27" s="136">
        <f>+VLOOKUP(AV27,Hoja1!$P$6:$R$26,3,FALSE)</f>
        <v>9.3023255813953487E-3</v>
      </c>
      <c r="X27" s="89" t="s">
        <v>1564</v>
      </c>
      <c r="Y27" s="89"/>
      <c r="Z27" s="89"/>
      <c r="AA27" s="89" t="s">
        <v>1564</v>
      </c>
      <c r="AB27" s="89" t="s">
        <v>1564</v>
      </c>
      <c r="AC27" s="89" t="s">
        <v>1564</v>
      </c>
      <c r="AD27" s="89" t="s">
        <v>1564</v>
      </c>
      <c r="AF27" s="89" t="s">
        <v>98</v>
      </c>
      <c r="AG27" s="89" t="s">
        <v>103</v>
      </c>
      <c r="AH27" s="89" t="s">
        <v>71</v>
      </c>
      <c r="AI27" s="89" t="s">
        <v>55</v>
      </c>
      <c r="AJ27" s="89"/>
      <c r="AK27" s="89"/>
      <c r="AL27" s="89"/>
      <c r="AM27" s="89"/>
      <c r="AN27" s="89"/>
      <c r="AO27" s="89"/>
      <c r="AP27" s="89"/>
      <c r="AQ27" s="89"/>
      <c r="AR27" s="90" t="s">
        <v>1564</v>
      </c>
      <c r="AS27" s="93"/>
      <c r="AT27" s="94"/>
      <c r="AU27" s="91" t="s">
        <v>1564</v>
      </c>
      <c r="AV27" s="176" t="str">
        <f t="shared" si="1"/>
        <v>Resultadox</v>
      </c>
    </row>
    <row r="28" spans="1:48" ht="39.75" customHeight="1" x14ac:dyDescent="0.25">
      <c r="A28" s="86">
        <v>2</v>
      </c>
      <c r="B28" s="86" t="s">
        <v>1588</v>
      </c>
      <c r="D28" s="86" t="s">
        <v>144</v>
      </c>
      <c r="E28" s="86" t="s">
        <v>145</v>
      </c>
      <c r="F28" s="86" t="s">
        <v>512</v>
      </c>
      <c r="G28" s="86" t="s">
        <v>512</v>
      </c>
      <c r="I28" s="86" t="s">
        <v>1712</v>
      </c>
      <c r="J28" s="86" t="s">
        <v>1588</v>
      </c>
      <c r="L28" s="86" t="s">
        <v>501</v>
      </c>
      <c r="M28" s="86" t="s">
        <v>502</v>
      </c>
      <c r="N28" s="86" t="s">
        <v>503</v>
      </c>
      <c r="O28" s="86" t="s">
        <v>504</v>
      </c>
      <c r="P28" s="176" t="s">
        <v>155</v>
      </c>
      <c r="Q28" s="86" t="s">
        <v>146</v>
      </c>
      <c r="R28" s="176" t="str">
        <f t="shared" si="0"/>
        <v xml:space="preserve">Director(a) Niñez y Adolescencia </v>
      </c>
      <c r="S28" s="87" t="s">
        <v>155</v>
      </c>
      <c r="T28" s="177" t="s">
        <v>156</v>
      </c>
      <c r="U28" s="88">
        <v>4000</v>
      </c>
      <c r="V28" s="136">
        <f>+VLOOKUP(AV28,Hoja1!$P$6:$R$26,3,FALSE)</f>
        <v>8.4210526315789489E-3</v>
      </c>
      <c r="X28" s="89" t="s">
        <v>1564</v>
      </c>
      <c r="Y28" s="89" t="s">
        <v>1564</v>
      </c>
      <c r="Z28" s="89"/>
      <c r="AA28" s="89" t="s">
        <v>1564</v>
      </c>
      <c r="AB28" s="89" t="s">
        <v>1564</v>
      </c>
      <c r="AC28" s="89"/>
      <c r="AD28" s="89"/>
      <c r="AF28" s="89" t="s">
        <v>98</v>
      </c>
      <c r="AG28" s="89" t="s">
        <v>519</v>
      </c>
      <c r="AH28" s="89" t="s">
        <v>71</v>
      </c>
      <c r="AI28" s="89" t="s">
        <v>55</v>
      </c>
      <c r="AJ28" s="89"/>
      <c r="AK28" s="89"/>
      <c r="AL28" s="89"/>
      <c r="AM28" s="89"/>
      <c r="AN28" s="89"/>
      <c r="AO28" s="89"/>
      <c r="AP28" s="89"/>
      <c r="AQ28" s="89"/>
      <c r="AR28" s="90" t="s">
        <v>1564</v>
      </c>
      <c r="AS28" s="93"/>
      <c r="AT28" s="94"/>
      <c r="AU28" s="91" t="s">
        <v>1564</v>
      </c>
      <c r="AV28" s="176" t="str">
        <f t="shared" si="1"/>
        <v>Productox</v>
      </c>
    </row>
    <row r="29" spans="1:48" ht="39.75" customHeight="1" x14ac:dyDescent="0.25">
      <c r="A29" s="86">
        <v>2</v>
      </c>
      <c r="B29" s="86" t="s">
        <v>1588</v>
      </c>
      <c r="D29" s="86" t="s">
        <v>144</v>
      </c>
      <c r="E29" s="86" t="s">
        <v>145</v>
      </c>
      <c r="F29" s="86" t="s">
        <v>512</v>
      </c>
      <c r="G29" s="86" t="s">
        <v>512</v>
      </c>
      <c r="I29" s="86" t="s">
        <v>1712</v>
      </c>
      <c r="J29" s="86" t="s">
        <v>1588</v>
      </c>
      <c r="L29" s="86" t="s">
        <v>501</v>
      </c>
      <c r="M29" s="86" t="s">
        <v>502</v>
      </c>
      <c r="N29" s="86" t="s">
        <v>503</v>
      </c>
      <c r="O29" s="86" t="s">
        <v>504</v>
      </c>
      <c r="P29" s="176" t="s">
        <v>157</v>
      </c>
      <c r="Q29" s="86" t="s">
        <v>146</v>
      </c>
      <c r="R29" s="176" t="str">
        <f t="shared" si="0"/>
        <v xml:space="preserve">Director(a) Niñez y Adolescencia </v>
      </c>
      <c r="S29" s="87" t="s">
        <v>157</v>
      </c>
      <c r="T29" s="177" t="s">
        <v>158</v>
      </c>
      <c r="U29" s="88">
        <v>210295</v>
      </c>
      <c r="V29" s="136">
        <f>+VLOOKUP(AV29,Hoja1!$P$6:$R$26,3,FALSE)</f>
        <v>8.4210526315789489E-3</v>
      </c>
      <c r="X29" s="89" t="s">
        <v>1564</v>
      </c>
      <c r="Y29" s="89" t="s">
        <v>1564</v>
      </c>
      <c r="Z29" s="89" t="s">
        <v>1564</v>
      </c>
      <c r="AA29" s="89" t="s">
        <v>1564</v>
      </c>
      <c r="AB29" s="89" t="s">
        <v>1564</v>
      </c>
      <c r="AC29" s="89"/>
      <c r="AD29" s="89" t="s">
        <v>1564</v>
      </c>
      <c r="AF29" s="89" t="s">
        <v>98</v>
      </c>
      <c r="AG29" s="89" t="s">
        <v>519</v>
      </c>
      <c r="AH29" s="89" t="s">
        <v>84</v>
      </c>
      <c r="AI29" s="89" t="s">
        <v>47</v>
      </c>
      <c r="AJ29" s="89"/>
      <c r="AK29" s="89"/>
      <c r="AL29" s="90" t="s">
        <v>1564</v>
      </c>
      <c r="AM29" s="90" t="s">
        <v>1564</v>
      </c>
      <c r="AN29" s="90" t="s">
        <v>1564</v>
      </c>
      <c r="AO29" s="90" t="s">
        <v>1564</v>
      </c>
      <c r="AP29" s="90" t="s">
        <v>1564</v>
      </c>
      <c r="AQ29" s="90" t="s">
        <v>1564</v>
      </c>
      <c r="AR29" s="90" t="s">
        <v>1564</v>
      </c>
      <c r="AS29" s="90" t="s">
        <v>1564</v>
      </c>
      <c r="AT29" s="91" t="s">
        <v>1564</v>
      </c>
      <c r="AU29" s="91" t="s">
        <v>1564</v>
      </c>
      <c r="AV29" s="176" t="str">
        <f t="shared" si="1"/>
        <v>Productox</v>
      </c>
    </row>
    <row r="30" spans="1:48" ht="39.75" customHeight="1" x14ac:dyDescent="0.25">
      <c r="A30" s="86">
        <v>2</v>
      </c>
      <c r="B30" s="86" t="s">
        <v>1588</v>
      </c>
      <c r="D30" s="86" t="s">
        <v>144</v>
      </c>
      <c r="E30" s="86" t="s">
        <v>145</v>
      </c>
      <c r="F30" s="86" t="s">
        <v>512</v>
      </c>
      <c r="G30" s="86" t="s">
        <v>512</v>
      </c>
      <c r="I30" s="86" t="s">
        <v>1712</v>
      </c>
      <c r="J30" s="86" t="s">
        <v>1588</v>
      </c>
      <c r="L30" s="86" t="s">
        <v>501</v>
      </c>
      <c r="M30" s="86" t="s">
        <v>502</v>
      </c>
      <c r="N30" s="86" t="s">
        <v>503</v>
      </c>
      <c r="O30" s="86" t="s">
        <v>504</v>
      </c>
      <c r="P30" s="176" t="s">
        <v>159</v>
      </c>
      <c r="Q30" s="86" t="s">
        <v>146</v>
      </c>
      <c r="R30" s="176" t="str">
        <f t="shared" si="0"/>
        <v xml:space="preserve">Director(a) Niñez y Adolescencia </v>
      </c>
      <c r="S30" s="87" t="s">
        <v>159</v>
      </c>
      <c r="T30" s="177" t="s">
        <v>160</v>
      </c>
      <c r="U30" s="88">
        <v>436</v>
      </c>
      <c r="V30" s="136">
        <f>+VLOOKUP(AV30,Hoja1!$P$6:$R$26,3,FALSE)</f>
        <v>5.5813953488372094E-3</v>
      </c>
      <c r="X30" s="89" t="s">
        <v>1564</v>
      </c>
      <c r="Y30" s="89"/>
      <c r="Z30" s="89"/>
      <c r="AA30" s="89" t="s">
        <v>1564</v>
      </c>
      <c r="AB30" s="89" t="s">
        <v>1564</v>
      </c>
      <c r="AC30" s="89"/>
      <c r="AD30" s="89"/>
      <c r="AF30" s="89" t="s">
        <v>683</v>
      </c>
      <c r="AG30" s="89" t="s">
        <v>533</v>
      </c>
      <c r="AH30" s="89" t="s">
        <v>104</v>
      </c>
      <c r="AI30" s="89" t="s">
        <v>50</v>
      </c>
      <c r="AJ30" s="89"/>
      <c r="AK30" s="89"/>
      <c r="AL30" s="89"/>
      <c r="AM30" s="89"/>
      <c r="AN30" s="89"/>
      <c r="AO30" s="90" t="s">
        <v>1564</v>
      </c>
      <c r="AP30" s="93"/>
      <c r="AQ30" s="93"/>
      <c r="AR30" s="93"/>
      <c r="AS30" s="93"/>
      <c r="AT30" s="94"/>
      <c r="AU30" s="91" t="s">
        <v>1564</v>
      </c>
      <c r="AV30" s="176" t="str">
        <f t="shared" si="1"/>
        <v>Gestiónx</v>
      </c>
    </row>
    <row r="31" spans="1:48" ht="39.75" customHeight="1" x14ac:dyDescent="0.25">
      <c r="A31" s="86">
        <v>2</v>
      </c>
      <c r="B31" s="86" t="s">
        <v>1588</v>
      </c>
      <c r="D31" s="86" t="s">
        <v>144</v>
      </c>
      <c r="E31" s="86" t="s">
        <v>145</v>
      </c>
      <c r="F31" s="86" t="s">
        <v>512</v>
      </c>
      <c r="G31" s="86" t="s">
        <v>512</v>
      </c>
      <c r="I31" s="86" t="s">
        <v>1712</v>
      </c>
      <c r="J31" s="86" t="s">
        <v>1588</v>
      </c>
      <c r="L31" s="86" t="s">
        <v>512</v>
      </c>
      <c r="M31" s="86" t="s">
        <v>512</v>
      </c>
      <c r="N31" s="86" t="s">
        <v>512</v>
      </c>
      <c r="O31" s="86" t="s">
        <v>512</v>
      </c>
      <c r="P31" s="176" t="s">
        <v>161</v>
      </c>
      <c r="Q31" s="86" t="s">
        <v>146</v>
      </c>
      <c r="R31" s="176" t="str">
        <f t="shared" si="0"/>
        <v xml:space="preserve">Director(a) Niñez y Adolescencia </v>
      </c>
      <c r="S31" s="87" t="s">
        <v>161</v>
      </c>
      <c r="T31" s="177" t="s">
        <v>1581</v>
      </c>
      <c r="U31" s="88">
        <v>81900</v>
      </c>
      <c r="V31" s="136">
        <f>+VLOOKUP(AV31,Hoja1!$P$6:$R$26,3,FALSE)</f>
        <v>1.8181818181818186E-3</v>
      </c>
      <c r="X31" s="89" t="s">
        <v>1564</v>
      </c>
      <c r="Y31" s="89" t="s">
        <v>1564</v>
      </c>
      <c r="Z31" s="89"/>
      <c r="AA31" s="89"/>
      <c r="AB31" s="89"/>
      <c r="AC31" s="89"/>
      <c r="AD31" s="89"/>
      <c r="AF31" s="89" t="s">
        <v>98</v>
      </c>
      <c r="AG31" s="89" t="s">
        <v>519</v>
      </c>
      <c r="AH31" s="89" t="s">
        <v>84</v>
      </c>
      <c r="AI31" s="89" t="s">
        <v>47</v>
      </c>
      <c r="AJ31" s="89"/>
      <c r="AK31" s="89"/>
      <c r="AL31" s="90" t="s">
        <v>1564</v>
      </c>
      <c r="AM31" s="90" t="s">
        <v>1564</v>
      </c>
      <c r="AN31" s="90" t="s">
        <v>1564</v>
      </c>
      <c r="AO31" s="90" t="s">
        <v>1564</v>
      </c>
      <c r="AP31" s="90" t="s">
        <v>1564</v>
      </c>
      <c r="AQ31" s="90" t="s">
        <v>1564</v>
      </c>
      <c r="AR31" s="90" t="s">
        <v>1564</v>
      </c>
      <c r="AS31" s="90" t="s">
        <v>1564</v>
      </c>
      <c r="AT31" s="91" t="s">
        <v>1564</v>
      </c>
      <c r="AU31" s="91" t="s">
        <v>1564</v>
      </c>
      <c r="AV31" s="176" t="str">
        <f t="shared" si="1"/>
        <v>Producto</v>
      </c>
    </row>
    <row r="32" spans="1:48" ht="39.75" customHeight="1" x14ac:dyDescent="0.25">
      <c r="A32" s="86">
        <v>2</v>
      </c>
      <c r="B32" s="86" t="s">
        <v>1588</v>
      </c>
      <c r="D32" s="86" t="s">
        <v>144</v>
      </c>
      <c r="E32" s="86" t="s">
        <v>145</v>
      </c>
      <c r="F32" s="86" t="s">
        <v>512</v>
      </c>
      <c r="G32" s="86" t="s">
        <v>512</v>
      </c>
      <c r="I32" s="86" t="s">
        <v>1712</v>
      </c>
      <c r="J32" s="86" t="s">
        <v>1588</v>
      </c>
      <c r="L32" s="86" t="s">
        <v>512</v>
      </c>
      <c r="M32" s="86" t="s">
        <v>512</v>
      </c>
      <c r="N32" s="86" t="s">
        <v>512</v>
      </c>
      <c r="O32" s="86" t="s">
        <v>512</v>
      </c>
      <c r="P32" s="176" t="s">
        <v>162</v>
      </c>
      <c r="Q32" s="86" t="s">
        <v>146</v>
      </c>
      <c r="R32" s="176" t="str">
        <f t="shared" si="0"/>
        <v xml:space="preserve">Director(a) Niñez y Adolescencia </v>
      </c>
      <c r="S32" s="87" t="s">
        <v>162</v>
      </c>
      <c r="T32" s="177" t="s">
        <v>163</v>
      </c>
      <c r="U32" s="88">
        <v>757108</v>
      </c>
      <c r="V32" s="136">
        <f>+VLOOKUP(AV32,Hoja1!$P$6:$R$26,3,FALSE)</f>
        <v>1.8181818181818186E-3</v>
      </c>
      <c r="X32" s="89" t="s">
        <v>1564</v>
      </c>
      <c r="Y32" s="89" t="s">
        <v>1564</v>
      </c>
      <c r="Z32" s="89"/>
      <c r="AA32" s="89"/>
      <c r="AB32" s="89"/>
      <c r="AC32" s="89"/>
      <c r="AD32" s="89"/>
      <c r="AF32" s="89" t="s">
        <v>98</v>
      </c>
      <c r="AG32" s="89" t="s">
        <v>519</v>
      </c>
      <c r="AH32" s="89" t="s">
        <v>84</v>
      </c>
      <c r="AI32" s="89" t="s">
        <v>47</v>
      </c>
      <c r="AJ32" s="89"/>
      <c r="AK32" s="89"/>
      <c r="AL32" s="90" t="s">
        <v>1564</v>
      </c>
      <c r="AM32" s="90" t="s">
        <v>1564</v>
      </c>
      <c r="AN32" s="90" t="s">
        <v>1564</v>
      </c>
      <c r="AO32" s="90" t="s">
        <v>1564</v>
      </c>
      <c r="AP32" s="90" t="s">
        <v>1564</v>
      </c>
      <c r="AQ32" s="90" t="s">
        <v>1564</v>
      </c>
      <c r="AR32" s="90" t="s">
        <v>1564</v>
      </c>
      <c r="AS32" s="90" t="s">
        <v>1564</v>
      </c>
      <c r="AT32" s="91" t="s">
        <v>1564</v>
      </c>
      <c r="AU32" s="91" t="s">
        <v>1564</v>
      </c>
      <c r="AV32" s="176" t="str">
        <f t="shared" si="1"/>
        <v>Producto</v>
      </c>
    </row>
    <row r="33" spans="1:48" ht="39.75" customHeight="1" x14ac:dyDescent="0.25">
      <c r="A33" s="86">
        <v>2</v>
      </c>
      <c r="B33" s="86" t="s">
        <v>1588</v>
      </c>
      <c r="D33" s="86" t="s">
        <v>144</v>
      </c>
      <c r="E33" s="86" t="s">
        <v>145</v>
      </c>
      <c r="F33" s="86" t="s">
        <v>512</v>
      </c>
      <c r="G33" s="86" t="s">
        <v>512</v>
      </c>
      <c r="I33" s="86" t="s">
        <v>1712</v>
      </c>
      <c r="J33" s="86" t="s">
        <v>1588</v>
      </c>
      <c r="L33" s="86" t="s">
        <v>512</v>
      </c>
      <c r="M33" s="86" t="s">
        <v>512</v>
      </c>
      <c r="N33" s="86" t="s">
        <v>512</v>
      </c>
      <c r="O33" s="86" t="s">
        <v>512</v>
      </c>
      <c r="P33" s="176" t="s">
        <v>164</v>
      </c>
      <c r="Q33" s="86" t="s">
        <v>146</v>
      </c>
      <c r="R33" s="176" t="str">
        <f t="shared" si="0"/>
        <v xml:space="preserve">Director(a) Niñez y Adolescencia </v>
      </c>
      <c r="S33" s="87" t="s">
        <v>164</v>
      </c>
      <c r="T33" s="177" t="s">
        <v>165</v>
      </c>
      <c r="U33" s="92">
        <v>0.9</v>
      </c>
      <c r="V33" s="136">
        <f>+VLOOKUP(AV33,Hoja1!$P$6:$R$26,3,FALSE)</f>
        <v>1.276595744680851E-3</v>
      </c>
      <c r="X33" s="89" t="s">
        <v>1564</v>
      </c>
      <c r="Y33" s="89" t="s">
        <v>1564</v>
      </c>
      <c r="Z33" s="89"/>
      <c r="AA33" s="89"/>
      <c r="AB33" s="89"/>
      <c r="AC33" s="89"/>
      <c r="AD33" s="89"/>
      <c r="AF33" s="89" t="s">
        <v>98</v>
      </c>
      <c r="AG33" s="89" t="s">
        <v>533</v>
      </c>
      <c r="AH33" s="89" t="s">
        <v>84</v>
      </c>
      <c r="AI33" s="89" t="s">
        <v>53</v>
      </c>
      <c r="AJ33" s="89"/>
      <c r="AK33" s="89"/>
      <c r="AL33" s="89"/>
      <c r="AM33" s="89"/>
      <c r="AN33" s="89"/>
      <c r="AO33" s="89"/>
      <c r="AP33" s="90" t="s">
        <v>1564</v>
      </c>
      <c r="AQ33" s="90" t="s">
        <v>1564</v>
      </c>
      <c r="AR33" s="90" t="s">
        <v>1564</v>
      </c>
      <c r="AS33" s="90" t="s">
        <v>1564</v>
      </c>
      <c r="AT33" s="91" t="s">
        <v>1564</v>
      </c>
      <c r="AU33" s="91" t="s">
        <v>1564</v>
      </c>
      <c r="AV33" s="176" t="str">
        <f t="shared" si="1"/>
        <v>Gestión</v>
      </c>
    </row>
    <row r="34" spans="1:48" ht="39.75" customHeight="1" x14ac:dyDescent="0.25">
      <c r="A34" s="86">
        <v>2</v>
      </c>
      <c r="B34" s="86" t="s">
        <v>1588</v>
      </c>
      <c r="D34" s="86" t="s">
        <v>144</v>
      </c>
      <c r="E34" s="86" t="s">
        <v>145</v>
      </c>
      <c r="F34" s="86" t="s">
        <v>512</v>
      </c>
      <c r="G34" s="86" t="s">
        <v>512</v>
      </c>
      <c r="I34" s="86" t="s">
        <v>1712</v>
      </c>
      <c r="J34" s="86" t="s">
        <v>1588</v>
      </c>
      <c r="L34" s="86" t="s">
        <v>512</v>
      </c>
      <c r="M34" s="86" t="s">
        <v>512</v>
      </c>
      <c r="N34" s="86" t="s">
        <v>512</v>
      </c>
      <c r="O34" s="86" t="s">
        <v>512</v>
      </c>
      <c r="P34" s="176" t="s">
        <v>166</v>
      </c>
      <c r="Q34" s="86" t="s">
        <v>146</v>
      </c>
      <c r="R34" s="176" t="str">
        <f t="shared" si="0"/>
        <v xml:space="preserve">Director(a) Niñez y Adolescencia </v>
      </c>
      <c r="S34" s="87" t="s">
        <v>166</v>
      </c>
      <c r="T34" s="177" t="s">
        <v>167</v>
      </c>
      <c r="U34" s="92">
        <v>0.9</v>
      </c>
      <c r="V34" s="136">
        <f>+VLOOKUP(AV34,Hoja1!$P$6:$R$26,3,FALSE)</f>
        <v>1.276595744680851E-3</v>
      </c>
      <c r="X34" s="89" t="s">
        <v>1564</v>
      </c>
      <c r="Y34" s="89" t="s">
        <v>1564</v>
      </c>
      <c r="Z34" s="89"/>
      <c r="AA34" s="89"/>
      <c r="AB34" s="89"/>
      <c r="AC34" s="89"/>
      <c r="AD34" s="89"/>
      <c r="AF34" s="89" t="s">
        <v>683</v>
      </c>
      <c r="AG34" s="89" t="s">
        <v>533</v>
      </c>
      <c r="AH34" s="89" t="s">
        <v>84</v>
      </c>
      <c r="AI34" s="89" t="s">
        <v>53</v>
      </c>
      <c r="AJ34" s="89"/>
      <c r="AK34" s="89"/>
      <c r="AL34" s="89"/>
      <c r="AM34" s="89"/>
      <c r="AN34" s="89"/>
      <c r="AO34" s="89"/>
      <c r="AP34" s="90" t="s">
        <v>1564</v>
      </c>
      <c r="AQ34" s="90" t="s">
        <v>1564</v>
      </c>
      <c r="AR34" s="90" t="s">
        <v>1564</v>
      </c>
      <c r="AS34" s="90" t="s">
        <v>1564</v>
      </c>
      <c r="AT34" s="91" t="s">
        <v>1564</v>
      </c>
      <c r="AU34" s="91" t="s">
        <v>1564</v>
      </c>
      <c r="AV34" s="176" t="str">
        <f t="shared" si="1"/>
        <v>Gestión</v>
      </c>
    </row>
    <row r="35" spans="1:48" ht="39.75" customHeight="1" x14ac:dyDescent="0.25">
      <c r="A35" s="86">
        <v>2</v>
      </c>
      <c r="B35" s="86" t="s">
        <v>1588</v>
      </c>
      <c r="D35" s="86" t="s">
        <v>144</v>
      </c>
      <c r="E35" s="86" t="s">
        <v>145</v>
      </c>
      <c r="F35" s="86" t="s">
        <v>512</v>
      </c>
      <c r="G35" s="86" t="s">
        <v>512</v>
      </c>
      <c r="I35" s="86" t="s">
        <v>1712</v>
      </c>
      <c r="J35" s="86" t="s">
        <v>1588</v>
      </c>
      <c r="L35" s="86" t="s">
        <v>512</v>
      </c>
      <c r="M35" s="86" t="s">
        <v>512</v>
      </c>
      <c r="N35" s="86" t="s">
        <v>512</v>
      </c>
      <c r="O35" s="86" t="s">
        <v>512</v>
      </c>
      <c r="P35" s="176" t="s">
        <v>1356</v>
      </c>
      <c r="Q35" s="86" t="s">
        <v>146</v>
      </c>
      <c r="R35" s="176" t="str">
        <f t="shared" si="0"/>
        <v xml:space="preserve">Director(a) Niñez y Adolescencia </v>
      </c>
      <c r="S35" s="87" t="s">
        <v>1356</v>
      </c>
      <c r="T35" s="177" t="s">
        <v>1355</v>
      </c>
      <c r="U35" s="92">
        <v>1</v>
      </c>
      <c r="V35" s="136">
        <f>+VLOOKUP(AV35,Hoja1!$P$6:$R$26,3,FALSE)</f>
        <v>1.276595744680851E-3</v>
      </c>
      <c r="X35" s="89" t="s">
        <v>1564</v>
      </c>
      <c r="Y35" s="89"/>
      <c r="Z35" s="89"/>
      <c r="AA35" s="89"/>
      <c r="AB35" s="89"/>
      <c r="AC35" s="89"/>
      <c r="AD35" s="89"/>
      <c r="AF35" s="89" t="s">
        <v>683</v>
      </c>
      <c r="AG35" s="89" t="s">
        <v>533</v>
      </c>
      <c r="AH35" s="89" t="s">
        <v>84</v>
      </c>
      <c r="AI35" s="89" t="s">
        <v>47</v>
      </c>
      <c r="AJ35" s="89"/>
      <c r="AK35" s="89"/>
      <c r="AL35" s="90" t="s">
        <v>1564</v>
      </c>
      <c r="AM35" s="90" t="s">
        <v>1564</v>
      </c>
      <c r="AN35" s="90" t="s">
        <v>1564</v>
      </c>
      <c r="AO35" s="90" t="s">
        <v>1564</v>
      </c>
      <c r="AP35" s="90" t="s">
        <v>1564</v>
      </c>
      <c r="AQ35" s="90" t="s">
        <v>1564</v>
      </c>
      <c r="AR35" s="90" t="s">
        <v>1564</v>
      </c>
      <c r="AS35" s="90" t="s">
        <v>1564</v>
      </c>
      <c r="AT35" s="91" t="s">
        <v>1564</v>
      </c>
      <c r="AU35" s="91" t="s">
        <v>1564</v>
      </c>
      <c r="AV35" s="176" t="str">
        <f t="shared" si="1"/>
        <v>Gestión</v>
      </c>
    </row>
    <row r="36" spans="1:48" ht="39.75" customHeight="1" x14ac:dyDescent="0.25">
      <c r="A36" s="86">
        <v>3</v>
      </c>
      <c r="B36" s="86" t="s">
        <v>1589</v>
      </c>
      <c r="D36" s="86" t="s">
        <v>168</v>
      </c>
      <c r="E36" s="86" t="s">
        <v>169</v>
      </c>
      <c r="F36" s="86" t="s">
        <v>512</v>
      </c>
      <c r="G36" s="86" t="s">
        <v>512</v>
      </c>
      <c r="I36" s="86" t="s">
        <v>1713</v>
      </c>
      <c r="J36" s="86" t="s">
        <v>1589</v>
      </c>
      <c r="L36" s="86" t="s">
        <v>501</v>
      </c>
      <c r="M36" s="86" t="s">
        <v>515</v>
      </c>
      <c r="N36" s="86" t="s">
        <v>503</v>
      </c>
      <c r="O36" s="86" t="s">
        <v>504</v>
      </c>
      <c r="P36" s="176" t="s">
        <v>171</v>
      </c>
      <c r="Q36" s="86" t="s">
        <v>170</v>
      </c>
      <c r="R36" s="176" t="str">
        <f t="shared" si="0"/>
        <v>Director(a) Familia y Comunidades</v>
      </c>
      <c r="S36" s="87" t="s">
        <v>171</v>
      </c>
      <c r="T36" s="177" t="s">
        <v>528</v>
      </c>
      <c r="U36" s="88">
        <v>105488</v>
      </c>
      <c r="V36" s="136">
        <f>+VLOOKUP(AV36,Hoja1!$P$6:$R$26,3,FALSE)</f>
        <v>8.4210526315789489E-3</v>
      </c>
      <c r="X36" s="89" t="s">
        <v>1564</v>
      </c>
      <c r="Y36" s="89" t="s">
        <v>1564</v>
      </c>
      <c r="Z36" s="89" t="s">
        <v>1564</v>
      </c>
      <c r="AA36" s="89" t="s">
        <v>1564</v>
      </c>
      <c r="AB36" s="89" t="s">
        <v>1564</v>
      </c>
      <c r="AC36" s="89" t="s">
        <v>1564</v>
      </c>
      <c r="AD36" s="89" t="s">
        <v>1564</v>
      </c>
      <c r="AF36" s="89" t="s">
        <v>98</v>
      </c>
      <c r="AG36" s="89" t="s">
        <v>519</v>
      </c>
      <c r="AH36" s="89" t="s">
        <v>84</v>
      </c>
      <c r="AI36" s="89" t="s">
        <v>53</v>
      </c>
      <c r="AJ36" s="89"/>
      <c r="AK36" s="89"/>
      <c r="AL36" s="89"/>
      <c r="AM36" s="89"/>
      <c r="AN36" s="89"/>
      <c r="AO36" s="89"/>
      <c r="AP36" s="90" t="s">
        <v>1564</v>
      </c>
      <c r="AQ36" s="90" t="s">
        <v>1564</v>
      </c>
      <c r="AR36" s="90" t="s">
        <v>1564</v>
      </c>
      <c r="AS36" s="90" t="s">
        <v>1564</v>
      </c>
      <c r="AT36" s="91" t="s">
        <v>1564</v>
      </c>
      <c r="AU36" s="91" t="s">
        <v>1564</v>
      </c>
      <c r="AV36" s="176" t="str">
        <f t="shared" si="1"/>
        <v>Productox</v>
      </c>
    </row>
    <row r="37" spans="1:48" ht="39.75" customHeight="1" x14ac:dyDescent="0.25">
      <c r="A37" s="86">
        <v>3</v>
      </c>
      <c r="B37" s="86" t="s">
        <v>1589</v>
      </c>
      <c r="D37" s="86" t="s">
        <v>168</v>
      </c>
      <c r="E37" s="86" t="s">
        <v>169</v>
      </c>
      <c r="F37" s="86" t="s">
        <v>512</v>
      </c>
      <c r="G37" s="86" t="s">
        <v>512</v>
      </c>
      <c r="I37" s="86" t="s">
        <v>1713</v>
      </c>
      <c r="J37" s="86" t="s">
        <v>1589</v>
      </c>
      <c r="L37" s="86" t="s">
        <v>501</v>
      </c>
      <c r="M37" s="86" t="s">
        <v>515</v>
      </c>
      <c r="N37" s="86" t="s">
        <v>503</v>
      </c>
      <c r="O37" s="86" t="s">
        <v>504</v>
      </c>
      <c r="P37" s="176" t="s">
        <v>172</v>
      </c>
      <c r="Q37" s="86" t="s">
        <v>170</v>
      </c>
      <c r="R37" s="176" t="str">
        <f t="shared" si="0"/>
        <v>Director(a) Familia y Comunidades</v>
      </c>
      <c r="S37" s="87" t="s">
        <v>172</v>
      </c>
      <c r="T37" s="177" t="s">
        <v>522</v>
      </c>
      <c r="U37" s="88">
        <v>22000</v>
      </c>
      <c r="V37" s="136">
        <f>+VLOOKUP(AV37,Hoja1!$P$6:$R$26,3,FALSE)</f>
        <v>8.4210526315789489E-3</v>
      </c>
      <c r="X37" s="89" t="s">
        <v>1564</v>
      </c>
      <c r="Y37" s="89"/>
      <c r="Z37" s="89"/>
      <c r="AA37" s="89" t="s">
        <v>1564</v>
      </c>
      <c r="AB37" s="89" t="s">
        <v>1564</v>
      </c>
      <c r="AC37" s="89"/>
      <c r="AD37" s="89" t="s">
        <v>1564</v>
      </c>
      <c r="AF37" s="89" t="s">
        <v>98</v>
      </c>
      <c r="AG37" s="89" t="s">
        <v>519</v>
      </c>
      <c r="AH37" s="89" t="s">
        <v>84</v>
      </c>
      <c r="AI37" s="89" t="s">
        <v>53</v>
      </c>
      <c r="AJ37" s="89"/>
      <c r="AK37" s="89"/>
      <c r="AL37" s="89"/>
      <c r="AM37" s="89"/>
      <c r="AN37" s="89"/>
      <c r="AO37" s="89"/>
      <c r="AP37" s="90" t="s">
        <v>1564</v>
      </c>
      <c r="AQ37" s="90" t="s">
        <v>1564</v>
      </c>
      <c r="AR37" s="90" t="s">
        <v>1564</v>
      </c>
      <c r="AS37" s="90" t="s">
        <v>1564</v>
      </c>
      <c r="AT37" s="91" t="s">
        <v>1564</v>
      </c>
      <c r="AU37" s="91" t="s">
        <v>1564</v>
      </c>
      <c r="AV37" s="176" t="str">
        <f t="shared" si="1"/>
        <v>Productox</v>
      </c>
    </row>
    <row r="38" spans="1:48" ht="39.75" customHeight="1" x14ac:dyDescent="0.25">
      <c r="A38" s="86">
        <v>3</v>
      </c>
      <c r="B38" s="86" t="s">
        <v>1589</v>
      </c>
      <c r="D38" s="86" t="s">
        <v>168</v>
      </c>
      <c r="E38" s="86" t="s">
        <v>169</v>
      </c>
      <c r="F38" s="86" t="s">
        <v>512</v>
      </c>
      <c r="G38" s="86" t="s">
        <v>512</v>
      </c>
      <c r="I38" s="86" t="s">
        <v>1713</v>
      </c>
      <c r="J38" s="86" t="s">
        <v>1589</v>
      </c>
      <c r="L38" s="86" t="s">
        <v>501</v>
      </c>
      <c r="M38" s="86" t="s">
        <v>515</v>
      </c>
      <c r="N38" s="86" t="s">
        <v>503</v>
      </c>
      <c r="O38" s="86" t="s">
        <v>504</v>
      </c>
      <c r="P38" s="176" t="s">
        <v>173</v>
      </c>
      <c r="Q38" s="86" t="s">
        <v>170</v>
      </c>
      <c r="R38" s="176" t="str">
        <f t="shared" si="0"/>
        <v>Director(a) Familia y Comunidades</v>
      </c>
      <c r="S38" s="87" t="s">
        <v>173</v>
      </c>
      <c r="T38" s="177" t="s">
        <v>174</v>
      </c>
      <c r="U38" s="92">
        <v>0.2</v>
      </c>
      <c r="V38" s="136">
        <f>+VLOOKUP(AV38,Hoja1!$P$6:$R$26,3,FALSE)</f>
        <v>8.4210526315789489E-3</v>
      </c>
      <c r="X38" s="89" t="s">
        <v>1564</v>
      </c>
      <c r="Y38" s="89"/>
      <c r="Z38" s="89"/>
      <c r="AA38" s="89" t="s">
        <v>1564</v>
      </c>
      <c r="AB38" s="89" t="s">
        <v>1564</v>
      </c>
      <c r="AC38" s="89"/>
      <c r="AD38" s="89"/>
      <c r="AF38" s="89" t="s">
        <v>683</v>
      </c>
      <c r="AG38" s="89" t="s">
        <v>519</v>
      </c>
      <c r="AH38" s="89" t="s">
        <v>71</v>
      </c>
      <c r="AI38" s="89" t="s">
        <v>47</v>
      </c>
      <c r="AJ38" s="89"/>
      <c r="AK38" s="89"/>
      <c r="AL38" s="90" t="s">
        <v>1564</v>
      </c>
      <c r="AM38" s="93"/>
      <c r="AN38" s="93"/>
      <c r="AO38" s="90" t="s">
        <v>1564</v>
      </c>
      <c r="AP38" s="93"/>
      <c r="AQ38" s="93"/>
      <c r="AR38" s="90" t="s">
        <v>1564</v>
      </c>
      <c r="AS38" s="93"/>
      <c r="AT38" s="94"/>
      <c r="AU38" s="91" t="s">
        <v>1564</v>
      </c>
      <c r="AV38" s="176" t="str">
        <f t="shared" si="1"/>
        <v>Productox</v>
      </c>
    </row>
    <row r="39" spans="1:48" ht="39.75" customHeight="1" x14ac:dyDescent="0.25">
      <c r="A39" s="86">
        <v>3</v>
      </c>
      <c r="B39" s="86" t="s">
        <v>1589</v>
      </c>
      <c r="D39" s="86" t="s">
        <v>168</v>
      </c>
      <c r="E39" s="86" t="s">
        <v>169</v>
      </c>
      <c r="F39" s="86" t="s">
        <v>512</v>
      </c>
      <c r="G39" s="86" t="s">
        <v>512</v>
      </c>
      <c r="I39" s="86" t="s">
        <v>1713</v>
      </c>
      <c r="J39" s="86" t="s">
        <v>1589</v>
      </c>
      <c r="L39" s="86" t="s">
        <v>501</v>
      </c>
      <c r="M39" s="86" t="s">
        <v>515</v>
      </c>
      <c r="N39" s="86" t="s">
        <v>503</v>
      </c>
      <c r="O39" s="86" t="s">
        <v>504</v>
      </c>
      <c r="P39" s="176" t="s">
        <v>175</v>
      </c>
      <c r="Q39" s="86" t="s">
        <v>170</v>
      </c>
      <c r="R39" s="176" t="str">
        <f t="shared" si="0"/>
        <v>Director(a) Familia y Comunidades</v>
      </c>
      <c r="S39" s="87" t="s">
        <v>175</v>
      </c>
      <c r="T39" s="177" t="s">
        <v>510</v>
      </c>
      <c r="U39" s="88">
        <v>500</v>
      </c>
      <c r="V39" s="136">
        <f>+VLOOKUP(AV39,Hoja1!$P$6:$R$26,3,FALSE)</f>
        <v>9.3023255813953487E-3</v>
      </c>
      <c r="X39" s="89" t="s">
        <v>1564</v>
      </c>
      <c r="Y39" s="89"/>
      <c r="Z39" s="89"/>
      <c r="AA39" s="89" t="s">
        <v>1564</v>
      </c>
      <c r="AB39" s="89" t="s">
        <v>1564</v>
      </c>
      <c r="AC39" s="89"/>
      <c r="AD39" s="89"/>
      <c r="AF39" s="89" t="s">
        <v>98</v>
      </c>
      <c r="AG39" s="89" t="s">
        <v>103</v>
      </c>
      <c r="AH39" s="89" t="s">
        <v>513</v>
      </c>
      <c r="AI39" s="89" t="s">
        <v>54</v>
      </c>
      <c r="AJ39" s="89"/>
      <c r="AK39" s="89"/>
      <c r="AL39" s="89"/>
      <c r="AM39" s="89"/>
      <c r="AN39" s="89"/>
      <c r="AO39" s="89"/>
      <c r="AP39" s="89"/>
      <c r="AQ39" s="90" t="s">
        <v>1564</v>
      </c>
      <c r="AR39" s="93"/>
      <c r="AS39" s="90" t="s">
        <v>1564</v>
      </c>
      <c r="AT39" s="94"/>
      <c r="AU39" s="91" t="s">
        <v>1564</v>
      </c>
      <c r="AV39" s="176" t="str">
        <f t="shared" si="1"/>
        <v>Resultadox</v>
      </c>
    </row>
    <row r="40" spans="1:48" ht="39.75" customHeight="1" x14ac:dyDescent="0.25">
      <c r="A40" s="86">
        <v>3</v>
      </c>
      <c r="B40" s="86" t="s">
        <v>1589</v>
      </c>
      <c r="D40" s="86" t="s">
        <v>168</v>
      </c>
      <c r="E40" s="86" t="s">
        <v>169</v>
      </c>
      <c r="F40" s="86" t="s">
        <v>512</v>
      </c>
      <c r="G40" s="86" t="s">
        <v>512</v>
      </c>
      <c r="I40" s="86" t="s">
        <v>1713</v>
      </c>
      <c r="J40" s="86" t="s">
        <v>1589</v>
      </c>
      <c r="L40" s="86" t="s">
        <v>512</v>
      </c>
      <c r="M40" s="86" t="s">
        <v>512</v>
      </c>
      <c r="N40" s="86" t="s">
        <v>512</v>
      </c>
      <c r="O40" s="86" t="s">
        <v>512</v>
      </c>
      <c r="P40" s="176" t="s">
        <v>1357</v>
      </c>
      <c r="Q40" s="86" t="s">
        <v>170</v>
      </c>
      <c r="R40" s="176" t="str">
        <f t="shared" si="0"/>
        <v>Director(a) Familia y Comunidades</v>
      </c>
      <c r="S40" s="87" t="s">
        <v>1357</v>
      </c>
      <c r="T40" s="177" t="s">
        <v>1355</v>
      </c>
      <c r="U40" s="92">
        <v>1</v>
      </c>
      <c r="V40" s="136">
        <f>+VLOOKUP(AV40,Hoja1!$P$6:$R$26,3,FALSE)</f>
        <v>1.276595744680851E-3</v>
      </c>
      <c r="X40" s="89" t="s">
        <v>1564</v>
      </c>
      <c r="Y40" s="89"/>
      <c r="Z40" s="89"/>
      <c r="AA40" s="89"/>
      <c r="AB40" s="89"/>
      <c r="AC40" s="89"/>
      <c r="AD40" s="89"/>
      <c r="AF40" s="89" t="s">
        <v>683</v>
      </c>
      <c r="AG40" s="89" t="s">
        <v>533</v>
      </c>
      <c r="AH40" s="89" t="s">
        <v>84</v>
      </c>
      <c r="AI40" s="89" t="s">
        <v>47</v>
      </c>
      <c r="AJ40" s="89"/>
      <c r="AK40" s="89"/>
      <c r="AL40" s="90" t="s">
        <v>1564</v>
      </c>
      <c r="AM40" s="90" t="s">
        <v>1564</v>
      </c>
      <c r="AN40" s="90" t="s">
        <v>1564</v>
      </c>
      <c r="AO40" s="90" t="s">
        <v>1564</v>
      </c>
      <c r="AP40" s="90" t="s">
        <v>1564</v>
      </c>
      <c r="AQ40" s="90" t="s">
        <v>1564</v>
      </c>
      <c r="AR40" s="90" t="s">
        <v>1564</v>
      </c>
      <c r="AS40" s="90" t="s">
        <v>1564</v>
      </c>
      <c r="AT40" s="91" t="s">
        <v>1564</v>
      </c>
      <c r="AU40" s="91" t="s">
        <v>1564</v>
      </c>
      <c r="AV40" s="176" t="str">
        <f t="shared" si="1"/>
        <v>Gestión</v>
      </c>
    </row>
    <row r="41" spans="1:48" ht="39.75" customHeight="1" x14ac:dyDescent="0.25">
      <c r="A41" s="86">
        <v>4</v>
      </c>
      <c r="B41" s="86" t="s">
        <v>1590</v>
      </c>
      <c r="D41" s="86" t="s">
        <v>176</v>
      </c>
      <c r="E41" s="86" t="s">
        <v>177</v>
      </c>
      <c r="F41" s="86" t="s">
        <v>512</v>
      </c>
      <c r="G41" s="86" t="s">
        <v>512</v>
      </c>
      <c r="I41" s="86" t="s">
        <v>1714</v>
      </c>
      <c r="J41" s="86" t="s">
        <v>1590</v>
      </c>
      <c r="L41" s="86" t="s">
        <v>501</v>
      </c>
      <c r="M41" s="86" t="s">
        <v>502</v>
      </c>
      <c r="N41" s="86" t="s">
        <v>503</v>
      </c>
      <c r="O41" s="86" t="s">
        <v>504</v>
      </c>
      <c r="P41" s="176" t="s">
        <v>179</v>
      </c>
      <c r="Q41" s="86" t="s">
        <v>178</v>
      </c>
      <c r="R41" s="176" t="str">
        <f t="shared" si="0"/>
        <v>Director(a) Nutrición</v>
      </c>
      <c r="S41" s="87" t="s">
        <v>179</v>
      </c>
      <c r="T41" s="177" t="s">
        <v>180</v>
      </c>
      <c r="U41" s="92">
        <v>0.8</v>
      </c>
      <c r="V41" s="136">
        <f>+VLOOKUP(AV41,Hoja1!$P$6:$R$26,3,FALSE)</f>
        <v>9.3023255813953487E-3</v>
      </c>
      <c r="X41" s="89" t="s">
        <v>1564</v>
      </c>
      <c r="Y41" s="89" t="s">
        <v>1564</v>
      </c>
      <c r="Z41" s="89" t="s">
        <v>1564</v>
      </c>
      <c r="AA41" s="89" t="s">
        <v>1564</v>
      </c>
      <c r="AB41" s="89"/>
      <c r="AC41" s="89"/>
      <c r="AD41" s="89"/>
      <c r="AF41" s="89" t="s">
        <v>98</v>
      </c>
      <c r="AG41" s="89" t="s">
        <v>103</v>
      </c>
      <c r="AH41" s="89" t="s">
        <v>104</v>
      </c>
      <c r="AI41" s="89" t="s">
        <v>50</v>
      </c>
      <c r="AJ41" s="89"/>
      <c r="AK41" s="89"/>
      <c r="AL41" s="89"/>
      <c r="AM41" s="89"/>
      <c r="AN41" s="89"/>
      <c r="AO41" s="90" t="s">
        <v>1564</v>
      </c>
      <c r="AP41" s="93"/>
      <c r="AQ41" s="93"/>
      <c r="AR41" s="93"/>
      <c r="AS41" s="93"/>
      <c r="AT41" s="94"/>
      <c r="AU41" s="91" t="s">
        <v>1564</v>
      </c>
      <c r="AV41" s="176" t="str">
        <f t="shared" si="1"/>
        <v>Resultadox</v>
      </c>
    </row>
    <row r="42" spans="1:48" ht="39.75" customHeight="1" x14ac:dyDescent="0.25">
      <c r="A42" s="86">
        <v>4</v>
      </c>
      <c r="B42" s="86" t="s">
        <v>1590</v>
      </c>
      <c r="D42" s="86" t="s">
        <v>176</v>
      </c>
      <c r="E42" s="86" t="s">
        <v>177</v>
      </c>
      <c r="F42" s="86" t="s">
        <v>512</v>
      </c>
      <c r="G42" s="86" t="s">
        <v>512</v>
      </c>
      <c r="I42" s="86" t="s">
        <v>1714</v>
      </c>
      <c r="J42" s="86" t="s">
        <v>1590</v>
      </c>
      <c r="L42" s="86" t="s">
        <v>501</v>
      </c>
      <c r="M42" s="86" t="s">
        <v>502</v>
      </c>
      <c r="N42" s="86" t="s">
        <v>503</v>
      </c>
      <c r="O42" s="86" t="s">
        <v>504</v>
      </c>
      <c r="P42" s="176" t="s">
        <v>181</v>
      </c>
      <c r="Q42" s="86" t="s">
        <v>178</v>
      </c>
      <c r="R42" s="176" t="str">
        <f t="shared" si="0"/>
        <v>Director(a) Nutrición</v>
      </c>
      <c r="S42" s="87" t="s">
        <v>181</v>
      </c>
      <c r="T42" s="177" t="s">
        <v>182</v>
      </c>
      <c r="U42" s="92">
        <v>0.8</v>
      </c>
      <c r="V42" s="136">
        <f>+VLOOKUP(AV42,Hoja1!$P$6:$R$26,3,FALSE)</f>
        <v>9.3023255813953487E-3</v>
      </c>
      <c r="X42" s="89" t="s">
        <v>1564</v>
      </c>
      <c r="Y42" s="89" t="s">
        <v>1564</v>
      </c>
      <c r="Z42" s="89" t="s">
        <v>1564</v>
      </c>
      <c r="AA42" s="89" t="s">
        <v>1564</v>
      </c>
      <c r="AB42" s="89"/>
      <c r="AC42" s="89"/>
      <c r="AD42" s="89"/>
      <c r="AF42" s="89" t="s">
        <v>98</v>
      </c>
      <c r="AG42" s="89" t="s">
        <v>103</v>
      </c>
      <c r="AH42" s="89" t="s">
        <v>104</v>
      </c>
      <c r="AI42" s="89" t="s">
        <v>50</v>
      </c>
      <c r="AJ42" s="89"/>
      <c r="AK42" s="89"/>
      <c r="AL42" s="89"/>
      <c r="AM42" s="89"/>
      <c r="AN42" s="89"/>
      <c r="AO42" s="90" t="s">
        <v>1564</v>
      </c>
      <c r="AP42" s="93"/>
      <c r="AQ42" s="93"/>
      <c r="AR42" s="93"/>
      <c r="AS42" s="93"/>
      <c r="AT42" s="94"/>
      <c r="AU42" s="91" t="s">
        <v>1564</v>
      </c>
      <c r="AV42" s="176" t="str">
        <f t="shared" si="1"/>
        <v>Resultadox</v>
      </c>
    </row>
    <row r="43" spans="1:48" ht="39.75" customHeight="1" x14ac:dyDescent="0.25">
      <c r="A43" s="86">
        <v>4</v>
      </c>
      <c r="B43" s="86" t="s">
        <v>1590</v>
      </c>
      <c r="D43" s="86" t="s">
        <v>176</v>
      </c>
      <c r="E43" s="86" t="s">
        <v>177</v>
      </c>
      <c r="F43" s="86" t="s">
        <v>512</v>
      </c>
      <c r="G43" s="86" t="s">
        <v>512</v>
      </c>
      <c r="I43" s="86" t="s">
        <v>1714</v>
      </c>
      <c r="J43" s="86" t="s">
        <v>1590</v>
      </c>
      <c r="L43" s="86" t="s">
        <v>501</v>
      </c>
      <c r="M43" s="86" t="s">
        <v>502</v>
      </c>
      <c r="N43" s="86" t="s">
        <v>503</v>
      </c>
      <c r="O43" s="86" t="s">
        <v>504</v>
      </c>
      <c r="P43" s="176" t="s">
        <v>183</v>
      </c>
      <c r="Q43" s="86" t="s">
        <v>178</v>
      </c>
      <c r="R43" s="176" t="str">
        <f t="shared" si="0"/>
        <v>Director(a) Nutrición</v>
      </c>
      <c r="S43" s="87" t="s">
        <v>183</v>
      </c>
      <c r="T43" s="177" t="s">
        <v>656</v>
      </c>
      <c r="U43" s="88">
        <v>22000</v>
      </c>
      <c r="V43" s="136">
        <f>+VLOOKUP(AV43,Hoja1!$P$6:$R$26,3,FALSE)</f>
        <v>5.5813953488372094E-3</v>
      </c>
      <c r="X43" s="89" t="s">
        <v>1564</v>
      </c>
      <c r="Y43" s="89"/>
      <c r="Z43" s="89"/>
      <c r="AA43" s="89" t="s">
        <v>1564</v>
      </c>
      <c r="AB43" s="89" t="s">
        <v>1564</v>
      </c>
      <c r="AC43" s="89"/>
      <c r="AD43" s="89"/>
      <c r="AF43" s="89" t="s">
        <v>683</v>
      </c>
      <c r="AG43" s="89" t="s">
        <v>533</v>
      </c>
      <c r="AH43" s="89" t="s">
        <v>84</v>
      </c>
      <c r="AI43" s="89" t="s">
        <v>46</v>
      </c>
      <c r="AJ43" s="90" t="s">
        <v>1564</v>
      </c>
      <c r="AK43" s="90" t="s">
        <v>1564</v>
      </c>
      <c r="AL43" s="90" t="s">
        <v>1564</v>
      </c>
      <c r="AM43" s="90" t="s">
        <v>1564</v>
      </c>
      <c r="AN43" s="90" t="s">
        <v>1564</v>
      </c>
      <c r="AO43" s="90" t="s">
        <v>1564</v>
      </c>
      <c r="AP43" s="90" t="s">
        <v>1564</v>
      </c>
      <c r="AQ43" s="90" t="s">
        <v>1564</v>
      </c>
      <c r="AR43" s="90" t="s">
        <v>1564</v>
      </c>
      <c r="AS43" s="90" t="s">
        <v>1564</v>
      </c>
      <c r="AT43" s="91" t="s">
        <v>1564</v>
      </c>
      <c r="AU43" s="91" t="s">
        <v>1564</v>
      </c>
      <c r="AV43" s="176" t="str">
        <f t="shared" si="1"/>
        <v>Gestiónx</v>
      </c>
    </row>
    <row r="44" spans="1:48" ht="39.75" customHeight="1" x14ac:dyDescent="0.25">
      <c r="A44" s="86">
        <v>4</v>
      </c>
      <c r="B44" s="86" t="s">
        <v>1590</v>
      </c>
      <c r="D44" s="86" t="s">
        <v>176</v>
      </c>
      <c r="E44" s="86" t="s">
        <v>177</v>
      </c>
      <c r="F44" s="86" t="s">
        <v>512</v>
      </c>
      <c r="G44" s="86" t="s">
        <v>512</v>
      </c>
      <c r="I44" s="86" t="s">
        <v>1714</v>
      </c>
      <c r="J44" s="86" t="s">
        <v>1590</v>
      </c>
      <c r="L44" s="86" t="s">
        <v>501</v>
      </c>
      <c r="M44" s="86" t="s">
        <v>502</v>
      </c>
      <c r="N44" s="86" t="s">
        <v>503</v>
      </c>
      <c r="O44" s="86" t="s">
        <v>504</v>
      </c>
      <c r="P44" s="176" t="s">
        <v>184</v>
      </c>
      <c r="Q44" s="86" t="s">
        <v>178</v>
      </c>
      <c r="R44" s="176" t="str">
        <f t="shared" si="0"/>
        <v>Director(a) Nutrición</v>
      </c>
      <c r="S44" s="87" t="s">
        <v>184</v>
      </c>
      <c r="T44" s="177" t="s">
        <v>657</v>
      </c>
      <c r="U44" s="88">
        <v>22000</v>
      </c>
      <c r="V44" s="136">
        <f>+VLOOKUP(AV44,Hoja1!$P$6:$R$26,3,FALSE)</f>
        <v>5.5813953488372094E-3</v>
      </c>
      <c r="X44" s="89" t="s">
        <v>1564</v>
      </c>
      <c r="Y44" s="89"/>
      <c r="Z44" s="89"/>
      <c r="AA44" s="89" t="s">
        <v>1564</v>
      </c>
      <c r="AB44" s="89" t="s">
        <v>1564</v>
      </c>
      <c r="AC44" s="89"/>
      <c r="AD44" s="89"/>
      <c r="AF44" s="89" t="s">
        <v>683</v>
      </c>
      <c r="AG44" s="89" t="s">
        <v>533</v>
      </c>
      <c r="AH44" s="89" t="s">
        <v>84</v>
      </c>
      <c r="AI44" s="89" t="s">
        <v>40</v>
      </c>
      <c r="AJ44" s="89"/>
      <c r="AK44" s="90" t="s">
        <v>1564</v>
      </c>
      <c r="AL44" s="90" t="s">
        <v>1564</v>
      </c>
      <c r="AM44" s="90" t="s">
        <v>1564</v>
      </c>
      <c r="AN44" s="90" t="s">
        <v>1564</v>
      </c>
      <c r="AO44" s="90" t="s">
        <v>1564</v>
      </c>
      <c r="AP44" s="90" t="s">
        <v>1564</v>
      </c>
      <c r="AQ44" s="90" t="s">
        <v>1564</v>
      </c>
      <c r="AR44" s="90" t="s">
        <v>1564</v>
      </c>
      <c r="AS44" s="90" t="s">
        <v>1564</v>
      </c>
      <c r="AT44" s="91" t="s">
        <v>1564</v>
      </c>
      <c r="AU44" s="91" t="s">
        <v>1564</v>
      </c>
      <c r="AV44" s="176" t="str">
        <f t="shared" si="1"/>
        <v>Gestiónx</v>
      </c>
    </row>
    <row r="45" spans="1:48" ht="39.75" customHeight="1" x14ac:dyDescent="0.25">
      <c r="A45" s="86">
        <v>4</v>
      </c>
      <c r="B45" s="86" t="s">
        <v>1590</v>
      </c>
      <c r="D45" s="86" t="s">
        <v>176</v>
      </c>
      <c r="E45" s="86" t="s">
        <v>177</v>
      </c>
      <c r="F45" s="86" t="s">
        <v>512</v>
      </c>
      <c r="G45" s="86" t="s">
        <v>512</v>
      </c>
      <c r="I45" s="86" t="s">
        <v>1714</v>
      </c>
      <c r="J45" s="86" t="s">
        <v>1590</v>
      </c>
      <c r="L45" s="86" t="s">
        <v>501</v>
      </c>
      <c r="M45" s="86" t="s">
        <v>502</v>
      </c>
      <c r="N45" s="86" t="s">
        <v>503</v>
      </c>
      <c r="O45" s="86" t="s">
        <v>504</v>
      </c>
      <c r="P45" s="176" t="s">
        <v>185</v>
      </c>
      <c r="Q45" s="86" t="s">
        <v>178</v>
      </c>
      <c r="R45" s="176" t="str">
        <f t="shared" si="0"/>
        <v>Director(a) Nutrición</v>
      </c>
      <c r="S45" s="87" t="s">
        <v>185</v>
      </c>
      <c r="T45" s="177" t="s">
        <v>186</v>
      </c>
      <c r="U45" s="92">
        <v>0.7</v>
      </c>
      <c r="V45" s="136">
        <f>+VLOOKUP(AV45,Hoja1!$P$6:$R$26,3,FALSE)</f>
        <v>9.3023255813953487E-3</v>
      </c>
      <c r="X45" s="89" t="s">
        <v>1564</v>
      </c>
      <c r="Y45" s="89" t="s">
        <v>1564</v>
      </c>
      <c r="Z45" s="89" t="s">
        <v>1564</v>
      </c>
      <c r="AA45" s="89" t="s">
        <v>1564</v>
      </c>
      <c r="AB45" s="89" t="s">
        <v>1564</v>
      </c>
      <c r="AC45" s="89"/>
      <c r="AD45" s="89"/>
      <c r="AF45" s="89" t="s">
        <v>98</v>
      </c>
      <c r="AG45" s="89" t="s">
        <v>103</v>
      </c>
      <c r="AH45" s="89" t="s">
        <v>104</v>
      </c>
      <c r="AI45" s="89" t="s">
        <v>50</v>
      </c>
      <c r="AJ45" s="89"/>
      <c r="AK45" s="89"/>
      <c r="AL45" s="89"/>
      <c r="AM45" s="89"/>
      <c r="AN45" s="89"/>
      <c r="AO45" s="90" t="s">
        <v>1564</v>
      </c>
      <c r="AP45" s="93"/>
      <c r="AQ45" s="93"/>
      <c r="AR45" s="93"/>
      <c r="AS45" s="93"/>
      <c r="AT45" s="94"/>
      <c r="AU45" s="91" t="s">
        <v>1564</v>
      </c>
      <c r="AV45" s="176" t="str">
        <f t="shared" si="1"/>
        <v>Resultadox</v>
      </c>
    </row>
    <row r="46" spans="1:48" ht="39.75" customHeight="1" x14ac:dyDescent="0.25">
      <c r="A46" s="86">
        <v>4</v>
      </c>
      <c r="B46" s="86" t="s">
        <v>1590</v>
      </c>
      <c r="D46" s="86" t="s">
        <v>176</v>
      </c>
      <c r="E46" s="86" t="s">
        <v>177</v>
      </c>
      <c r="F46" s="86" t="s">
        <v>512</v>
      </c>
      <c r="G46" s="86" t="s">
        <v>512</v>
      </c>
      <c r="I46" s="86" t="s">
        <v>1714</v>
      </c>
      <c r="J46" s="86" t="s">
        <v>1590</v>
      </c>
      <c r="L46" s="86" t="s">
        <v>501</v>
      </c>
      <c r="M46" s="86" t="s">
        <v>502</v>
      </c>
      <c r="N46" s="86" t="s">
        <v>503</v>
      </c>
      <c r="O46" s="86" t="s">
        <v>504</v>
      </c>
      <c r="P46" s="176" t="s">
        <v>187</v>
      </c>
      <c r="Q46" s="86" t="s">
        <v>178</v>
      </c>
      <c r="R46" s="176" t="str">
        <f t="shared" si="0"/>
        <v>Director(a) Nutrición</v>
      </c>
      <c r="S46" s="87" t="s">
        <v>187</v>
      </c>
      <c r="T46" s="177" t="s">
        <v>2117</v>
      </c>
      <c r="U46" s="92">
        <v>0.8</v>
      </c>
      <c r="V46" s="136">
        <f>+VLOOKUP(AV46,Hoja1!$P$6:$R$26,3,FALSE)</f>
        <v>9.3023255813953487E-3</v>
      </c>
      <c r="X46" s="89" t="s">
        <v>1564</v>
      </c>
      <c r="Y46" s="89" t="s">
        <v>1564</v>
      </c>
      <c r="Z46" s="89" t="s">
        <v>1564</v>
      </c>
      <c r="AA46" s="89" t="s">
        <v>1564</v>
      </c>
      <c r="AB46" s="89" t="s">
        <v>1564</v>
      </c>
      <c r="AC46" s="89"/>
      <c r="AD46" s="89"/>
      <c r="AF46" s="89" t="s">
        <v>98</v>
      </c>
      <c r="AG46" s="89" t="s">
        <v>103</v>
      </c>
      <c r="AH46" s="89" t="s">
        <v>104</v>
      </c>
      <c r="AI46" s="89" t="s">
        <v>50</v>
      </c>
      <c r="AJ46" s="89"/>
      <c r="AK46" s="89"/>
      <c r="AL46" s="89"/>
      <c r="AM46" s="89"/>
      <c r="AN46" s="89"/>
      <c r="AO46" s="90" t="s">
        <v>1564</v>
      </c>
      <c r="AP46" s="93"/>
      <c r="AQ46" s="93"/>
      <c r="AR46" s="93"/>
      <c r="AS46" s="93"/>
      <c r="AT46" s="94"/>
      <c r="AU46" s="91" t="s">
        <v>1564</v>
      </c>
      <c r="AV46" s="176" t="str">
        <f t="shared" si="1"/>
        <v>Resultadox</v>
      </c>
    </row>
    <row r="47" spans="1:48" ht="39.75" customHeight="1" x14ac:dyDescent="0.25">
      <c r="A47" s="86">
        <v>4</v>
      </c>
      <c r="B47" s="86" t="s">
        <v>1590</v>
      </c>
      <c r="D47" s="86" t="s">
        <v>176</v>
      </c>
      <c r="E47" s="86" t="s">
        <v>177</v>
      </c>
      <c r="F47" s="86" t="s">
        <v>512</v>
      </c>
      <c r="G47" s="86" t="s">
        <v>512</v>
      </c>
      <c r="I47" s="86" t="s">
        <v>1714</v>
      </c>
      <c r="J47" s="86" t="s">
        <v>1590</v>
      </c>
      <c r="L47" s="86" t="s">
        <v>501</v>
      </c>
      <c r="M47" s="86" t="s">
        <v>502</v>
      </c>
      <c r="N47" s="86" t="s">
        <v>503</v>
      </c>
      <c r="O47" s="86" t="s">
        <v>504</v>
      </c>
      <c r="P47" s="176" t="s">
        <v>188</v>
      </c>
      <c r="Q47" s="86" t="s">
        <v>178</v>
      </c>
      <c r="R47" s="176" t="str">
        <f t="shared" si="0"/>
        <v>Director(a) Nutrición</v>
      </c>
      <c r="S47" s="87" t="s">
        <v>188</v>
      </c>
      <c r="T47" s="177" t="s">
        <v>658</v>
      </c>
      <c r="U47" s="88">
        <v>16</v>
      </c>
      <c r="V47" s="136">
        <f>+VLOOKUP(AV47,Hoja1!$P$6:$R$26,3,FALSE)</f>
        <v>8.4210526315789489E-3</v>
      </c>
      <c r="X47" s="89" t="s">
        <v>1564</v>
      </c>
      <c r="Y47" s="89"/>
      <c r="Z47" s="89"/>
      <c r="AA47" s="89" t="s">
        <v>1564</v>
      </c>
      <c r="AB47" s="89" t="s">
        <v>1564</v>
      </c>
      <c r="AC47" s="89"/>
      <c r="AD47" s="89"/>
      <c r="AF47" s="89" t="s">
        <v>98</v>
      </c>
      <c r="AG47" s="89" t="s">
        <v>519</v>
      </c>
      <c r="AH47" s="89" t="s">
        <v>104</v>
      </c>
      <c r="AI47" s="89" t="s">
        <v>50</v>
      </c>
      <c r="AJ47" s="89"/>
      <c r="AK47" s="89"/>
      <c r="AL47" s="89"/>
      <c r="AM47" s="89"/>
      <c r="AN47" s="89"/>
      <c r="AO47" s="90" t="s">
        <v>1564</v>
      </c>
      <c r="AP47" s="93"/>
      <c r="AQ47" s="93"/>
      <c r="AR47" s="93"/>
      <c r="AS47" s="93"/>
      <c r="AT47" s="94"/>
      <c r="AU47" s="91" t="s">
        <v>1564</v>
      </c>
      <c r="AV47" s="176" t="str">
        <f t="shared" si="1"/>
        <v>Productox</v>
      </c>
    </row>
    <row r="48" spans="1:48" ht="39.75" customHeight="1" x14ac:dyDescent="0.25">
      <c r="A48" s="86">
        <v>4</v>
      </c>
      <c r="B48" s="86" t="s">
        <v>1590</v>
      </c>
      <c r="D48" s="86" t="s">
        <v>176</v>
      </c>
      <c r="E48" s="86" t="s">
        <v>177</v>
      </c>
      <c r="F48" s="86" t="s">
        <v>512</v>
      </c>
      <c r="G48" s="86" t="s">
        <v>512</v>
      </c>
      <c r="I48" s="86" t="s">
        <v>1714</v>
      </c>
      <c r="J48" s="86" t="s">
        <v>1590</v>
      </c>
      <c r="L48" s="86" t="s">
        <v>501</v>
      </c>
      <c r="M48" s="86" t="s">
        <v>502</v>
      </c>
      <c r="N48" s="86" t="s">
        <v>503</v>
      </c>
      <c r="O48" s="86" t="s">
        <v>504</v>
      </c>
      <c r="P48" s="176" t="s">
        <v>189</v>
      </c>
      <c r="Q48" s="86" t="s">
        <v>178</v>
      </c>
      <c r="R48" s="176" t="str">
        <f t="shared" si="0"/>
        <v>Director(a) Nutrición</v>
      </c>
      <c r="S48" s="87" t="s">
        <v>189</v>
      </c>
      <c r="T48" s="177" t="s">
        <v>659</v>
      </c>
      <c r="U48" s="88">
        <v>1050</v>
      </c>
      <c r="V48" s="136">
        <f>+VLOOKUP(AV48,Hoja1!$P$6:$R$26,3,FALSE)</f>
        <v>8.4210526315789489E-3</v>
      </c>
      <c r="X48" s="89" t="s">
        <v>1564</v>
      </c>
      <c r="Y48" s="89"/>
      <c r="Z48" s="89"/>
      <c r="AA48" s="89" t="s">
        <v>1564</v>
      </c>
      <c r="AB48" s="89" t="s">
        <v>1564</v>
      </c>
      <c r="AC48" s="89"/>
      <c r="AD48" s="89"/>
      <c r="AF48" s="89" t="s">
        <v>98</v>
      </c>
      <c r="AG48" s="89" t="s">
        <v>519</v>
      </c>
      <c r="AH48" s="89" t="s">
        <v>104</v>
      </c>
      <c r="AI48" s="89" t="s">
        <v>50</v>
      </c>
      <c r="AJ48" s="89"/>
      <c r="AK48" s="89"/>
      <c r="AL48" s="89"/>
      <c r="AM48" s="89"/>
      <c r="AN48" s="89"/>
      <c r="AO48" s="90" t="s">
        <v>1564</v>
      </c>
      <c r="AP48" s="93"/>
      <c r="AQ48" s="93"/>
      <c r="AR48" s="93"/>
      <c r="AS48" s="93"/>
      <c r="AT48" s="94"/>
      <c r="AU48" s="91" t="s">
        <v>1564</v>
      </c>
      <c r="AV48" s="176" t="str">
        <f t="shared" si="1"/>
        <v>Productox</v>
      </c>
    </row>
    <row r="49" spans="1:63" ht="39.75" customHeight="1" x14ac:dyDescent="0.25">
      <c r="A49" s="86">
        <v>4</v>
      </c>
      <c r="B49" s="86" t="s">
        <v>1590</v>
      </c>
      <c r="D49" s="86" t="s">
        <v>176</v>
      </c>
      <c r="E49" s="86" t="s">
        <v>177</v>
      </c>
      <c r="F49" s="86" t="s">
        <v>512</v>
      </c>
      <c r="G49" s="86" t="s">
        <v>512</v>
      </c>
      <c r="I49" s="86" t="s">
        <v>1714</v>
      </c>
      <c r="J49" s="86" t="s">
        <v>1590</v>
      </c>
      <c r="L49" s="86" t="s">
        <v>501</v>
      </c>
      <c r="M49" s="86" t="s">
        <v>502</v>
      </c>
      <c r="N49" s="86" t="s">
        <v>503</v>
      </c>
      <c r="O49" s="86" t="s">
        <v>504</v>
      </c>
      <c r="P49" s="176" t="s">
        <v>190</v>
      </c>
      <c r="Q49" s="86" t="s">
        <v>178</v>
      </c>
      <c r="R49" s="176" t="str">
        <f t="shared" si="0"/>
        <v>Director(a) Nutrición</v>
      </c>
      <c r="S49" s="87" t="s">
        <v>190</v>
      </c>
      <c r="T49" s="177" t="s">
        <v>660</v>
      </c>
      <c r="U49" s="88">
        <v>40000</v>
      </c>
      <c r="V49" s="136">
        <f>+VLOOKUP(AV49,Hoja1!$P$6:$R$26,3,FALSE)</f>
        <v>8.4210526315789489E-3</v>
      </c>
      <c r="X49" s="89" t="s">
        <v>1564</v>
      </c>
      <c r="Y49" s="89"/>
      <c r="Z49" s="89"/>
      <c r="AA49" s="89" t="s">
        <v>1564</v>
      </c>
      <c r="AB49" s="89" t="s">
        <v>1564</v>
      </c>
      <c r="AC49" s="89"/>
      <c r="AD49" s="89" t="s">
        <v>1564</v>
      </c>
      <c r="AF49" s="89" t="s">
        <v>98</v>
      </c>
      <c r="AG49" s="89" t="s">
        <v>519</v>
      </c>
      <c r="AH49" s="89" t="s">
        <v>104</v>
      </c>
      <c r="AI49" s="89" t="s">
        <v>50</v>
      </c>
      <c r="AJ49" s="89"/>
      <c r="AK49" s="89"/>
      <c r="AL49" s="89"/>
      <c r="AM49" s="89"/>
      <c r="AN49" s="89"/>
      <c r="AO49" s="90" t="s">
        <v>1564</v>
      </c>
      <c r="AP49" s="93"/>
      <c r="AQ49" s="93"/>
      <c r="AR49" s="93"/>
      <c r="AS49" s="93"/>
      <c r="AT49" s="94"/>
      <c r="AU49" s="91" t="s">
        <v>1564</v>
      </c>
      <c r="AV49" s="176" t="str">
        <f t="shared" si="1"/>
        <v>Productox</v>
      </c>
    </row>
    <row r="50" spans="1:63" ht="39.75" customHeight="1" x14ac:dyDescent="0.25">
      <c r="A50" s="86">
        <v>4</v>
      </c>
      <c r="B50" s="86" t="s">
        <v>1590</v>
      </c>
      <c r="D50" s="86" t="s">
        <v>176</v>
      </c>
      <c r="E50" s="86" t="s">
        <v>177</v>
      </c>
      <c r="F50" s="86" t="s">
        <v>512</v>
      </c>
      <c r="G50" s="86" t="s">
        <v>512</v>
      </c>
      <c r="I50" s="86" t="s">
        <v>1714</v>
      </c>
      <c r="J50" s="86" t="s">
        <v>1590</v>
      </c>
      <c r="L50" s="86" t="s">
        <v>512</v>
      </c>
      <c r="M50" s="86" t="s">
        <v>512</v>
      </c>
      <c r="N50" s="86" t="s">
        <v>512</v>
      </c>
      <c r="O50" s="86" t="s">
        <v>512</v>
      </c>
      <c r="P50" s="176" t="s">
        <v>191</v>
      </c>
      <c r="Q50" s="86" t="s">
        <v>178</v>
      </c>
      <c r="R50" s="176" t="str">
        <f t="shared" si="0"/>
        <v>Director(a) Nutrición</v>
      </c>
      <c r="S50" s="87" t="s">
        <v>191</v>
      </c>
      <c r="T50" s="177" t="s">
        <v>1583</v>
      </c>
      <c r="U50" s="92">
        <v>0.8</v>
      </c>
      <c r="V50" s="136">
        <f>+VLOOKUP(AV50,Hoja1!$P$6:$R$26,3,FALSE)</f>
        <v>3.7499999999999999E-3</v>
      </c>
      <c r="X50" s="89" t="s">
        <v>1564</v>
      </c>
      <c r="Y50" s="89" t="s">
        <v>1564</v>
      </c>
      <c r="Z50" s="89" t="s">
        <v>1564</v>
      </c>
      <c r="AA50" s="89"/>
      <c r="AB50" s="89"/>
      <c r="AC50" s="89"/>
      <c r="AD50" s="89"/>
      <c r="AF50" s="89" t="s">
        <v>98</v>
      </c>
      <c r="AG50" s="89" t="s">
        <v>103</v>
      </c>
      <c r="AH50" s="89" t="s">
        <v>104</v>
      </c>
      <c r="AI50" s="89" t="s">
        <v>50</v>
      </c>
      <c r="AJ50" s="89"/>
      <c r="AK50" s="89"/>
      <c r="AL50" s="89"/>
      <c r="AM50" s="89"/>
      <c r="AN50" s="89"/>
      <c r="AO50" s="90" t="s">
        <v>1564</v>
      </c>
      <c r="AP50" s="93"/>
      <c r="AQ50" s="93"/>
      <c r="AR50" s="93"/>
      <c r="AS50" s="93"/>
      <c r="AT50" s="94"/>
      <c r="AU50" s="91" t="s">
        <v>1564</v>
      </c>
      <c r="AV50" s="176" t="str">
        <f t="shared" si="1"/>
        <v>Resultado</v>
      </c>
    </row>
    <row r="51" spans="1:63" ht="39.75" customHeight="1" x14ac:dyDescent="0.25">
      <c r="A51" s="86">
        <v>4</v>
      </c>
      <c r="B51" s="86" t="s">
        <v>1590</v>
      </c>
      <c r="D51" s="86" t="s">
        <v>176</v>
      </c>
      <c r="E51" s="86" t="s">
        <v>177</v>
      </c>
      <c r="F51" s="86" t="s">
        <v>512</v>
      </c>
      <c r="G51" s="86" t="s">
        <v>512</v>
      </c>
      <c r="I51" s="86" t="s">
        <v>1714</v>
      </c>
      <c r="J51" s="86" t="s">
        <v>1590</v>
      </c>
      <c r="L51" s="86" t="s">
        <v>512</v>
      </c>
      <c r="M51" s="86" t="s">
        <v>512</v>
      </c>
      <c r="N51" s="86" t="s">
        <v>512</v>
      </c>
      <c r="O51" s="86" t="s">
        <v>512</v>
      </c>
      <c r="P51" s="176" t="s">
        <v>192</v>
      </c>
      <c r="Q51" s="86" t="s">
        <v>178</v>
      </c>
      <c r="R51" s="176" t="str">
        <f t="shared" si="0"/>
        <v>Director(a) Nutrición</v>
      </c>
      <c r="S51" s="87" t="s">
        <v>192</v>
      </c>
      <c r="T51" s="177" t="s">
        <v>193</v>
      </c>
      <c r="U51" s="92">
        <v>0.75</v>
      </c>
      <c r="V51" s="136">
        <f>+VLOOKUP(AV51,Hoja1!$P$6:$R$26,3,FALSE)</f>
        <v>3.7499999999999999E-3</v>
      </c>
      <c r="X51" s="89" t="s">
        <v>1564</v>
      </c>
      <c r="Y51" s="89" t="s">
        <v>1564</v>
      </c>
      <c r="Z51" s="89" t="s">
        <v>1564</v>
      </c>
      <c r="AA51" s="89"/>
      <c r="AB51" s="89"/>
      <c r="AC51" s="89"/>
      <c r="AD51" s="89"/>
      <c r="AF51" s="89" t="s">
        <v>98</v>
      </c>
      <c r="AG51" s="89" t="s">
        <v>103</v>
      </c>
      <c r="AH51" s="89" t="s">
        <v>104</v>
      </c>
      <c r="AI51" s="89" t="s">
        <v>50</v>
      </c>
      <c r="AJ51" s="89"/>
      <c r="AK51" s="89"/>
      <c r="AL51" s="89"/>
      <c r="AM51" s="89"/>
      <c r="AN51" s="89"/>
      <c r="AO51" s="90" t="s">
        <v>1564</v>
      </c>
      <c r="AP51" s="93"/>
      <c r="AQ51" s="93"/>
      <c r="AR51" s="93"/>
      <c r="AS51" s="93"/>
      <c r="AT51" s="94"/>
      <c r="AU51" s="91" t="s">
        <v>1564</v>
      </c>
      <c r="AV51" s="176" t="str">
        <f t="shared" si="1"/>
        <v>Resultado</v>
      </c>
    </row>
    <row r="52" spans="1:63" ht="39.75" customHeight="1" x14ac:dyDescent="0.25">
      <c r="A52" s="86">
        <v>4</v>
      </c>
      <c r="B52" s="86" t="s">
        <v>1590</v>
      </c>
      <c r="D52" s="86" t="s">
        <v>176</v>
      </c>
      <c r="E52" s="86" t="s">
        <v>177</v>
      </c>
      <c r="F52" s="86" t="s">
        <v>512</v>
      </c>
      <c r="G52" s="86" t="s">
        <v>512</v>
      </c>
      <c r="I52" s="86" t="s">
        <v>1714</v>
      </c>
      <c r="J52" s="86" t="s">
        <v>1590</v>
      </c>
      <c r="L52" s="86" t="s">
        <v>512</v>
      </c>
      <c r="M52" s="86" t="s">
        <v>512</v>
      </c>
      <c r="N52" s="86" t="s">
        <v>512</v>
      </c>
      <c r="O52" s="86" t="s">
        <v>512</v>
      </c>
      <c r="P52" s="176" t="s">
        <v>196</v>
      </c>
      <c r="Q52" s="86" t="s">
        <v>178</v>
      </c>
      <c r="R52" s="176" t="str">
        <f t="shared" si="0"/>
        <v>Director(a) Nutrición</v>
      </c>
      <c r="S52" s="87" t="s">
        <v>196</v>
      </c>
      <c r="T52" s="177" t="s">
        <v>197</v>
      </c>
      <c r="U52" s="92">
        <v>0.4</v>
      </c>
      <c r="V52" s="136">
        <f>+VLOOKUP(AV52,Hoja1!$P$6:$R$26,3,FALSE)</f>
        <v>3.7499999999999999E-3</v>
      </c>
      <c r="X52" s="89" t="s">
        <v>1564</v>
      </c>
      <c r="Y52" s="89" t="s">
        <v>1564</v>
      </c>
      <c r="Z52" s="89" t="s">
        <v>1564</v>
      </c>
      <c r="AA52" s="89"/>
      <c r="AB52" s="89"/>
      <c r="AC52" s="89"/>
      <c r="AD52" s="89"/>
      <c r="AF52" s="89" t="s">
        <v>98</v>
      </c>
      <c r="AG52" s="89" t="s">
        <v>103</v>
      </c>
      <c r="AH52" s="89" t="s">
        <v>104</v>
      </c>
      <c r="AI52" s="89" t="s">
        <v>50</v>
      </c>
      <c r="AJ52" s="89"/>
      <c r="AK52" s="89"/>
      <c r="AL52" s="89"/>
      <c r="AM52" s="89"/>
      <c r="AN52" s="89"/>
      <c r="AO52" s="90" t="s">
        <v>1564</v>
      </c>
      <c r="AP52" s="93"/>
      <c r="AQ52" s="93"/>
      <c r="AR52" s="93"/>
      <c r="AS52" s="93"/>
      <c r="AT52" s="94"/>
      <c r="AU52" s="91" t="s">
        <v>1564</v>
      </c>
      <c r="AV52" s="176" t="str">
        <f t="shared" si="1"/>
        <v>Resultado</v>
      </c>
    </row>
    <row r="53" spans="1:63" ht="39.75" customHeight="1" x14ac:dyDescent="0.25">
      <c r="A53" s="86">
        <v>4</v>
      </c>
      <c r="B53" s="86" t="s">
        <v>1590</v>
      </c>
      <c r="D53" s="86" t="s">
        <v>176</v>
      </c>
      <c r="E53" s="86" t="s">
        <v>177</v>
      </c>
      <c r="F53" s="86" t="s">
        <v>512</v>
      </c>
      <c r="G53" s="86" t="s">
        <v>512</v>
      </c>
      <c r="I53" s="86" t="s">
        <v>1714</v>
      </c>
      <c r="J53" s="86" t="s">
        <v>1590</v>
      </c>
      <c r="L53" s="86" t="s">
        <v>512</v>
      </c>
      <c r="M53" s="86" t="s">
        <v>512</v>
      </c>
      <c r="N53" s="86" t="s">
        <v>512</v>
      </c>
      <c r="O53" s="86" t="s">
        <v>512</v>
      </c>
      <c r="P53" s="176" t="s">
        <v>201</v>
      </c>
      <c r="Q53" s="86" t="s">
        <v>178</v>
      </c>
      <c r="R53" s="176" t="str">
        <f t="shared" si="0"/>
        <v>Director(a) Nutrición</v>
      </c>
      <c r="S53" s="87" t="s">
        <v>201</v>
      </c>
      <c r="T53" s="177" t="s">
        <v>1584</v>
      </c>
      <c r="U53" s="92">
        <v>0.8</v>
      </c>
      <c r="V53" s="136">
        <f>+VLOOKUP(AV53,Hoja1!$P$6:$R$26,3,FALSE)</f>
        <v>3.7499999999999999E-3</v>
      </c>
      <c r="X53" s="89" t="s">
        <v>1564</v>
      </c>
      <c r="Y53" s="89" t="s">
        <v>1564</v>
      </c>
      <c r="Z53" s="89" t="s">
        <v>1564</v>
      </c>
      <c r="AA53" s="89"/>
      <c r="AB53" s="89"/>
      <c r="AC53" s="89"/>
      <c r="AD53" s="89"/>
      <c r="AF53" s="89" t="s">
        <v>98</v>
      </c>
      <c r="AG53" s="89" t="s">
        <v>103</v>
      </c>
      <c r="AH53" s="89" t="s">
        <v>104</v>
      </c>
      <c r="AI53" s="89" t="s">
        <v>50</v>
      </c>
      <c r="AJ53" s="89"/>
      <c r="AK53" s="89"/>
      <c r="AL53" s="89"/>
      <c r="AM53" s="89"/>
      <c r="AN53" s="89"/>
      <c r="AO53" s="90" t="s">
        <v>1564</v>
      </c>
      <c r="AP53" s="93"/>
      <c r="AQ53" s="93"/>
      <c r="AR53" s="93"/>
      <c r="AS53" s="93"/>
      <c r="AT53" s="94"/>
      <c r="AU53" s="91" t="s">
        <v>1564</v>
      </c>
      <c r="AV53" s="176" t="str">
        <f t="shared" si="1"/>
        <v>Resultado</v>
      </c>
    </row>
    <row r="54" spans="1:63" ht="39.75" customHeight="1" x14ac:dyDescent="0.25">
      <c r="A54" s="86">
        <v>4</v>
      </c>
      <c r="B54" s="86" t="s">
        <v>1590</v>
      </c>
      <c r="D54" s="86" t="s">
        <v>176</v>
      </c>
      <c r="E54" s="86" t="s">
        <v>177</v>
      </c>
      <c r="F54" s="86" t="s">
        <v>512</v>
      </c>
      <c r="G54" s="86" t="s">
        <v>512</v>
      </c>
      <c r="I54" s="86" t="s">
        <v>1714</v>
      </c>
      <c r="J54" s="86" t="s">
        <v>1590</v>
      </c>
      <c r="L54" s="86" t="s">
        <v>512</v>
      </c>
      <c r="M54" s="86" t="s">
        <v>512</v>
      </c>
      <c r="N54" s="86" t="s">
        <v>512</v>
      </c>
      <c r="O54" s="86" t="s">
        <v>512</v>
      </c>
      <c r="P54" s="176" t="s">
        <v>710</v>
      </c>
      <c r="Q54" s="86" t="s">
        <v>178</v>
      </c>
      <c r="R54" s="176" t="str">
        <f t="shared" si="0"/>
        <v>Director(a) Nutrición</v>
      </c>
      <c r="S54" s="87" t="s">
        <v>710</v>
      </c>
      <c r="T54" s="177" t="s">
        <v>1585</v>
      </c>
      <c r="U54" s="92">
        <v>0.8</v>
      </c>
      <c r="V54" s="136">
        <f>+VLOOKUP(AV54,Hoja1!$P$6:$R$26,3,FALSE)</f>
        <v>3.7499999999999999E-3</v>
      </c>
      <c r="X54" s="89" t="s">
        <v>1564</v>
      </c>
      <c r="Y54" s="89" t="s">
        <v>1564</v>
      </c>
      <c r="Z54" s="89" t="s">
        <v>1564</v>
      </c>
      <c r="AA54" s="89"/>
      <c r="AB54" s="89"/>
      <c r="AC54" s="89"/>
      <c r="AD54" s="89"/>
      <c r="AF54" s="89" t="s">
        <v>98</v>
      </c>
      <c r="AG54" s="89" t="s">
        <v>103</v>
      </c>
      <c r="AH54" s="89" t="s">
        <v>104</v>
      </c>
      <c r="AI54" s="89" t="s">
        <v>50</v>
      </c>
      <c r="AJ54" s="89"/>
      <c r="AK54" s="89"/>
      <c r="AL54" s="89"/>
      <c r="AM54" s="89"/>
      <c r="AN54" s="89"/>
      <c r="AO54" s="90" t="s">
        <v>1564</v>
      </c>
      <c r="AP54" s="93"/>
      <c r="AQ54" s="93"/>
      <c r="AR54" s="93"/>
      <c r="AS54" s="93"/>
      <c r="AT54" s="94"/>
      <c r="AU54" s="91" t="s">
        <v>1564</v>
      </c>
      <c r="AV54" s="176" t="str">
        <f t="shared" si="1"/>
        <v>Resultado</v>
      </c>
    </row>
    <row r="55" spans="1:63" ht="39.75" customHeight="1" x14ac:dyDescent="0.25">
      <c r="A55" s="86">
        <v>4</v>
      </c>
      <c r="B55" s="86" t="s">
        <v>1590</v>
      </c>
      <c r="D55" s="86" t="s">
        <v>176</v>
      </c>
      <c r="E55" s="86" t="s">
        <v>177</v>
      </c>
      <c r="F55" s="86" t="s">
        <v>512</v>
      </c>
      <c r="G55" s="86" t="s">
        <v>512</v>
      </c>
      <c r="I55" s="86" t="s">
        <v>1714</v>
      </c>
      <c r="J55" s="86" t="s">
        <v>1590</v>
      </c>
      <c r="L55" s="86" t="s">
        <v>512</v>
      </c>
      <c r="M55" s="86" t="s">
        <v>512</v>
      </c>
      <c r="N55" s="86" t="s">
        <v>512</v>
      </c>
      <c r="O55" s="86" t="s">
        <v>512</v>
      </c>
      <c r="P55" s="176" t="s">
        <v>1358</v>
      </c>
      <c r="Q55" s="86" t="s">
        <v>178</v>
      </c>
      <c r="R55" s="176" t="str">
        <f t="shared" si="0"/>
        <v>Director(a) Nutrición</v>
      </c>
      <c r="S55" s="87" t="s">
        <v>1358</v>
      </c>
      <c r="T55" s="177" t="s">
        <v>1355</v>
      </c>
      <c r="U55" s="92">
        <v>1</v>
      </c>
      <c r="V55" s="136">
        <f>+VLOOKUP(AV55,Hoja1!$P$6:$R$26,3,FALSE)</f>
        <v>1.276595744680851E-3</v>
      </c>
      <c r="X55" s="89" t="s">
        <v>1564</v>
      </c>
      <c r="Y55" s="89"/>
      <c r="Z55" s="89"/>
      <c r="AA55" s="89"/>
      <c r="AB55" s="89"/>
      <c r="AC55" s="89"/>
      <c r="AD55" s="89"/>
      <c r="AF55" s="89" t="s">
        <v>683</v>
      </c>
      <c r="AG55" s="89" t="s">
        <v>533</v>
      </c>
      <c r="AH55" s="89" t="s">
        <v>84</v>
      </c>
      <c r="AI55" s="89" t="s">
        <v>47</v>
      </c>
      <c r="AJ55" s="89"/>
      <c r="AK55" s="89"/>
      <c r="AL55" s="90" t="s">
        <v>1564</v>
      </c>
      <c r="AM55" s="90" t="s">
        <v>1564</v>
      </c>
      <c r="AN55" s="90" t="s">
        <v>1564</v>
      </c>
      <c r="AO55" s="90" t="s">
        <v>1564</v>
      </c>
      <c r="AP55" s="90" t="s">
        <v>1564</v>
      </c>
      <c r="AQ55" s="90" t="s">
        <v>1564</v>
      </c>
      <c r="AR55" s="90" t="s">
        <v>1564</v>
      </c>
      <c r="AS55" s="90" t="s">
        <v>1564</v>
      </c>
      <c r="AT55" s="91" t="s">
        <v>1564</v>
      </c>
      <c r="AU55" s="91" t="s">
        <v>1564</v>
      </c>
      <c r="AV55" s="176" t="str">
        <f t="shared" si="1"/>
        <v>Gestión</v>
      </c>
    </row>
    <row r="56" spans="1:63" ht="39.75" customHeight="1" x14ac:dyDescent="0.25">
      <c r="A56" s="86">
        <v>5</v>
      </c>
      <c r="B56" s="86" t="s">
        <v>1590</v>
      </c>
      <c r="D56" s="86" t="s">
        <v>202</v>
      </c>
      <c r="E56" s="86" t="s">
        <v>177</v>
      </c>
      <c r="F56" s="86" t="s">
        <v>512</v>
      </c>
      <c r="G56" s="86" t="s">
        <v>512</v>
      </c>
      <c r="I56" s="86" t="s">
        <v>1715</v>
      </c>
      <c r="J56" s="86" t="s">
        <v>1590</v>
      </c>
      <c r="L56" s="86" t="s">
        <v>512</v>
      </c>
      <c r="M56" s="86" t="s">
        <v>512</v>
      </c>
      <c r="N56" s="86" t="s">
        <v>512</v>
      </c>
      <c r="O56" s="86" t="s">
        <v>512</v>
      </c>
      <c r="P56" s="176" t="s">
        <v>2191</v>
      </c>
      <c r="Q56" s="86" t="s">
        <v>178</v>
      </c>
      <c r="S56" s="87" t="s">
        <v>2191</v>
      </c>
      <c r="T56" s="177" t="s">
        <v>2192</v>
      </c>
      <c r="U56" s="88">
        <v>328000</v>
      </c>
      <c r="V56" s="136">
        <f>+VLOOKUP(AV56,Hoja1!$P$6:$R$26,3,FALSE)</f>
        <v>1.8181818181818186E-3</v>
      </c>
      <c r="X56" s="89" t="s">
        <v>1564</v>
      </c>
      <c r="Y56" s="89" t="s">
        <v>1564</v>
      </c>
      <c r="Z56" s="89"/>
      <c r="AA56" s="89"/>
      <c r="AB56" s="89"/>
      <c r="AC56" s="89"/>
      <c r="AD56" s="89"/>
      <c r="AF56" s="89" t="s">
        <v>98</v>
      </c>
      <c r="AG56" s="89" t="s">
        <v>519</v>
      </c>
      <c r="AH56" s="89" t="s">
        <v>84</v>
      </c>
      <c r="AI56" s="89" t="s">
        <v>53</v>
      </c>
      <c r="AJ56" s="89"/>
      <c r="AK56" s="89"/>
      <c r="AL56" s="89"/>
      <c r="AM56" s="89"/>
      <c r="AN56" s="89"/>
      <c r="AO56" s="89"/>
      <c r="AP56" s="90" t="s">
        <v>1564</v>
      </c>
      <c r="AQ56" s="90" t="s">
        <v>1564</v>
      </c>
      <c r="AR56" s="90" t="s">
        <v>1564</v>
      </c>
      <c r="AS56" s="90" t="s">
        <v>1564</v>
      </c>
      <c r="AT56" s="91" t="s">
        <v>1564</v>
      </c>
      <c r="AU56" s="91" t="s">
        <v>1564</v>
      </c>
      <c r="AV56" s="176" t="str">
        <f t="shared" si="1"/>
        <v>Producto</v>
      </c>
    </row>
    <row r="57" spans="1:63" ht="39.75" customHeight="1" x14ac:dyDescent="0.25">
      <c r="A57" s="86">
        <v>5</v>
      </c>
      <c r="B57" s="86" t="s">
        <v>1591</v>
      </c>
      <c r="D57" s="86" t="s">
        <v>202</v>
      </c>
      <c r="E57" s="86" t="s">
        <v>203</v>
      </c>
      <c r="F57" s="86" t="s">
        <v>792</v>
      </c>
      <c r="G57" s="86" t="s">
        <v>719</v>
      </c>
      <c r="I57" s="86" t="s">
        <v>1715</v>
      </c>
      <c r="J57" s="86" t="s">
        <v>1591</v>
      </c>
      <c r="L57" s="86" t="s">
        <v>501</v>
      </c>
      <c r="M57" s="86" t="s">
        <v>502</v>
      </c>
      <c r="N57" s="86" t="s">
        <v>503</v>
      </c>
      <c r="O57" s="86" t="s">
        <v>504</v>
      </c>
      <c r="P57" s="176" t="s">
        <v>205</v>
      </c>
      <c r="Q57" s="86" t="s">
        <v>204</v>
      </c>
      <c r="R57" s="176" t="str">
        <f>+"Subdirector(a) "&amp;MID(Q57,17,100)</f>
        <v xml:space="preserve">Subdirector(a) Restablecimiento de Derechos </v>
      </c>
      <c r="S57" s="87" t="s">
        <v>205</v>
      </c>
      <c r="T57" s="177" t="s">
        <v>206</v>
      </c>
      <c r="U57" s="92">
        <v>1</v>
      </c>
      <c r="V57" s="136">
        <f>+VLOOKUP(AV57,Hoja1!$P$6:$R$26,3,FALSE)</f>
        <v>9.3023255813953487E-3</v>
      </c>
      <c r="X57" s="89" t="s">
        <v>1564</v>
      </c>
      <c r="Y57" s="89" t="s">
        <v>1564</v>
      </c>
      <c r="Z57" s="89" t="s">
        <v>1564</v>
      </c>
      <c r="AA57" s="89" t="s">
        <v>1564</v>
      </c>
      <c r="AB57" s="89"/>
      <c r="AC57" s="89"/>
      <c r="AD57" s="89"/>
      <c r="AF57" s="89" t="s">
        <v>98</v>
      </c>
      <c r="AG57" s="89" t="s">
        <v>103</v>
      </c>
      <c r="AH57" s="89" t="s">
        <v>71</v>
      </c>
      <c r="AI57" s="89" t="s">
        <v>47</v>
      </c>
      <c r="AJ57" s="89"/>
      <c r="AK57" s="89"/>
      <c r="AL57" s="90" t="s">
        <v>1564</v>
      </c>
      <c r="AM57" s="93"/>
      <c r="AN57" s="93"/>
      <c r="AO57" s="90" t="s">
        <v>1564</v>
      </c>
      <c r="AP57" s="93"/>
      <c r="AQ57" s="93"/>
      <c r="AR57" s="90" t="s">
        <v>1564</v>
      </c>
      <c r="AS57" s="93"/>
      <c r="AT57" s="94"/>
      <c r="AU57" s="91" t="s">
        <v>1564</v>
      </c>
      <c r="AV57" s="176" t="str">
        <f t="shared" si="1"/>
        <v>Resultadox</v>
      </c>
    </row>
    <row r="58" spans="1:63" ht="39.75" customHeight="1" x14ac:dyDescent="0.25">
      <c r="A58" s="86">
        <v>5</v>
      </c>
      <c r="B58" s="86" t="s">
        <v>1591</v>
      </c>
      <c r="D58" s="86" t="s">
        <v>202</v>
      </c>
      <c r="E58" s="86" t="s">
        <v>203</v>
      </c>
      <c r="F58" s="86" t="s">
        <v>792</v>
      </c>
      <c r="G58" s="86" t="s">
        <v>719</v>
      </c>
      <c r="I58" s="86" t="s">
        <v>1715</v>
      </c>
      <c r="J58" s="86" t="s">
        <v>1591</v>
      </c>
      <c r="L58" s="86" t="s">
        <v>501</v>
      </c>
      <c r="M58" s="86" t="s">
        <v>515</v>
      </c>
      <c r="N58" s="86" t="s">
        <v>503</v>
      </c>
      <c r="O58" s="86" t="s">
        <v>504</v>
      </c>
      <c r="P58" s="176" t="s">
        <v>207</v>
      </c>
      <c r="Q58" s="86" t="s">
        <v>204</v>
      </c>
      <c r="R58" s="176" t="str">
        <f t="shared" ref="R58:R84" si="2">+"Subdirector(a) "&amp;MID(Q58,17,100)</f>
        <v xml:space="preserve">Subdirector(a) Restablecimiento de Derechos </v>
      </c>
      <c r="S58" s="87" t="s">
        <v>207</v>
      </c>
      <c r="T58" s="177" t="s">
        <v>208</v>
      </c>
      <c r="U58" s="92">
        <v>1</v>
      </c>
      <c r="V58" s="136">
        <f>+VLOOKUP(AV58,Hoja1!$P$6:$R$26,3,FALSE)</f>
        <v>9.3023255813953487E-3</v>
      </c>
      <c r="X58" s="89" t="s">
        <v>1564</v>
      </c>
      <c r="Y58" s="89" t="s">
        <v>1564</v>
      </c>
      <c r="Z58" s="89" t="s">
        <v>1564</v>
      </c>
      <c r="AA58" s="89" t="s">
        <v>1564</v>
      </c>
      <c r="AB58" s="89"/>
      <c r="AC58" s="89"/>
      <c r="AD58" s="89"/>
      <c r="AF58" s="89" t="s">
        <v>98</v>
      </c>
      <c r="AG58" s="89" t="s">
        <v>103</v>
      </c>
      <c r="AH58" s="89" t="s">
        <v>84</v>
      </c>
      <c r="AI58" s="89" t="s">
        <v>46</v>
      </c>
      <c r="AJ58" s="90" t="s">
        <v>1564</v>
      </c>
      <c r="AK58" s="90" t="s">
        <v>1564</v>
      </c>
      <c r="AL58" s="90" t="s">
        <v>1564</v>
      </c>
      <c r="AM58" s="90" t="s">
        <v>1564</v>
      </c>
      <c r="AN58" s="90" t="s">
        <v>1564</v>
      </c>
      <c r="AO58" s="90" t="s">
        <v>1564</v>
      </c>
      <c r="AP58" s="90" t="s">
        <v>1564</v>
      </c>
      <c r="AQ58" s="90" t="s">
        <v>1564</v>
      </c>
      <c r="AR58" s="90" t="s">
        <v>1564</v>
      </c>
      <c r="AS58" s="90" t="s">
        <v>1564</v>
      </c>
      <c r="AT58" s="91" t="s">
        <v>1564</v>
      </c>
      <c r="AU58" s="91" t="s">
        <v>1564</v>
      </c>
      <c r="AV58" s="176" t="str">
        <f t="shared" si="1"/>
        <v>Resultadox</v>
      </c>
    </row>
    <row r="59" spans="1:63" ht="39.75" customHeight="1" x14ac:dyDescent="0.25">
      <c r="A59" s="86">
        <v>5</v>
      </c>
      <c r="B59" s="86" t="s">
        <v>1591</v>
      </c>
      <c r="D59" s="86" t="s">
        <v>202</v>
      </c>
      <c r="E59" s="86" t="s">
        <v>203</v>
      </c>
      <c r="F59" s="86" t="s">
        <v>792</v>
      </c>
      <c r="G59" s="86" t="s">
        <v>719</v>
      </c>
      <c r="I59" s="86" t="s">
        <v>1715</v>
      </c>
      <c r="J59" s="86" t="s">
        <v>1591</v>
      </c>
      <c r="L59" s="86" t="s">
        <v>501</v>
      </c>
      <c r="M59" s="86" t="s">
        <v>515</v>
      </c>
      <c r="N59" s="86" t="s">
        <v>503</v>
      </c>
      <c r="O59" s="86" t="s">
        <v>504</v>
      </c>
      <c r="P59" s="176" t="s">
        <v>209</v>
      </c>
      <c r="Q59" s="86" t="s">
        <v>204</v>
      </c>
      <c r="R59" s="176" t="str">
        <f t="shared" si="2"/>
        <v xml:space="preserve">Subdirector(a) Restablecimiento de Derechos </v>
      </c>
      <c r="S59" s="87" t="s">
        <v>209</v>
      </c>
      <c r="T59" s="177" t="s">
        <v>210</v>
      </c>
      <c r="U59" s="92">
        <v>0.65</v>
      </c>
      <c r="V59" s="136">
        <f>+VLOOKUP(AV59,Hoja1!$P$6:$R$26,3,FALSE)</f>
        <v>9.3023255813953487E-3</v>
      </c>
      <c r="X59" s="89" t="s">
        <v>1564</v>
      </c>
      <c r="Y59" s="89"/>
      <c r="Z59" s="89"/>
      <c r="AA59" s="89" t="s">
        <v>1564</v>
      </c>
      <c r="AB59" s="89"/>
      <c r="AC59" s="89"/>
      <c r="AD59" s="89"/>
      <c r="AF59" s="89" t="s">
        <v>98</v>
      </c>
      <c r="AG59" s="89" t="s">
        <v>103</v>
      </c>
      <c r="AH59" s="89" t="s">
        <v>84</v>
      </c>
      <c r="AI59" s="89" t="s">
        <v>40</v>
      </c>
      <c r="AJ59" s="89"/>
      <c r="AK59" s="90" t="s">
        <v>1564</v>
      </c>
      <c r="AL59" s="90" t="s">
        <v>1564</v>
      </c>
      <c r="AM59" s="90" t="s">
        <v>1564</v>
      </c>
      <c r="AN59" s="90" t="s">
        <v>1564</v>
      </c>
      <c r="AO59" s="90" t="s">
        <v>1564</v>
      </c>
      <c r="AP59" s="90" t="s">
        <v>1564</v>
      </c>
      <c r="AQ59" s="90" t="s">
        <v>1564</v>
      </c>
      <c r="AR59" s="90" t="s">
        <v>1564</v>
      </c>
      <c r="AS59" s="90" t="s">
        <v>1564</v>
      </c>
      <c r="AT59" s="91" t="s">
        <v>1564</v>
      </c>
      <c r="AU59" s="91" t="s">
        <v>1564</v>
      </c>
      <c r="AV59" s="176" t="str">
        <f t="shared" si="1"/>
        <v>Resultadox</v>
      </c>
    </row>
    <row r="60" spans="1:63" s="78" customFormat="1" ht="39.75" customHeight="1" x14ac:dyDescent="0.25">
      <c r="A60" s="86">
        <v>5</v>
      </c>
      <c r="B60" s="86" t="s">
        <v>1591</v>
      </c>
      <c r="C60" s="75"/>
      <c r="D60" s="86" t="s">
        <v>202</v>
      </c>
      <c r="E60" s="86" t="s">
        <v>203</v>
      </c>
      <c r="F60" s="86" t="s">
        <v>792</v>
      </c>
      <c r="G60" s="86" t="s">
        <v>719</v>
      </c>
      <c r="H60" s="75"/>
      <c r="I60" s="86" t="s">
        <v>1715</v>
      </c>
      <c r="J60" s="86" t="s">
        <v>1591</v>
      </c>
      <c r="K60" s="75"/>
      <c r="L60" s="86" t="s">
        <v>501</v>
      </c>
      <c r="M60" s="86" t="s">
        <v>515</v>
      </c>
      <c r="N60" s="86" t="s">
        <v>503</v>
      </c>
      <c r="O60" s="86" t="s">
        <v>504</v>
      </c>
      <c r="P60" s="176" t="s">
        <v>211</v>
      </c>
      <c r="Q60" s="86" t="s">
        <v>204</v>
      </c>
      <c r="R60" s="176" t="str">
        <f t="shared" si="2"/>
        <v xml:space="preserve">Subdirector(a) Restablecimiento de Derechos </v>
      </c>
      <c r="S60" s="87" t="s">
        <v>211</v>
      </c>
      <c r="T60" s="177" t="s">
        <v>212</v>
      </c>
      <c r="U60" s="92">
        <v>1</v>
      </c>
      <c r="V60" s="136">
        <f>+VLOOKUP(AV60,Hoja1!$P$6:$R$26,3,FALSE)</f>
        <v>5.5813953488372094E-3</v>
      </c>
      <c r="W60" s="75"/>
      <c r="X60" s="89" t="s">
        <v>1564</v>
      </c>
      <c r="Y60" s="89" t="s">
        <v>1564</v>
      </c>
      <c r="Z60" s="89"/>
      <c r="AA60" s="89" t="s">
        <v>1564</v>
      </c>
      <c r="AB60" s="89"/>
      <c r="AC60" s="89"/>
      <c r="AD60" s="89"/>
      <c r="AE60" s="75"/>
      <c r="AF60" s="89" t="s">
        <v>98</v>
      </c>
      <c r="AG60" s="89" t="s">
        <v>533</v>
      </c>
      <c r="AH60" s="89" t="s">
        <v>84</v>
      </c>
      <c r="AI60" s="89" t="s">
        <v>49</v>
      </c>
      <c r="AJ60" s="89"/>
      <c r="AK60" s="89"/>
      <c r="AL60" s="89"/>
      <c r="AM60" s="89"/>
      <c r="AN60" s="89"/>
      <c r="AO60" s="90" t="s">
        <v>1564</v>
      </c>
      <c r="AP60" s="90" t="s">
        <v>1564</v>
      </c>
      <c r="AQ60" s="90" t="s">
        <v>1564</v>
      </c>
      <c r="AR60" s="90" t="s">
        <v>1564</v>
      </c>
      <c r="AS60" s="90" t="s">
        <v>1564</v>
      </c>
      <c r="AT60" s="91" t="s">
        <v>1564</v>
      </c>
      <c r="AU60" s="91" t="s">
        <v>1564</v>
      </c>
      <c r="AV60" s="176" t="str">
        <f t="shared" si="1"/>
        <v>Gestiónx</v>
      </c>
      <c r="AW60" s="80"/>
      <c r="AX60" s="80"/>
      <c r="AY60" s="80"/>
      <c r="AZ60" s="80"/>
      <c r="BA60" s="80"/>
      <c r="BB60" s="80"/>
      <c r="BC60" s="80"/>
      <c r="BD60" s="80"/>
      <c r="BE60" s="80"/>
      <c r="BF60" s="80"/>
      <c r="BG60" s="80"/>
      <c r="BH60" s="80"/>
      <c r="BI60" s="80"/>
      <c r="BJ60" s="80"/>
      <c r="BK60" s="80"/>
    </row>
    <row r="61" spans="1:63" s="78" customFormat="1" ht="39.75" customHeight="1" x14ac:dyDescent="0.25">
      <c r="A61" s="86">
        <v>5</v>
      </c>
      <c r="B61" s="86" t="s">
        <v>1591</v>
      </c>
      <c r="C61" s="75"/>
      <c r="D61" s="86" t="s">
        <v>202</v>
      </c>
      <c r="E61" s="86" t="s">
        <v>203</v>
      </c>
      <c r="F61" s="86" t="s">
        <v>792</v>
      </c>
      <c r="G61" s="86" t="s">
        <v>719</v>
      </c>
      <c r="H61" s="75"/>
      <c r="I61" s="86" t="s">
        <v>1715</v>
      </c>
      <c r="J61" s="86" t="s">
        <v>1591</v>
      </c>
      <c r="K61" s="75"/>
      <c r="L61" s="86" t="s">
        <v>501</v>
      </c>
      <c r="M61" s="86" t="s">
        <v>515</v>
      </c>
      <c r="N61" s="86" t="s">
        <v>503</v>
      </c>
      <c r="O61" s="86" t="s">
        <v>504</v>
      </c>
      <c r="P61" s="176" t="s">
        <v>213</v>
      </c>
      <c r="Q61" s="86" t="s">
        <v>204</v>
      </c>
      <c r="R61" s="176" t="str">
        <f t="shared" si="2"/>
        <v xml:space="preserve">Subdirector(a) Restablecimiento de Derechos </v>
      </c>
      <c r="S61" s="87" t="s">
        <v>213</v>
      </c>
      <c r="T61" s="177" t="s">
        <v>214</v>
      </c>
      <c r="U61" s="92">
        <v>0.8</v>
      </c>
      <c r="V61" s="136">
        <f>+VLOOKUP(AV61,Hoja1!$P$6:$R$26,3,FALSE)</f>
        <v>5.5813953488372094E-3</v>
      </c>
      <c r="W61" s="75"/>
      <c r="X61" s="89" t="s">
        <v>1564</v>
      </c>
      <c r="Y61" s="89"/>
      <c r="Z61" s="89"/>
      <c r="AA61" s="89" t="s">
        <v>1564</v>
      </c>
      <c r="AB61" s="89"/>
      <c r="AC61" s="89"/>
      <c r="AD61" s="89"/>
      <c r="AE61" s="75"/>
      <c r="AF61" s="89" t="s">
        <v>98</v>
      </c>
      <c r="AG61" s="89" t="s">
        <v>533</v>
      </c>
      <c r="AH61" s="89" t="s">
        <v>71</v>
      </c>
      <c r="AI61" s="89" t="s">
        <v>47</v>
      </c>
      <c r="AJ61" s="89"/>
      <c r="AK61" s="89"/>
      <c r="AL61" s="90" t="s">
        <v>1564</v>
      </c>
      <c r="AM61" s="93"/>
      <c r="AN61" s="93"/>
      <c r="AO61" s="90" t="s">
        <v>1564</v>
      </c>
      <c r="AP61" s="93"/>
      <c r="AQ61" s="93"/>
      <c r="AR61" s="90" t="s">
        <v>1564</v>
      </c>
      <c r="AS61" s="93"/>
      <c r="AT61" s="94"/>
      <c r="AU61" s="91" t="s">
        <v>1564</v>
      </c>
      <c r="AV61" s="176" t="str">
        <f t="shared" si="1"/>
        <v>Gestiónx</v>
      </c>
      <c r="AW61" s="80"/>
      <c r="AX61" s="80"/>
      <c r="AY61" s="80"/>
      <c r="AZ61" s="80"/>
      <c r="BA61" s="80"/>
      <c r="BB61" s="80"/>
      <c r="BC61" s="80"/>
      <c r="BD61" s="80"/>
      <c r="BE61" s="80"/>
      <c r="BF61" s="80"/>
      <c r="BG61" s="80"/>
      <c r="BH61" s="80"/>
      <c r="BI61" s="80"/>
      <c r="BJ61" s="80"/>
      <c r="BK61" s="80"/>
    </row>
    <row r="62" spans="1:63" s="78" customFormat="1" ht="39.75" customHeight="1" x14ac:dyDescent="0.25">
      <c r="A62" s="86">
        <v>5</v>
      </c>
      <c r="B62" s="86" t="s">
        <v>1591</v>
      </c>
      <c r="C62" s="75"/>
      <c r="D62" s="86" t="s">
        <v>202</v>
      </c>
      <c r="E62" s="86" t="s">
        <v>203</v>
      </c>
      <c r="F62" s="86" t="s">
        <v>792</v>
      </c>
      <c r="G62" s="86" t="s">
        <v>719</v>
      </c>
      <c r="H62" s="75"/>
      <c r="I62" s="86" t="s">
        <v>1715</v>
      </c>
      <c r="J62" s="86" t="s">
        <v>1591</v>
      </c>
      <c r="K62" s="75"/>
      <c r="L62" s="86" t="s">
        <v>501</v>
      </c>
      <c r="M62" s="86" t="s">
        <v>515</v>
      </c>
      <c r="N62" s="86" t="s">
        <v>503</v>
      </c>
      <c r="O62" s="86" t="s">
        <v>504</v>
      </c>
      <c r="P62" s="176" t="s">
        <v>215</v>
      </c>
      <c r="Q62" s="86" t="s">
        <v>204</v>
      </c>
      <c r="R62" s="176" t="str">
        <f t="shared" si="2"/>
        <v xml:space="preserve">Subdirector(a) Restablecimiento de Derechos </v>
      </c>
      <c r="S62" s="87" t="s">
        <v>215</v>
      </c>
      <c r="T62" s="177" t="s">
        <v>216</v>
      </c>
      <c r="U62" s="92">
        <v>0.44</v>
      </c>
      <c r="V62" s="136">
        <f>+VLOOKUP(AV62,Hoja1!$P$6:$R$26,3,FALSE)</f>
        <v>5.5813953488372094E-3</v>
      </c>
      <c r="W62" s="75"/>
      <c r="X62" s="89" t="s">
        <v>1564</v>
      </c>
      <c r="Y62" s="89"/>
      <c r="Z62" s="89"/>
      <c r="AA62" s="89" t="s">
        <v>1564</v>
      </c>
      <c r="AB62" s="89" t="s">
        <v>1564</v>
      </c>
      <c r="AC62" s="89"/>
      <c r="AD62" s="89"/>
      <c r="AE62" s="75"/>
      <c r="AF62" s="89" t="s">
        <v>98</v>
      </c>
      <c r="AG62" s="89" t="s">
        <v>533</v>
      </c>
      <c r="AH62" s="89" t="s">
        <v>808</v>
      </c>
      <c r="AI62" s="89" t="s">
        <v>58</v>
      </c>
      <c r="AJ62" s="89"/>
      <c r="AK62" s="89"/>
      <c r="AL62" s="89"/>
      <c r="AM62" s="89"/>
      <c r="AN62" s="89"/>
      <c r="AO62" s="89"/>
      <c r="AP62" s="89"/>
      <c r="AQ62" s="89"/>
      <c r="AR62" s="89"/>
      <c r="AS62" s="89"/>
      <c r="AT62" s="95"/>
      <c r="AU62" s="91" t="s">
        <v>1564</v>
      </c>
      <c r="AV62" s="176" t="str">
        <f t="shared" si="1"/>
        <v>Gestiónx</v>
      </c>
      <c r="AW62" s="80"/>
      <c r="AX62" s="80"/>
      <c r="AY62" s="80"/>
      <c r="AZ62" s="80"/>
      <c r="BA62" s="80"/>
      <c r="BB62" s="80"/>
      <c r="BC62" s="80"/>
      <c r="BD62" s="80"/>
      <c r="BE62" s="80"/>
      <c r="BF62" s="80"/>
      <c r="BG62" s="80"/>
      <c r="BH62" s="80"/>
      <c r="BI62" s="80"/>
      <c r="BJ62" s="80"/>
      <c r="BK62" s="80"/>
    </row>
    <row r="63" spans="1:63" s="78" customFormat="1" ht="39.75" customHeight="1" x14ac:dyDescent="0.25">
      <c r="A63" s="86">
        <v>5</v>
      </c>
      <c r="B63" s="86" t="s">
        <v>1591</v>
      </c>
      <c r="C63" s="75"/>
      <c r="D63" s="86" t="s">
        <v>202</v>
      </c>
      <c r="E63" s="86" t="s">
        <v>203</v>
      </c>
      <c r="F63" s="86" t="s">
        <v>792</v>
      </c>
      <c r="G63" s="86" t="s">
        <v>719</v>
      </c>
      <c r="H63" s="75"/>
      <c r="I63" s="86" t="s">
        <v>1715</v>
      </c>
      <c r="J63" s="86" t="s">
        <v>1591</v>
      </c>
      <c r="K63" s="75"/>
      <c r="L63" s="86" t="s">
        <v>501</v>
      </c>
      <c r="M63" s="86" t="s">
        <v>515</v>
      </c>
      <c r="N63" s="86" t="s">
        <v>503</v>
      </c>
      <c r="O63" s="86" t="s">
        <v>504</v>
      </c>
      <c r="P63" s="176" t="s">
        <v>217</v>
      </c>
      <c r="Q63" s="86" t="s">
        <v>204</v>
      </c>
      <c r="R63" s="176" t="str">
        <f t="shared" si="2"/>
        <v xml:space="preserve">Subdirector(a) Restablecimiento de Derechos </v>
      </c>
      <c r="S63" s="87" t="s">
        <v>217</v>
      </c>
      <c r="T63" s="177" t="s">
        <v>218</v>
      </c>
      <c r="U63" s="92">
        <v>0.34</v>
      </c>
      <c r="V63" s="136">
        <f>+VLOOKUP(AV63,Hoja1!$P$6:$R$26,3,FALSE)</f>
        <v>5.5813953488372094E-3</v>
      </c>
      <c r="W63" s="75"/>
      <c r="X63" s="89" t="s">
        <v>1564</v>
      </c>
      <c r="Y63" s="89"/>
      <c r="Z63" s="89"/>
      <c r="AA63" s="89" t="s">
        <v>1564</v>
      </c>
      <c r="AB63" s="89" t="s">
        <v>1564</v>
      </c>
      <c r="AC63" s="89"/>
      <c r="AD63" s="89"/>
      <c r="AE63" s="75"/>
      <c r="AF63" s="89" t="s">
        <v>98</v>
      </c>
      <c r="AG63" s="89" t="s">
        <v>533</v>
      </c>
      <c r="AH63" s="89" t="s">
        <v>71</v>
      </c>
      <c r="AI63" s="89" t="s">
        <v>47</v>
      </c>
      <c r="AJ63" s="89"/>
      <c r="AK63" s="89"/>
      <c r="AL63" s="90" t="s">
        <v>1564</v>
      </c>
      <c r="AM63" s="93"/>
      <c r="AN63" s="93"/>
      <c r="AO63" s="90" t="s">
        <v>1564</v>
      </c>
      <c r="AP63" s="93"/>
      <c r="AQ63" s="93"/>
      <c r="AR63" s="90" t="s">
        <v>1564</v>
      </c>
      <c r="AS63" s="93"/>
      <c r="AT63" s="94"/>
      <c r="AU63" s="91" t="s">
        <v>1564</v>
      </c>
      <c r="AV63" s="176" t="str">
        <f t="shared" si="1"/>
        <v>Gestiónx</v>
      </c>
      <c r="AW63" s="80"/>
      <c r="AX63" s="80"/>
      <c r="AY63" s="80"/>
      <c r="AZ63" s="80"/>
      <c r="BA63" s="80"/>
      <c r="BB63" s="80"/>
      <c r="BC63" s="80"/>
      <c r="BD63" s="80"/>
      <c r="BE63" s="80"/>
      <c r="BF63" s="80"/>
      <c r="BG63" s="80"/>
      <c r="BH63" s="80"/>
      <c r="BI63" s="80"/>
      <c r="BJ63" s="80"/>
      <c r="BK63" s="80"/>
    </row>
    <row r="64" spans="1:63" s="78" customFormat="1" ht="39.75" customHeight="1" x14ac:dyDescent="0.25">
      <c r="A64" s="86">
        <v>5</v>
      </c>
      <c r="B64" s="86" t="s">
        <v>1591</v>
      </c>
      <c r="C64" s="75"/>
      <c r="D64" s="86" t="s">
        <v>202</v>
      </c>
      <c r="E64" s="86" t="s">
        <v>203</v>
      </c>
      <c r="F64" s="86" t="s">
        <v>792</v>
      </c>
      <c r="G64" s="86" t="s">
        <v>719</v>
      </c>
      <c r="H64" s="75"/>
      <c r="I64" s="86" t="s">
        <v>1715</v>
      </c>
      <c r="J64" s="86" t="s">
        <v>1591</v>
      </c>
      <c r="K64" s="75"/>
      <c r="L64" s="86" t="s">
        <v>501</v>
      </c>
      <c r="M64" s="86" t="s">
        <v>515</v>
      </c>
      <c r="N64" s="86" t="s">
        <v>503</v>
      </c>
      <c r="O64" s="86" t="s">
        <v>504</v>
      </c>
      <c r="P64" s="176" t="s">
        <v>219</v>
      </c>
      <c r="Q64" s="86" t="s">
        <v>204</v>
      </c>
      <c r="R64" s="176" t="str">
        <f t="shared" si="2"/>
        <v xml:space="preserve">Subdirector(a) Restablecimiento de Derechos </v>
      </c>
      <c r="S64" s="87" t="s">
        <v>219</v>
      </c>
      <c r="T64" s="177" t="s">
        <v>2155</v>
      </c>
      <c r="U64" s="88">
        <v>100</v>
      </c>
      <c r="V64" s="136">
        <f>+VLOOKUP(AV64,Hoja1!$P$6:$R$26,3,FALSE)</f>
        <v>5.5813953488372094E-3</v>
      </c>
      <c r="W64" s="75"/>
      <c r="X64" s="89" t="s">
        <v>1564</v>
      </c>
      <c r="Y64" s="89"/>
      <c r="Z64" s="89"/>
      <c r="AA64" s="89" t="s">
        <v>1564</v>
      </c>
      <c r="AB64" s="89" t="s">
        <v>1564</v>
      </c>
      <c r="AC64" s="89" t="s">
        <v>1564</v>
      </c>
      <c r="AD64" s="89" t="s">
        <v>1564</v>
      </c>
      <c r="AE64" s="75"/>
      <c r="AF64" s="89" t="s">
        <v>683</v>
      </c>
      <c r="AG64" s="89" t="s">
        <v>533</v>
      </c>
      <c r="AH64" s="89" t="s">
        <v>71</v>
      </c>
      <c r="AI64" s="89" t="s">
        <v>47</v>
      </c>
      <c r="AJ64" s="89"/>
      <c r="AK64" s="89"/>
      <c r="AL64" s="90" t="s">
        <v>1564</v>
      </c>
      <c r="AM64" s="93"/>
      <c r="AN64" s="93"/>
      <c r="AO64" s="90" t="s">
        <v>1564</v>
      </c>
      <c r="AP64" s="93"/>
      <c r="AQ64" s="93"/>
      <c r="AR64" s="90" t="s">
        <v>1564</v>
      </c>
      <c r="AS64" s="93"/>
      <c r="AT64" s="94"/>
      <c r="AU64" s="91" t="s">
        <v>1564</v>
      </c>
      <c r="AV64" s="176" t="str">
        <f t="shared" si="1"/>
        <v>Gestiónx</v>
      </c>
      <c r="AW64" s="80"/>
      <c r="AX64" s="80"/>
      <c r="AY64" s="80"/>
      <c r="AZ64" s="80"/>
      <c r="BA64" s="80"/>
      <c r="BB64" s="80"/>
      <c r="BC64" s="80"/>
      <c r="BD64" s="80"/>
      <c r="BE64" s="80"/>
      <c r="BF64" s="80"/>
      <c r="BG64" s="80"/>
      <c r="BH64" s="80"/>
      <c r="BI64" s="80"/>
      <c r="BJ64" s="80"/>
      <c r="BK64" s="80"/>
    </row>
    <row r="65" spans="1:63" s="78" customFormat="1" ht="39.75" customHeight="1" x14ac:dyDescent="0.25">
      <c r="A65" s="86">
        <v>5</v>
      </c>
      <c r="B65" s="86" t="s">
        <v>1591</v>
      </c>
      <c r="C65" s="75"/>
      <c r="D65" s="86" t="s">
        <v>202</v>
      </c>
      <c r="E65" s="86" t="s">
        <v>203</v>
      </c>
      <c r="F65" s="86" t="s">
        <v>792</v>
      </c>
      <c r="G65" s="86" t="s">
        <v>719</v>
      </c>
      <c r="H65" s="75"/>
      <c r="I65" s="86" t="s">
        <v>1715</v>
      </c>
      <c r="J65" s="86" t="s">
        <v>1591</v>
      </c>
      <c r="K65" s="75"/>
      <c r="L65" s="86" t="s">
        <v>512</v>
      </c>
      <c r="M65" s="86" t="s">
        <v>512</v>
      </c>
      <c r="N65" s="86" t="s">
        <v>512</v>
      </c>
      <c r="O65" s="86" t="s">
        <v>512</v>
      </c>
      <c r="P65" s="176" t="s">
        <v>220</v>
      </c>
      <c r="Q65" s="86" t="s">
        <v>204</v>
      </c>
      <c r="R65" s="176" t="str">
        <f t="shared" si="2"/>
        <v xml:space="preserve">Subdirector(a) Restablecimiento de Derechos </v>
      </c>
      <c r="S65" s="87" t="s">
        <v>220</v>
      </c>
      <c r="T65" s="177" t="s">
        <v>221</v>
      </c>
      <c r="U65" s="92">
        <v>0.08</v>
      </c>
      <c r="V65" s="136">
        <f>+VLOOKUP(AV65,Hoja1!$P$6:$R$26,3,FALSE)</f>
        <v>3.7499999999999999E-3</v>
      </c>
      <c r="W65" s="75"/>
      <c r="X65" s="89" t="s">
        <v>1564</v>
      </c>
      <c r="Y65" s="89" t="s">
        <v>1564</v>
      </c>
      <c r="Z65" s="89" t="s">
        <v>1564</v>
      </c>
      <c r="AA65" s="89"/>
      <c r="AB65" s="89"/>
      <c r="AC65" s="89"/>
      <c r="AD65" s="89"/>
      <c r="AE65" s="75"/>
      <c r="AF65" s="89" t="s">
        <v>98</v>
      </c>
      <c r="AG65" s="89" t="s">
        <v>103</v>
      </c>
      <c r="AH65" s="89" t="s">
        <v>84</v>
      </c>
      <c r="AI65" s="89" t="s">
        <v>46</v>
      </c>
      <c r="AJ65" s="90" t="s">
        <v>1564</v>
      </c>
      <c r="AK65" s="90" t="s">
        <v>1564</v>
      </c>
      <c r="AL65" s="90" t="s">
        <v>1564</v>
      </c>
      <c r="AM65" s="90" t="s">
        <v>1564</v>
      </c>
      <c r="AN65" s="90" t="s">
        <v>1564</v>
      </c>
      <c r="AO65" s="90" t="s">
        <v>1564</v>
      </c>
      <c r="AP65" s="90" t="s">
        <v>1564</v>
      </c>
      <c r="AQ65" s="90" t="s">
        <v>1564</v>
      </c>
      <c r="AR65" s="90" t="s">
        <v>1564</v>
      </c>
      <c r="AS65" s="90" t="s">
        <v>1564</v>
      </c>
      <c r="AT65" s="91" t="s">
        <v>1564</v>
      </c>
      <c r="AU65" s="91" t="s">
        <v>1564</v>
      </c>
      <c r="AV65" s="176" t="str">
        <f t="shared" si="1"/>
        <v>Resultado</v>
      </c>
      <c r="AW65" s="80"/>
      <c r="AX65" s="80"/>
      <c r="AY65" s="80"/>
      <c r="AZ65" s="80"/>
      <c r="BA65" s="80"/>
      <c r="BB65" s="80"/>
      <c r="BC65" s="80"/>
      <c r="BD65" s="80"/>
      <c r="BE65" s="80"/>
      <c r="BF65" s="80"/>
      <c r="BG65" s="80"/>
      <c r="BH65" s="80"/>
      <c r="BI65" s="80"/>
      <c r="BJ65" s="80"/>
      <c r="BK65" s="80"/>
    </row>
    <row r="66" spans="1:63" s="78" customFormat="1" ht="39.75" customHeight="1" x14ac:dyDescent="0.25">
      <c r="A66" s="86">
        <v>5</v>
      </c>
      <c r="B66" s="86" t="s">
        <v>1591</v>
      </c>
      <c r="C66" s="75"/>
      <c r="D66" s="86" t="s">
        <v>202</v>
      </c>
      <c r="E66" s="86" t="s">
        <v>203</v>
      </c>
      <c r="F66" s="86" t="s">
        <v>792</v>
      </c>
      <c r="G66" s="86" t="s">
        <v>719</v>
      </c>
      <c r="H66" s="75"/>
      <c r="I66" s="86" t="s">
        <v>1715</v>
      </c>
      <c r="J66" s="86" t="s">
        <v>1591</v>
      </c>
      <c r="K66" s="75"/>
      <c r="L66" s="86" t="s">
        <v>512</v>
      </c>
      <c r="M66" s="86" t="s">
        <v>512</v>
      </c>
      <c r="N66" s="86" t="s">
        <v>512</v>
      </c>
      <c r="O66" s="86" t="s">
        <v>512</v>
      </c>
      <c r="P66" s="176" t="s">
        <v>222</v>
      </c>
      <c r="Q66" s="86" t="s">
        <v>204</v>
      </c>
      <c r="R66" s="176" t="str">
        <f t="shared" si="2"/>
        <v xml:space="preserve">Subdirector(a) Restablecimiento de Derechos </v>
      </c>
      <c r="S66" s="87" t="s">
        <v>222</v>
      </c>
      <c r="T66" s="177" t="s">
        <v>237</v>
      </c>
      <c r="U66" s="92">
        <v>0</v>
      </c>
      <c r="V66" s="136">
        <f>+VLOOKUP(AV66,Hoja1!$P$6:$R$26,3,FALSE)</f>
        <v>3.7499999999999999E-3</v>
      </c>
      <c r="W66" s="75"/>
      <c r="X66" s="89" t="s">
        <v>1564</v>
      </c>
      <c r="Y66" s="89" t="s">
        <v>1564</v>
      </c>
      <c r="Z66" s="89" t="s">
        <v>1564</v>
      </c>
      <c r="AA66" s="89"/>
      <c r="AB66" s="89"/>
      <c r="AC66" s="89"/>
      <c r="AD66" s="89"/>
      <c r="AE66" s="75"/>
      <c r="AF66" s="89" t="s">
        <v>98</v>
      </c>
      <c r="AG66" s="89" t="s">
        <v>103</v>
      </c>
      <c r="AH66" s="89" t="s">
        <v>84</v>
      </c>
      <c r="AI66" s="89" t="s">
        <v>46</v>
      </c>
      <c r="AJ66" s="90" t="s">
        <v>1564</v>
      </c>
      <c r="AK66" s="90" t="s">
        <v>1564</v>
      </c>
      <c r="AL66" s="90" t="s">
        <v>1564</v>
      </c>
      <c r="AM66" s="90" t="s">
        <v>1564</v>
      </c>
      <c r="AN66" s="90" t="s">
        <v>1564</v>
      </c>
      <c r="AO66" s="90" t="s">
        <v>1564</v>
      </c>
      <c r="AP66" s="90" t="s">
        <v>1564</v>
      </c>
      <c r="AQ66" s="90" t="s">
        <v>1564</v>
      </c>
      <c r="AR66" s="90" t="s">
        <v>1564</v>
      </c>
      <c r="AS66" s="90" t="s">
        <v>1564</v>
      </c>
      <c r="AT66" s="91" t="s">
        <v>1564</v>
      </c>
      <c r="AU66" s="91" t="s">
        <v>1564</v>
      </c>
      <c r="AV66" s="176" t="str">
        <f t="shared" si="1"/>
        <v>Resultado</v>
      </c>
      <c r="AW66" s="80"/>
      <c r="AX66" s="80"/>
      <c r="AY66" s="80"/>
      <c r="AZ66" s="80"/>
      <c r="BA66" s="80"/>
      <c r="BB66" s="80"/>
      <c r="BC66" s="80"/>
      <c r="BD66" s="80"/>
      <c r="BE66" s="80"/>
      <c r="BF66" s="80"/>
      <c r="BG66" s="80"/>
      <c r="BH66" s="80"/>
      <c r="BI66" s="80"/>
      <c r="BJ66" s="80"/>
      <c r="BK66" s="80"/>
    </row>
    <row r="67" spans="1:63" s="78" customFormat="1" ht="39.75" customHeight="1" x14ac:dyDescent="0.25">
      <c r="A67" s="86">
        <v>5</v>
      </c>
      <c r="B67" s="86" t="s">
        <v>1591</v>
      </c>
      <c r="C67" s="75"/>
      <c r="D67" s="86" t="s">
        <v>202</v>
      </c>
      <c r="E67" s="86" t="s">
        <v>203</v>
      </c>
      <c r="F67" s="86" t="s">
        <v>792</v>
      </c>
      <c r="G67" s="86" t="s">
        <v>719</v>
      </c>
      <c r="H67" s="75"/>
      <c r="I67" s="86" t="s">
        <v>1715</v>
      </c>
      <c r="J67" s="86" t="s">
        <v>1591</v>
      </c>
      <c r="K67" s="75"/>
      <c r="L67" s="86" t="s">
        <v>512</v>
      </c>
      <c r="M67" s="86" t="s">
        <v>512</v>
      </c>
      <c r="N67" s="86" t="s">
        <v>512</v>
      </c>
      <c r="O67" s="86" t="s">
        <v>512</v>
      </c>
      <c r="P67" s="176" t="s">
        <v>224</v>
      </c>
      <c r="Q67" s="86" t="s">
        <v>204</v>
      </c>
      <c r="R67" s="176" t="str">
        <f t="shared" si="2"/>
        <v xml:space="preserve">Subdirector(a) Restablecimiento de Derechos </v>
      </c>
      <c r="S67" s="87" t="s">
        <v>224</v>
      </c>
      <c r="T67" s="177" t="s">
        <v>223</v>
      </c>
      <c r="U67" s="92">
        <v>0</v>
      </c>
      <c r="V67" s="136">
        <f>+VLOOKUP(AV67,Hoja1!$P$6:$R$26,3,FALSE)</f>
        <v>3.7499999999999999E-3</v>
      </c>
      <c r="W67" s="75"/>
      <c r="X67" s="89" t="s">
        <v>1564</v>
      </c>
      <c r="Y67" s="89" t="s">
        <v>1564</v>
      </c>
      <c r="Z67" s="89" t="s">
        <v>1564</v>
      </c>
      <c r="AA67" s="89"/>
      <c r="AB67" s="89"/>
      <c r="AC67" s="89"/>
      <c r="AD67" s="89"/>
      <c r="AE67" s="75"/>
      <c r="AF67" s="89" t="s">
        <v>98</v>
      </c>
      <c r="AG67" s="89" t="s">
        <v>103</v>
      </c>
      <c r="AH67" s="89" t="s">
        <v>84</v>
      </c>
      <c r="AI67" s="89" t="s">
        <v>46</v>
      </c>
      <c r="AJ67" s="90" t="s">
        <v>1564</v>
      </c>
      <c r="AK67" s="90" t="s">
        <v>1564</v>
      </c>
      <c r="AL67" s="90" t="s">
        <v>1564</v>
      </c>
      <c r="AM67" s="90" t="s">
        <v>1564</v>
      </c>
      <c r="AN67" s="90" t="s">
        <v>1564</v>
      </c>
      <c r="AO67" s="90" t="s">
        <v>1564</v>
      </c>
      <c r="AP67" s="90" t="s">
        <v>1564</v>
      </c>
      <c r="AQ67" s="90" t="s">
        <v>1564</v>
      </c>
      <c r="AR67" s="90" t="s">
        <v>1564</v>
      </c>
      <c r="AS67" s="90" t="s">
        <v>1564</v>
      </c>
      <c r="AT67" s="91" t="s">
        <v>1564</v>
      </c>
      <c r="AU67" s="91" t="s">
        <v>1564</v>
      </c>
      <c r="AV67" s="176" t="str">
        <f t="shared" si="1"/>
        <v>Resultado</v>
      </c>
      <c r="AW67" s="80"/>
      <c r="AX67" s="80"/>
      <c r="AY67" s="80"/>
      <c r="AZ67" s="80"/>
      <c r="BA67" s="80"/>
      <c r="BB67" s="80"/>
      <c r="BC67" s="80"/>
      <c r="BD67" s="80"/>
      <c r="BE67" s="80"/>
      <c r="BF67" s="80"/>
      <c r="BG67" s="80"/>
      <c r="BH67" s="80"/>
      <c r="BI67" s="80"/>
      <c r="BJ67" s="80"/>
      <c r="BK67" s="80"/>
    </row>
    <row r="68" spans="1:63" s="78" customFormat="1" ht="39.75" customHeight="1" x14ac:dyDescent="0.25">
      <c r="A68" s="86">
        <v>5</v>
      </c>
      <c r="B68" s="86" t="s">
        <v>1591</v>
      </c>
      <c r="C68" s="75"/>
      <c r="D68" s="86" t="s">
        <v>202</v>
      </c>
      <c r="E68" s="86" t="s">
        <v>203</v>
      </c>
      <c r="F68" s="86" t="s">
        <v>792</v>
      </c>
      <c r="G68" s="86" t="s">
        <v>719</v>
      </c>
      <c r="H68" s="75"/>
      <c r="I68" s="86" t="s">
        <v>1715</v>
      </c>
      <c r="J68" s="86" t="s">
        <v>1591</v>
      </c>
      <c r="K68" s="75"/>
      <c r="L68" s="86" t="s">
        <v>512</v>
      </c>
      <c r="M68" s="86" t="s">
        <v>512</v>
      </c>
      <c r="N68" s="86" t="s">
        <v>512</v>
      </c>
      <c r="O68" s="86" t="s">
        <v>512</v>
      </c>
      <c r="P68" s="176" t="s">
        <v>226</v>
      </c>
      <c r="Q68" s="86" t="s">
        <v>204</v>
      </c>
      <c r="R68" s="176" t="str">
        <f t="shared" si="2"/>
        <v xml:space="preserve">Subdirector(a) Restablecimiento de Derechos </v>
      </c>
      <c r="S68" s="87" t="s">
        <v>226</v>
      </c>
      <c r="T68" s="177" t="s">
        <v>225</v>
      </c>
      <c r="U68" s="92">
        <v>0</v>
      </c>
      <c r="V68" s="136">
        <f>+VLOOKUP(AV68,Hoja1!$P$6:$R$26,3,FALSE)</f>
        <v>3.7499999999999999E-3</v>
      </c>
      <c r="W68" s="75"/>
      <c r="X68" s="89" t="s">
        <v>1564</v>
      </c>
      <c r="Y68" s="89" t="s">
        <v>1564</v>
      </c>
      <c r="Z68" s="89" t="s">
        <v>1564</v>
      </c>
      <c r="AA68" s="89"/>
      <c r="AB68" s="89"/>
      <c r="AC68" s="89"/>
      <c r="AD68" s="89"/>
      <c r="AE68" s="75"/>
      <c r="AF68" s="89" t="s">
        <v>98</v>
      </c>
      <c r="AG68" s="89" t="s">
        <v>103</v>
      </c>
      <c r="AH68" s="89" t="s">
        <v>84</v>
      </c>
      <c r="AI68" s="89" t="s">
        <v>46</v>
      </c>
      <c r="AJ68" s="90" t="s">
        <v>1564</v>
      </c>
      <c r="AK68" s="90" t="s">
        <v>1564</v>
      </c>
      <c r="AL68" s="90" t="s">
        <v>1564</v>
      </c>
      <c r="AM68" s="90" t="s">
        <v>1564</v>
      </c>
      <c r="AN68" s="90" t="s">
        <v>1564</v>
      </c>
      <c r="AO68" s="90" t="s">
        <v>1564</v>
      </c>
      <c r="AP68" s="90" t="s">
        <v>1564</v>
      </c>
      <c r="AQ68" s="90" t="s">
        <v>1564</v>
      </c>
      <c r="AR68" s="90" t="s">
        <v>1564</v>
      </c>
      <c r="AS68" s="90" t="s">
        <v>1564</v>
      </c>
      <c r="AT68" s="91" t="s">
        <v>1564</v>
      </c>
      <c r="AU68" s="91" t="s">
        <v>1564</v>
      </c>
      <c r="AV68" s="176" t="str">
        <f t="shared" si="1"/>
        <v>Resultado</v>
      </c>
      <c r="AW68" s="80"/>
      <c r="AX68" s="80"/>
      <c r="AY68" s="80"/>
      <c r="AZ68" s="80"/>
      <c r="BA68" s="80"/>
      <c r="BB68" s="80"/>
      <c r="BC68" s="80"/>
      <c r="BD68" s="80"/>
      <c r="BE68" s="80"/>
      <c r="BF68" s="80"/>
      <c r="BG68" s="80"/>
      <c r="BH68" s="80"/>
      <c r="BI68" s="80"/>
      <c r="BJ68" s="80"/>
      <c r="BK68" s="80"/>
    </row>
    <row r="69" spans="1:63" s="78" customFormat="1" ht="39.75" customHeight="1" x14ac:dyDescent="0.25">
      <c r="A69" s="86">
        <v>5</v>
      </c>
      <c r="B69" s="86" t="s">
        <v>1591</v>
      </c>
      <c r="C69" s="75"/>
      <c r="D69" s="86" t="s">
        <v>202</v>
      </c>
      <c r="E69" s="86" t="s">
        <v>203</v>
      </c>
      <c r="F69" s="86" t="s">
        <v>792</v>
      </c>
      <c r="G69" s="86" t="s">
        <v>719</v>
      </c>
      <c r="H69" s="75"/>
      <c r="I69" s="86" t="s">
        <v>1715</v>
      </c>
      <c r="J69" s="86" t="s">
        <v>1591</v>
      </c>
      <c r="K69" s="75"/>
      <c r="L69" s="86" t="s">
        <v>512</v>
      </c>
      <c r="M69" s="86" t="s">
        <v>512</v>
      </c>
      <c r="N69" s="86" t="s">
        <v>512</v>
      </c>
      <c r="O69" s="86" t="s">
        <v>512</v>
      </c>
      <c r="P69" s="176" t="s">
        <v>228</v>
      </c>
      <c r="Q69" s="86" t="s">
        <v>204</v>
      </c>
      <c r="R69" s="176" t="str">
        <f t="shared" si="2"/>
        <v xml:space="preserve">Subdirector(a) Restablecimiento de Derechos </v>
      </c>
      <c r="S69" s="87" t="s">
        <v>228</v>
      </c>
      <c r="T69" s="177" t="s">
        <v>227</v>
      </c>
      <c r="U69" s="92">
        <v>1</v>
      </c>
      <c r="V69" s="136">
        <f>+VLOOKUP(AV69,Hoja1!$P$6:$R$26,3,FALSE)</f>
        <v>1.276595744680851E-3</v>
      </c>
      <c r="W69" s="75"/>
      <c r="X69" s="89" t="s">
        <v>1564</v>
      </c>
      <c r="Y69" s="89" t="s">
        <v>1564</v>
      </c>
      <c r="Z69" s="89" t="s">
        <v>1564</v>
      </c>
      <c r="AA69" s="89"/>
      <c r="AB69" s="89"/>
      <c r="AC69" s="89"/>
      <c r="AD69" s="89"/>
      <c r="AE69" s="75"/>
      <c r="AF69" s="89" t="s">
        <v>98</v>
      </c>
      <c r="AG69" s="89" t="s">
        <v>533</v>
      </c>
      <c r="AH69" s="89" t="s">
        <v>84</v>
      </c>
      <c r="AI69" s="89" t="s">
        <v>46</v>
      </c>
      <c r="AJ69" s="90" t="s">
        <v>1564</v>
      </c>
      <c r="AK69" s="90" t="s">
        <v>1564</v>
      </c>
      <c r="AL69" s="90" t="s">
        <v>1564</v>
      </c>
      <c r="AM69" s="90" t="s">
        <v>1564</v>
      </c>
      <c r="AN69" s="90" t="s">
        <v>1564</v>
      </c>
      <c r="AO69" s="90" t="s">
        <v>1564</v>
      </c>
      <c r="AP69" s="90" t="s">
        <v>1564</v>
      </c>
      <c r="AQ69" s="90" t="s">
        <v>1564</v>
      </c>
      <c r="AR69" s="90" t="s">
        <v>1564</v>
      </c>
      <c r="AS69" s="90" t="s">
        <v>1564</v>
      </c>
      <c r="AT69" s="91" t="s">
        <v>1564</v>
      </c>
      <c r="AU69" s="91" t="s">
        <v>1564</v>
      </c>
      <c r="AV69" s="176" t="str">
        <f t="shared" si="1"/>
        <v>Gestión</v>
      </c>
      <c r="AW69" s="80"/>
      <c r="AX69" s="80"/>
      <c r="AY69" s="80"/>
      <c r="AZ69" s="80"/>
      <c r="BA69" s="80"/>
      <c r="BB69" s="80"/>
      <c r="BC69" s="80"/>
      <c r="BD69" s="80"/>
      <c r="BE69" s="80"/>
      <c r="BF69" s="80"/>
      <c r="BG69" s="80"/>
      <c r="BH69" s="80"/>
      <c r="BI69" s="80"/>
      <c r="BJ69" s="80"/>
      <c r="BK69" s="80"/>
    </row>
    <row r="70" spans="1:63" s="78" customFormat="1" ht="39.75" customHeight="1" x14ac:dyDescent="0.25">
      <c r="A70" s="86">
        <v>5</v>
      </c>
      <c r="B70" s="86" t="s">
        <v>1591</v>
      </c>
      <c r="C70" s="75"/>
      <c r="D70" s="86" t="s">
        <v>202</v>
      </c>
      <c r="E70" s="86" t="s">
        <v>203</v>
      </c>
      <c r="F70" s="86" t="s">
        <v>792</v>
      </c>
      <c r="G70" s="86" t="s">
        <v>719</v>
      </c>
      <c r="H70" s="75"/>
      <c r="I70" s="86" t="s">
        <v>1715</v>
      </c>
      <c r="J70" s="86" t="s">
        <v>1591</v>
      </c>
      <c r="K70" s="75"/>
      <c r="L70" s="86" t="s">
        <v>512</v>
      </c>
      <c r="M70" s="86" t="s">
        <v>512</v>
      </c>
      <c r="N70" s="86" t="s">
        <v>512</v>
      </c>
      <c r="O70" s="86" t="s">
        <v>512</v>
      </c>
      <c r="P70" s="176" t="s">
        <v>230</v>
      </c>
      <c r="Q70" s="86" t="s">
        <v>204</v>
      </c>
      <c r="R70" s="176" t="str">
        <f t="shared" si="2"/>
        <v xml:space="preserve">Subdirector(a) Restablecimiento de Derechos </v>
      </c>
      <c r="S70" s="87" t="s">
        <v>230</v>
      </c>
      <c r="T70" s="177" t="s">
        <v>229</v>
      </c>
      <c r="U70" s="92">
        <v>1</v>
      </c>
      <c r="V70" s="136">
        <f>+VLOOKUP(AV70,Hoja1!$P$6:$R$26,3,FALSE)</f>
        <v>1.276595744680851E-3</v>
      </c>
      <c r="W70" s="75"/>
      <c r="X70" s="89" t="s">
        <v>1564</v>
      </c>
      <c r="Y70" s="89" t="s">
        <v>1564</v>
      </c>
      <c r="Z70" s="89"/>
      <c r="AA70" s="89"/>
      <c r="AB70" s="89"/>
      <c r="AC70" s="89"/>
      <c r="AD70" s="89"/>
      <c r="AE70" s="75"/>
      <c r="AF70" s="89" t="s">
        <v>683</v>
      </c>
      <c r="AG70" s="89" t="s">
        <v>533</v>
      </c>
      <c r="AH70" s="89" t="s">
        <v>84</v>
      </c>
      <c r="AI70" s="89" t="s">
        <v>46</v>
      </c>
      <c r="AJ70" s="90" t="s">
        <v>1564</v>
      </c>
      <c r="AK70" s="90" t="s">
        <v>1564</v>
      </c>
      <c r="AL70" s="90" t="s">
        <v>1564</v>
      </c>
      <c r="AM70" s="90" t="s">
        <v>1564</v>
      </c>
      <c r="AN70" s="90" t="s">
        <v>1564</v>
      </c>
      <c r="AO70" s="90" t="s">
        <v>1564</v>
      </c>
      <c r="AP70" s="90" t="s">
        <v>1564</v>
      </c>
      <c r="AQ70" s="90" t="s">
        <v>1564</v>
      </c>
      <c r="AR70" s="90" t="s">
        <v>1564</v>
      </c>
      <c r="AS70" s="90" t="s">
        <v>1564</v>
      </c>
      <c r="AT70" s="91" t="s">
        <v>1564</v>
      </c>
      <c r="AU70" s="91" t="s">
        <v>1564</v>
      </c>
      <c r="AV70" s="176" t="str">
        <f t="shared" ref="AV70:AV134" si="3">+AG70&amp;AA70</f>
        <v>Gestión</v>
      </c>
      <c r="AW70" s="80"/>
      <c r="AX70" s="80"/>
      <c r="AY70" s="80"/>
      <c r="AZ70" s="80"/>
      <c r="BA70" s="80"/>
      <c r="BB70" s="80"/>
      <c r="BC70" s="80"/>
      <c r="BD70" s="80"/>
      <c r="BE70" s="80"/>
      <c r="BF70" s="80"/>
      <c r="BG70" s="80"/>
      <c r="BH70" s="80"/>
      <c r="BI70" s="80"/>
      <c r="BJ70" s="80"/>
      <c r="BK70" s="80"/>
    </row>
    <row r="71" spans="1:63" s="78" customFormat="1" ht="39.75" customHeight="1" x14ac:dyDescent="0.25">
      <c r="A71" s="86">
        <v>5</v>
      </c>
      <c r="B71" s="86" t="s">
        <v>1591</v>
      </c>
      <c r="C71" s="75"/>
      <c r="D71" s="86" t="s">
        <v>202</v>
      </c>
      <c r="E71" s="86" t="s">
        <v>203</v>
      </c>
      <c r="F71" s="86" t="s">
        <v>792</v>
      </c>
      <c r="G71" s="86" t="s">
        <v>719</v>
      </c>
      <c r="H71" s="75"/>
      <c r="I71" s="86" t="s">
        <v>1715</v>
      </c>
      <c r="J71" s="86" t="s">
        <v>1591</v>
      </c>
      <c r="K71" s="75"/>
      <c r="L71" s="86" t="s">
        <v>512</v>
      </c>
      <c r="M71" s="86" t="s">
        <v>512</v>
      </c>
      <c r="N71" s="86" t="s">
        <v>512</v>
      </c>
      <c r="O71" s="86" t="s">
        <v>512</v>
      </c>
      <c r="P71" s="176" t="s">
        <v>232</v>
      </c>
      <c r="Q71" s="86" t="s">
        <v>204</v>
      </c>
      <c r="R71" s="176" t="str">
        <f t="shared" si="2"/>
        <v xml:space="preserve">Subdirector(a) Restablecimiento de Derechos </v>
      </c>
      <c r="S71" s="87" t="s">
        <v>232</v>
      </c>
      <c r="T71" s="177" t="s">
        <v>231</v>
      </c>
      <c r="U71" s="92">
        <v>0.94</v>
      </c>
      <c r="V71" s="136">
        <f>+VLOOKUP(AV71,Hoja1!$P$6:$R$26,3,FALSE)</f>
        <v>3.7499999999999999E-3</v>
      </c>
      <c r="W71" s="75"/>
      <c r="X71" s="89" t="s">
        <v>1564</v>
      </c>
      <c r="Y71" s="89" t="s">
        <v>1564</v>
      </c>
      <c r="Z71" s="89"/>
      <c r="AA71" s="89"/>
      <c r="AB71" s="89"/>
      <c r="AC71" s="89"/>
      <c r="AD71" s="89"/>
      <c r="AE71" s="75"/>
      <c r="AF71" s="89" t="s">
        <v>98</v>
      </c>
      <c r="AG71" s="89" t="s">
        <v>103</v>
      </c>
      <c r="AH71" s="89" t="s">
        <v>808</v>
      </c>
      <c r="AI71" s="89" t="s">
        <v>58</v>
      </c>
      <c r="AJ71" s="89"/>
      <c r="AK71" s="89"/>
      <c r="AL71" s="89"/>
      <c r="AM71" s="89"/>
      <c r="AN71" s="89"/>
      <c r="AO71" s="89"/>
      <c r="AP71" s="89"/>
      <c r="AQ71" s="89"/>
      <c r="AR71" s="89"/>
      <c r="AS71" s="89"/>
      <c r="AT71" s="95"/>
      <c r="AU71" s="91" t="s">
        <v>1564</v>
      </c>
      <c r="AV71" s="176" t="str">
        <f t="shared" si="3"/>
        <v>Resultado</v>
      </c>
      <c r="AW71" s="80"/>
      <c r="AX71" s="80"/>
      <c r="AY71" s="80"/>
      <c r="AZ71" s="80"/>
      <c r="BA71" s="80"/>
      <c r="BB71" s="80"/>
      <c r="BC71" s="80"/>
      <c r="BD71" s="80"/>
      <c r="BE71" s="80"/>
      <c r="BF71" s="80"/>
      <c r="BG71" s="80"/>
      <c r="BH71" s="80"/>
      <c r="BI71" s="80"/>
      <c r="BJ71" s="80"/>
      <c r="BK71" s="80"/>
    </row>
    <row r="72" spans="1:63" s="78" customFormat="1" ht="39.75" customHeight="1" x14ac:dyDescent="0.25">
      <c r="A72" s="86">
        <v>5</v>
      </c>
      <c r="B72" s="86" t="s">
        <v>1591</v>
      </c>
      <c r="C72" s="75"/>
      <c r="D72" s="86" t="s">
        <v>202</v>
      </c>
      <c r="E72" s="86" t="s">
        <v>203</v>
      </c>
      <c r="F72" s="86" t="s">
        <v>792</v>
      </c>
      <c r="G72" s="86" t="s">
        <v>719</v>
      </c>
      <c r="H72" s="75"/>
      <c r="I72" s="86" t="s">
        <v>1715</v>
      </c>
      <c r="J72" s="86" t="s">
        <v>1591</v>
      </c>
      <c r="K72" s="75"/>
      <c r="L72" s="86" t="s">
        <v>512</v>
      </c>
      <c r="M72" s="86" t="s">
        <v>512</v>
      </c>
      <c r="N72" s="86" t="s">
        <v>512</v>
      </c>
      <c r="O72" s="86" t="s">
        <v>512</v>
      </c>
      <c r="P72" s="176" t="s">
        <v>234</v>
      </c>
      <c r="Q72" s="86" t="s">
        <v>204</v>
      </c>
      <c r="R72" s="176" t="str">
        <f t="shared" si="2"/>
        <v xml:space="preserve">Subdirector(a) Restablecimiento de Derechos </v>
      </c>
      <c r="S72" s="87" t="s">
        <v>234</v>
      </c>
      <c r="T72" s="177" t="s">
        <v>233</v>
      </c>
      <c r="U72" s="92">
        <v>1</v>
      </c>
      <c r="V72" s="136">
        <f>+VLOOKUP(AV72,Hoja1!$P$6:$R$26,3,FALSE)</f>
        <v>3.7499999999999999E-3</v>
      </c>
      <c r="W72" s="75"/>
      <c r="X72" s="89" t="s">
        <v>1564</v>
      </c>
      <c r="Y72" s="89" t="s">
        <v>1564</v>
      </c>
      <c r="Z72" s="89"/>
      <c r="AA72" s="89"/>
      <c r="AB72" s="89"/>
      <c r="AC72" s="89"/>
      <c r="AD72" s="89"/>
      <c r="AE72" s="75"/>
      <c r="AF72" s="89" t="s">
        <v>98</v>
      </c>
      <c r="AG72" s="89" t="s">
        <v>103</v>
      </c>
      <c r="AH72" s="89" t="s">
        <v>71</v>
      </c>
      <c r="AI72" s="89" t="s">
        <v>47</v>
      </c>
      <c r="AJ72" s="89"/>
      <c r="AK72" s="89"/>
      <c r="AL72" s="90" t="s">
        <v>1564</v>
      </c>
      <c r="AM72" s="93"/>
      <c r="AN72" s="93"/>
      <c r="AO72" s="90" t="s">
        <v>1564</v>
      </c>
      <c r="AP72" s="93"/>
      <c r="AQ72" s="93"/>
      <c r="AR72" s="90" t="s">
        <v>1564</v>
      </c>
      <c r="AS72" s="93"/>
      <c r="AT72" s="94"/>
      <c r="AU72" s="91" t="s">
        <v>1564</v>
      </c>
      <c r="AV72" s="176" t="str">
        <f t="shared" si="3"/>
        <v>Resultado</v>
      </c>
      <c r="AW72" s="80"/>
      <c r="AX72" s="80"/>
      <c r="AY72" s="80"/>
      <c r="AZ72" s="80"/>
      <c r="BA72" s="80"/>
      <c r="BB72" s="80"/>
      <c r="BC72" s="80"/>
      <c r="BD72" s="80"/>
      <c r="BE72" s="80"/>
      <c r="BF72" s="80"/>
      <c r="BG72" s="80"/>
      <c r="BH72" s="80"/>
      <c r="BI72" s="80"/>
      <c r="BJ72" s="80"/>
      <c r="BK72" s="80"/>
    </row>
    <row r="73" spans="1:63" s="78" customFormat="1" ht="39.75" customHeight="1" x14ac:dyDescent="0.25">
      <c r="A73" s="86">
        <v>5</v>
      </c>
      <c r="B73" s="86" t="s">
        <v>1591</v>
      </c>
      <c r="C73" s="75"/>
      <c r="D73" s="86" t="s">
        <v>202</v>
      </c>
      <c r="E73" s="86" t="s">
        <v>203</v>
      </c>
      <c r="F73" s="86" t="s">
        <v>792</v>
      </c>
      <c r="G73" s="86" t="s">
        <v>719</v>
      </c>
      <c r="H73" s="75"/>
      <c r="I73" s="86" t="s">
        <v>1715</v>
      </c>
      <c r="J73" s="86" t="s">
        <v>1591</v>
      </c>
      <c r="K73" s="75"/>
      <c r="L73" s="86" t="s">
        <v>512</v>
      </c>
      <c r="M73" s="86" t="s">
        <v>512</v>
      </c>
      <c r="N73" s="86" t="s">
        <v>512</v>
      </c>
      <c r="O73" s="86" t="s">
        <v>512</v>
      </c>
      <c r="P73" s="176" t="s">
        <v>236</v>
      </c>
      <c r="Q73" s="86" t="s">
        <v>204</v>
      </c>
      <c r="R73" s="176" t="str">
        <f t="shared" si="2"/>
        <v xml:space="preserve">Subdirector(a) Restablecimiento de Derechos </v>
      </c>
      <c r="S73" s="87" t="s">
        <v>236</v>
      </c>
      <c r="T73" s="177" t="s">
        <v>235</v>
      </c>
      <c r="U73" s="92">
        <v>0.8</v>
      </c>
      <c r="V73" s="136">
        <f>+VLOOKUP(AV73,Hoja1!$P$6:$R$26,3,FALSE)</f>
        <v>3.7499999999999999E-3</v>
      </c>
      <c r="W73" s="75"/>
      <c r="X73" s="89" t="s">
        <v>1564</v>
      </c>
      <c r="Y73" s="89" t="s">
        <v>1564</v>
      </c>
      <c r="Z73" s="89" t="s">
        <v>1564</v>
      </c>
      <c r="AA73" s="89"/>
      <c r="AB73" s="89"/>
      <c r="AC73" s="89"/>
      <c r="AD73" s="89"/>
      <c r="AE73" s="75"/>
      <c r="AF73" s="89" t="s">
        <v>98</v>
      </c>
      <c r="AG73" s="89" t="s">
        <v>103</v>
      </c>
      <c r="AH73" s="89" t="s">
        <v>71</v>
      </c>
      <c r="AI73" s="89" t="s">
        <v>47</v>
      </c>
      <c r="AJ73" s="89"/>
      <c r="AK73" s="89"/>
      <c r="AL73" s="90" t="s">
        <v>1564</v>
      </c>
      <c r="AM73" s="93"/>
      <c r="AN73" s="93"/>
      <c r="AO73" s="90" t="s">
        <v>1564</v>
      </c>
      <c r="AP73" s="93"/>
      <c r="AQ73" s="93"/>
      <c r="AR73" s="90" t="s">
        <v>1564</v>
      </c>
      <c r="AS73" s="93"/>
      <c r="AT73" s="94"/>
      <c r="AU73" s="91" t="s">
        <v>1564</v>
      </c>
      <c r="AV73" s="176" t="str">
        <f t="shared" si="3"/>
        <v>Resultado</v>
      </c>
      <c r="AW73" s="80"/>
      <c r="AX73" s="80"/>
      <c r="AY73" s="80"/>
      <c r="AZ73" s="80"/>
      <c r="BA73" s="80"/>
      <c r="BB73" s="80"/>
      <c r="BC73" s="80"/>
      <c r="BD73" s="80"/>
      <c r="BE73" s="80"/>
      <c r="BF73" s="80"/>
      <c r="BG73" s="80"/>
      <c r="BH73" s="80"/>
      <c r="BI73" s="80"/>
      <c r="BJ73" s="80"/>
      <c r="BK73" s="80"/>
    </row>
    <row r="74" spans="1:63" s="78" customFormat="1" ht="39.75" customHeight="1" x14ac:dyDescent="0.25">
      <c r="A74" s="86">
        <v>5</v>
      </c>
      <c r="B74" s="86" t="s">
        <v>1591</v>
      </c>
      <c r="C74" s="75"/>
      <c r="D74" s="86" t="s">
        <v>202</v>
      </c>
      <c r="E74" s="86" t="s">
        <v>203</v>
      </c>
      <c r="F74" s="86" t="s">
        <v>792</v>
      </c>
      <c r="G74" s="86" t="s">
        <v>719</v>
      </c>
      <c r="H74" s="75"/>
      <c r="I74" s="86" t="s">
        <v>1715</v>
      </c>
      <c r="J74" s="86" t="s">
        <v>1591</v>
      </c>
      <c r="K74" s="75"/>
      <c r="L74" s="86" t="s">
        <v>512</v>
      </c>
      <c r="M74" s="86" t="s">
        <v>512</v>
      </c>
      <c r="N74" s="86" t="s">
        <v>512</v>
      </c>
      <c r="O74" s="86" t="s">
        <v>512</v>
      </c>
      <c r="P74" s="176" t="s">
        <v>1359</v>
      </c>
      <c r="Q74" s="86" t="s">
        <v>204</v>
      </c>
      <c r="R74" s="176" t="str">
        <f t="shared" si="2"/>
        <v xml:space="preserve">Subdirector(a) Restablecimiento de Derechos </v>
      </c>
      <c r="S74" s="87" t="s">
        <v>1359</v>
      </c>
      <c r="T74" s="177" t="s">
        <v>1355</v>
      </c>
      <c r="U74" s="92">
        <v>1</v>
      </c>
      <c r="V74" s="136">
        <f>+VLOOKUP(AV74,Hoja1!$P$6:$R$26,3,FALSE)</f>
        <v>1.276595744680851E-3</v>
      </c>
      <c r="W74" s="75"/>
      <c r="X74" s="89" t="s">
        <v>1564</v>
      </c>
      <c r="Y74" s="89"/>
      <c r="Z74" s="89"/>
      <c r="AA74" s="89"/>
      <c r="AB74" s="89"/>
      <c r="AC74" s="89"/>
      <c r="AD74" s="89"/>
      <c r="AE74" s="75"/>
      <c r="AF74" s="89" t="s">
        <v>683</v>
      </c>
      <c r="AG74" s="89" t="s">
        <v>533</v>
      </c>
      <c r="AH74" s="89" t="s">
        <v>84</v>
      </c>
      <c r="AI74" s="89" t="s">
        <v>47</v>
      </c>
      <c r="AJ74" s="89"/>
      <c r="AK74" s="89"/>
      <c r="AL74" s="90" t="s">
        <v>1564</v>
      </c>
      <c r="AM74" s="90" t="s">
        <v>1564</v>
      </c>
      <c r="AN74" s="90" t="s">
        <v>1564</v>
      </c>
      <c r="AO74" s="90" t="s">
        <v>1564</v>
      </c>
      <c r="AP74" s="90" t="s">
        <v>1564</v>
      </c>
      <c r="AQ74" s="90" t="s">
        <v>1564</v>
      </c>
      <c r="AR74" s="90" t="s">
        <v>1564</v>
      </c>
      <c r="AS74" s="90" t="s">
        <v>1564</v>
      </c>
      <c r="AT74" s="91" t="s">
        <v>1564</v>
      </c>
      <c r="AU74" s="91" t="s">
        <v>1564</v>
      </c>
      <c r="AV74" s="176" t="str">
        <f t="shared" si="3"/>
        <v>Gestión</v>
      </c>
      <c r="AW74" s="80"/>
      <c r="AX74" s="80"/>
      <c r="AY74" s="80"/>
      <c r="AZ74" s="80"/>
      <c r="BA74" s="80"/>
      <c r="BB74" s="80"/>
      <c r="BC74" s="80"/>
      <c r="BD74" s="80"/>
      <c r="BE74" s="80"/>
      <c r="BF74" s="80"/>
      <c r="BG74" s="80"/>
      <c r="BH74" s="80"/>
      <c r="BI74" s="80"/>
      <c r="BJ74" s="80"/>
      <c r="BK74" s="80"/>
    </row>
    <row r="75" spans="1:63" s="78" customFormat="1" ht="39.75" customHeight="1" x14ac:dyDescent="0.25">
      <c r="A75" s="86">
        <v>5</v>
      </c>
      <c r="B75" s="86" t="s">
        <v>1591</v>
      </c>
      <c r="C75" s="75"/>
      <c r="D75" s="86" t="s">
        <v>202</v>
      </c>
      <c r="E75" s="86" t="s">
        <v>203</v>
      </c>
      <c r="F75" s="86" t="s">
        <v>792</v>
      </c>
      <c r="G75" s="86" t="s">
        <v>719</v>
      </c>
      <c r="H75" s="75"/>
      <c r="I75" s="86" t="s">
        <v>1715</v>
      </c>
      <c r="J75" s="86" t="s">
        <v>1591</v>
      </c>
      <c r="K75" s="75"/>
      <c r="L75" s="86" t="s">
        <v>512</v>
      </c>
      <c r="M75" s="86" t="s">
        <v>512</v>
      </c>
      <c r="N75" s="86" t="s">
        <v>512</v>
      </c>
      <c r="O75" s="86" t="s">
        <v>512</v>
      </c>
      <c r="P75" s="176" t="s">
        <v>1359</v>
      </c>
      <c r="Q75" s="86" t="s">
        <v>204</v>
      </c>
      <c r="R75" s="176"/>
      <c r="S75" s="488" t="s">
        <v>2206</v>
      </c>
      <c r="T75" s="177" t="s">
        <v>2208</v>
      </c>
      <c r="U75" s="92">
        <v>1</v>
      </c>
      <c r="V75" s="487"/>
      <c r="W75" s="75"/>
      <c r="X75" s="89" t="s">
        <v>1564</v>
      </c>
      <c r="Y75" s="89" t="s">
        <v>1564</v>
      </c>
      <c r="Z75" s="89" t="s">
        <v>1564</v>
      </c>
      <c r="AA75" s="89"/>
      <c r="AB75" s="89"/>
      <c r="AC75" s="89"/>
      <c r="AD75" s="89"/>
      <c r="AE75" s="75"/>
      <c r="AF75" s="89" t="s">
        <v>98</v>
      </c>
      <c r="AG75" s="89" t="s">
        <v>103</v>
      </c>
      <c r="AH75" s="89" t="s">
        <v>808</v>
      </c>
      <c r="AI75" s="89" t="s">
        <v>58</v>
      </c>
      <c r="AJ75" s="89"/>
      <c r="AK75" s="89"/>
      <c r="AL75" s="89"/>
      <c r="AM75" s="89"/>
      <c r="AN75" s="89"/>
      <c r="AO75" s="89"/>
      <c r="AP75" s="89"/>
      <c r="AQ75" s="89"/>
      <c r="AR75" s="89"/>
      <c r="AS75" s="89"/>
      <c r="AT75" s="89"/>
      <c r="AU75" s="91" t="s">
        <v>1564</v>
      </c>
      <c r="AV75" s="176"/>
      <c r="AW75" s="80"/>
      <c r="AX75" s="80"/>
      <c r="AY75" s="80"/>
      <c r="AZ75" s="80"/>
      <c r="BA75" s="80"/>
      <c r="BB75" s="80"/>
      <c r="BC75" s="80"/>
      <c r="BD75" s="80"/>
      <c r="BE75" s="80"/>
      <c r="BF75" s="80"/>
      <c r="BG75" s="80"/>
      <c r="BH75" s="80"/>
      <c r="BI75" s="80"/>
      <c r="BJ75" s="80"/>
      <c r="BK75" s="80"/>
    </row>
    <row r="76" spans="1:63" ht="39.75" customHeight="1" x14ac:dyDescent="0.25">
      <c r="A76" s="86">
        <v>5</v>
      </c>
      <c r="B76" s="86" t="s">
        <v>1591</v>
      </c>
      <c r="D76" s="86" t="s">
        <v>202</v>
      </c>
      <c r="E76" s="86" t="s">
        <v>203</v>
      </c>
      <c r="F76" s="86" t="s">
        <v>785</v>
      </c>
      <c r="G76" s="86" t="s">
        <v>1599</v>
      </c>
      <c r="I76" s="86" t="s">
        <v>1715</v>
      </c>
      <c r="J76" s="86" t="s">
        <v>1591</v>
      </c>
      <c r="L76" s="86" t="s">
        <v>501</v>
      </c>
      <c r="M76" s="86" t="s">
        <v>515</v>
      </c>
      <c r="N76" s="86" t="s">
        <v>503</v>
      </c>
      <c r="O76" s="86" t="s">
        <v>504</v>
      </c>
      <c r="P76" s="176" t="s">
        <v>239</v>
      </c>
      <c r="Q76" s="86" t="s">
        <v>238</v>
      </c>
      <c r="R76" s="176" t="str">
        <f t="shared" si="2"/>
        <v>Subdirector(a) Adopciones</v>
      </c>
      <c r="S76" s="87" t="s">
        <v>239</v>
      </c>
      <c r="T76" s="177" t="s">
        <v>240</v>
      </c>
      <c r="U76" s="92">
        <v>1</v>
      </c>
      <c r="V76" s="136">
        <f>+VLOOKUP(AV76,Hoja1!$P$6:$R$26,3,FALSE)</f>
        <v>9.3023255813953487E-3</v>
      </c>
      <c r="X76" s="89" t="s">
        <v>1564</v>
      </c>
      <c r="Y76" s="89" t="s">
        <v>1564</v>
      </c>
      <c r="Z76" s="89"/>
      <c r="AA76" s="89" t="s">
        <v>1564</v>
      </c>
      <c r="AB76" s="89"/>
      <c r="AC76" s="89"/>
      <c r="AD76" s="89"/>
      <c r="AF76" s="89" t="s">
        <v>98</v>
      </c>
      <c r="AG76" s="89" t="s">
        <v>103</v>
      </c>
      <c r="AH76" s="89" t="s">
        <v>84</v>
      </c>
      <c r="AI76" s="89" t="s">
        <v>46</v>
      </c>
      <c r="AJ76" s="90" t="s">
        <v>1564</v>
      </c>
      <c r="AK76" s="90" t="s">
        <v>1564</v>
      </c>
      <c r="AL76" s="90" t="s">
        <v>1564</v>
      </c>
      <c r="AM76" s="90" t="s">
        <v>1564</v>
      </c>
      <c r="AN76" s="90" t="s">
        <v>1564</v>
      </c>
      <c r="AO76" s="90" t="s">
        <v>1564</v>
      </c>
      <c r="AP76" s="90" t="s">
        <v>1564</v>
      </c>
      <c r="AQ76" s="90" t="s">
        <v>1564</v>
      </c>
      <c r="AR76" s="90" t="s">
        <v>1564</v>
      </c>
      <c r="AS76" s="90" t="s">
        <v>1564</v>
      </c>
      <c r="AT76" s="91" t="s">
        <v>1564</v>
      </c>
      <c r="AU76" s="91" t="s">
        <v>1564</v>
      </c>
      <c r="AV76" s="176" t="str">
        <f t="shared" si="3"/>
        <v>Resultadox</v>
      </c>
    </row>
    <row r="77" spans="1:63" ht="39.75" customHeight="1" x14ac:dyDescent="0.25">
      <c r="A77" s="86">
        <v>5</v>
      </c>
      <c r="B77" s="86" t="s">
        <v>1591</v>
      </c>
      <c r="D77" s="86" t="s">
        <v>202</v>
      </c>
      <c r="E77" s="86" t="s">
        <v>203</v>
      </c>
      <c r="F77" s="86" t="s">
        <v>785</v>
      </c>
      <c r="G77" s="86" t="s">
        <v>1599</v>
      </c>
      <c r="I77" s="86" t="s">
        <v>1715</v>
      </c>
      <c r="J77" s="86" t="s">
        <v>1591</v>
      </c>
      <c r="L77" s="86" t="s">
        <v>501</v>
      </c>
      <c r="M77" s="86" t="s">
        <v>515</v>
      </c>
      <c r="N77" s="86" t="s">
        <v>503</v>
      </c>
      <c r="O77" s="86" t="s">
        <v>504</v>
      </c>
      <c r="P77" s="176" t="s">
        <v>241</v>
      </c>
      <c r="Q77" s="86" t="s">
        <v>238</v>
      </c>
      <c r="R77" s="176" t="str">
        <f t="shared" si="2"/>
        <v>Subdirector(a) Adopciones</v>
      </c>
      <c r="S77" s="87" t="s">
        <v>241</v>
      </c>
      <c r="T77" s="177" t="s">
        <v>242</v>
      </c>
      <c r="U77" s="92">
        <v>0.55000000000000004</v>
      </c>
      <c r="V77" s="136">
        <f>+VLOOKUP(AV77,Hoja1!$P$6:$R$26,3,FALSE)</f>
        <v>9.3023255813953487E-3</v>
      </c>
      <c r="X77" s="89" t="s">
        <v>1564</v>
      </c>
      <c r="Y77" s="89" t="s">
        <v>1564</v>
      </c>
      <c r="Z77" s="89"/>
      <c r="AA77" s="89" t="s">
        <v>1564</v>
      </c>
      <c r="AB77" s="89" t="s">
        <v>1564</v>
      </c>
      <c r="AC77" s="89"/>
      <c r="AD77" s="89" t="s">
        <v>1564</v>
      </c>
      <c r="AF77" s="89" t="s">
        <v>98</v>
      </c>
      <c r="AG77" s="89" t="s">
        <v>103</v>
      </c>
      <c r="AH77" s="89" t="s">
        <v>84</v>
      </c>
      <c r="AI77" s="89" t="s">
        <v>46</v>
      </c>
      <c r="AJ77" s="90" t="s">
        <v>1564</v>
      </c>
      <c r="AK77" s="90" t="s">
        <v>1564</v>
      </c>
      <c r="AL77" s="90" t="s">
        <v>1564</v>
      </c>
      <c r="AM77" s="90" t="s">
        <v>1564</v>
      </c>
      <c r="AN77" s="90" t="s">
        <v>1564</v>
      </c>
      <c r="AO77" s="90" t="s">
        <v>1564</v>
      </c>
      <c r="AP77" s="90" t="s">
        <v>1564</v>
      </c>
      <c r="AQ77" s="90" t="s">
        <v>1564</v>
      </c>
      <c r="AR77" s="90" t="s">
        <v>1564</v>
      </c>
      <c r="AS77" s="90" t="s">
        <v>1564</v>
      </c>
      <c r="AT77" s="91" t="s">
        <v>1564</v>
      </c>
      <c r="AU77" s="91" t="s">
        <v>1564</v>
      </c>
      <c r="AV77" s="176" t="str">
        <f t="shared" si="3"/>
        <v>Resultadox</v>
      </c>
    </row>
    <row r="78" spans="1:63" ht="39.75" customHeight="1" x14ac:dyDescent="0.25">
      <c r="A78" s="86">
        <v>5</v>
      </c>
      <c r="B78" s="86" t="s">
        <v>1591</v>
      </c>
      <c r="D78" s="86" t="s">
        <v>202</v>
      </c>
      <c r="E78" s="86" t="s">
        <v>203</v>
      </c>
      <c r="F78" s="86" t="s">
        <v>785</v>
      </c>
      <c r="G78" s="86" t="s">
        <v>1599</v>
      </c>
      <c r="I78" s="86" t="s">
        <v>1715</v>
      </c>
      <c r="J78" s="86" t="s">
        <v>1591</v>
      </c>
      <c r="L78" s="86" t="s">
        <v>501</v>
      </c>
      <c r="M78" s="86" t="s">
        <v>515</v>
      </c>
      <c r="N78" s="86" t="s">
        <v>503</v>
      </c>
      <c r="O78" s="86" t="s">
        <v>504</v>
      </c>
      <c r="P78" s="176" t="s">
        <v>243</v>
      </c>
      <c r="Q78" s="86" t="s">
        <v>238</v>
      </c>
      <c r="R78" s="176" t="str">
        <f t="shared" si="2"/>
        <v>Subdirector(a) Adopciones</v>
      </c>
      <c r="S78" s="87" t="s">
        <v>243</v>
      </c>
      <c r="T78" s="177" t="s">
        <v>244</v>
      </c>
      <c r="U78" s="92">
        <v>1</v>
      </c>
      <c r="V78" s="136">
        <f>+VLOOKUP(AV78,Hoja1!$P$6:$R$26,3,FALSE)</f>
        <v>5.5813953488372094E-3</v>
      </c>
      <c r="X78" s="89" t="s">
        <v>1564</v>
      </c>
      <c r="Y78" s="89" t="s">
        <v>1564</v>
      </c>
      <c r="Z78" s="89"/>
      <c r="AA78" s="89" t="s">
        <v>1564</v>
      </c>
      <c r="AB78" s="89" t="s">
        <v>1564</v>
      </c>
      <c r="AC78" s="89"/>
      <c r="AD78" s="89"/>
      <c r="AF78" s="89" t="s">
        <v>98</v>
      </c>
      <c r="AG78" s="89" t="s">
        <v>533</v>
      </c>
      <c r="AH78" s="89" t="s">
        <v>84</v>
      </c>
      <c r="AI78" s="89" t="s">
        <v>46</v>
      </c>
      <c r="AJ78" s="90" t="s">
        <v>1564</v>
      </c>
      <c r="AK78" s="90" t="s">
        <v>1564</v>
      </c>
      <c r="AL78" s="90" t="s">
        <v>1564</v>
      </c>
      <c r="AM78" s="90" t="s">
        <v>1564</v>
      </c>
      <c r="AN78" s="90" t="s">
        <v>1564</v>
      </c>
      <c r="AO78" s="90" t="s">
        <v>1564</v>
      </c>
      <c r="AP78" s="90" t="s">
        <v>1564</v>
      </c>
      <c r="AQ78" s="90" t="s">
        <v>1564</v>
      </c>
      <c r="AR78" s="90" t="s">
        <v>1564</v>
      </c>
      <c r="AS78" s="90" t="s">
        <v>1564</v>
      </c>
      <c r="AT78" s="91" t="s">
        <v>1564</v>
      </c>
      <c r="AU78" s="91" t="s">
        <v>1564</v>
      </c>
      <c r="AV78" s="176" t="str">
        <f t="shared" si="3"/>
        <v>Gestiónx</v>
      </c>
    </row>
    <row r="79" spans="1:63" ht="39.75" customHeight="1" x14ac:dyDescent="0.25">
      <c r="A79" s="86">
        <v>5</v>
      </c>
      <c r="B79" s="86" t="s">
        <v>1591</v>
      </c>
      <c r="D79" s="86" t="s">
        <v>202</v>
      </c>
      <c r="E79" s="86" t="s">
        <v>203</v>
      </c>
      <c r="F79" s="86" t="s">
        <v>785</v>
      </c>
      <c r="G79" s="86" t="s">
        <v>1599</v>
      </c>
      <c r="I79" s="86" t="s">
        <v>1715</v>
      </c>
      <c r="J79" s="86" t="s">
        <v>1591</v>
      </c>
      <c r="L79" s="86" t="s">
        <v>512</v>
      </c>
      <c r="M79" s="86" t="s">
        <v>512</v>
      </c>
      <c r="N79" s="86" t="s">
        <v>512</v>
      </c>
      <c r="O79" s="86" t="s">
        <v>512</v>
      </c>
      <c r="P79" s="176" t="s">
        <v>245</v>
      </c>
      <c r="Q79" s="86" t="s">
        <v>238</v>
      </c>
      <c r="R79" s="176" t="str">
        <f t="shared" si="2"/>
        <v>Subdirector(a) Adopciones</v>
      </c>
      <c r="S79" s="87" t="s">
        <v>245</v>
      </c>
      <c r="T79" s="177" t="s">
        <v>246</v>
      </c>
      <c r="U79" s="92">
        <v>0.1</v>
      </c>
      <c r="V79" s="136">
        <f>+VLOOKUP(AV79,Hoja1!$P$6:$R$26,3,FALSE)</f>
        <v>3.7499999999999999E-3</v>
      </c>
      <c r="X79" s="89" t="s">
        <v>1564</v>
      </c>
      <c r="Y79" s="89" t="s">
        <v>1564</v>
      </c>
      <c r="Z79" s="89"/>
      <c r="AA79" s="89"/>
      <c r="AB79" s="89"/>
      <c r="AC79" s="89"/>
      <c r="AD79" s="89"/>
      <c r="AF79" s="89" t="s">
        <v>98</v>
      </c>
      <c r="AG79" s="89" t="s">
        <v>103</v>
      </c>
      <c r="AH79" s="89" t="s">
        <v>104</v>
      </c>
      <c r="AI79" s="89" t="s">
        <v>50</v>
      </c>
      <c r="AJ79" s="89"/>
      <c r="AK79" s="89"/>
      <c r="AL79" s="89"/>
      <c r="AM79" s="89"/>
      <c r="AN79" s="89"/>
      <c r="AO79" s="90" t="s">
        <v>1564</v>
      </c>
      <c r="AP79" s="93"/>
      <c r="AQ79" s="93"/>
      <c r="AR79" s="93"/>
      <c r="AS79" s="93"/>
      <c r="AT79" s="94"/>
      <c r="AU79" s="91" t="s">
        <v>1564</v>
      </c>
      <c r="AV79" s="176" t="str">
        <f t="shared" si="3"/>
        <v>Resultado</v>
      </c>
    </row>
    <row r="80" spans="1:63" ht="39.75" customHeight="1" x14ac:dyDescent="0.25">
      <c r="A80" s="86">
        <v>5</v>
      </c>
      <c r="B80" s="86" t="s">
        <v>1591</v>
      </c>
      <c r="D80" s="86" t="s">
        <v>202</v>
      </c>
      <c r="E80" s="86" t="s">
        <v>203</v>
      </c>
      <c r="F80" s="86" t="s">
        <v>873</v>
      </c>
      <c r="G80" s="86" t="s">
        <v>742</v>
      </c>
      <c r="I80" s="86" t="s">
        <v>1715</v>
      </c>
      <c r="J80" s="86" t="s">
        <v>1591</v>
      </c>
      <c r="L80" s="86" t="s">
        <v>501</v>
      </c>
      <c r="M80" s="86" t="s">
        <v>515</v>
      </c>
      <c r="N80" s="86" t="s">
        <v>503</v>
      </c>
      <c r="O80" s="86" t="s">
        <v>504</v>
      </c>
      <c r="P80" s="176" t="s">
        <v>248</v>
      </c>
      <c r="Q80" s="86" t="s">
        <v>247</v>
      </c>
      <c r="R80" s="176" t="str">
        <f t="shared" si="2"/>
        <v>Subdirector(a) Responsabilidad penal</v>
      </c>
      <c r="S80" s="87" t="s">
        <v>248</v>
      </c>
      <c r="T80" s="177" t="s">
        <v>249</v>
      </c>
      <c r="U80" s="92">
        <v>0.25</v>
      </c>
      <c r="V80" s="136">
        <f>+VLOOKUP(AV80,Hoja1!$P$6:$R$26,3,FALSE)</f>
        <v>9.3023255813953487E-3</v>
      </c>
      <c r="X80" s="89" t="s">
        <v>1564</v>
      </c>
      <c r="Y80" s="89" t="s">
        <v>1564</v>
      </c>
      <c r="Z80" s="89"/>
      <c r="AA80" s="89" t="s">
        <v>1564</v>
      </c>
      <c r="AB80" s="89" t="s">
        <v>1564</v>
      </c>
      <c r="AC80" s="89" t="s">
        <v>1564</v>
      </c>
      <c r="AD80" s="89" t="s">
        <v>1564</v>
      </c>
      <c r="AF80" s="89" t="s">
        <v>98</v>
      </c>
      <c r="AG80" s="89" t="s">
        <v>103</v>
      </c>
      <c r="AH80" s="89" t="s">
        <v>104</v>
      </c>
      <c r="AI80" s="89" t="s">
        <v>50</v>
      </c>
      <c r="AJ80" s="89"/>
      <c r="AK80" s="89"/>
      <c r="AL80" s="89"/>
      <c r="AM80" s="89"/>
      <c r="AN80" s="89"/>
      <c r="AO80" s="90" t="s">
        <v>1564</v>
      </c>
      <c r="AP80" s="93"/>
      <c r="AQ80" s="93"/>
      <c r="AR80" s="93"/>
      <c r="AS80" s="93"/>
      <c r="AT80" s="94"/>
      <c r="AU80" s="91" t="s">
        <v>1564</v>
      </c>
      <c r="AV80" s="176" t="str">
        <f t="shared" si="3"/>
        <v>Resultadox</v>
      </c>
    </row>
    <row r="81" spans="1:63" ht="39.75" customHeight="1" x14ac:dyDescent="0.25">
      <c r="A81" s="86">
        <v>5</v>
      </c>
      <c r="B81" s="86" t="s">
        <v>1591</v>
      </c>
      <c r="D81" s="86" t="s">
        <v>202</v>
      </c>
      <c r="E81" s="86" t="s">
        <v>203</v>
      </c>
      <c r="F81" s="86" t="s">
        <v>873</v>
      </c>
      <c r="G81" s="86" t="s">
        <v>742</v>
      </c>
      <c r="I81" s="86" t="s">
        <v>1715</v>
      </c>
      <c r="J81" s="86" t="s">
        <v>1591</v>
      </c>
      <c r="L81" s="86" t="s">
        <v>501</v>
      </c>
      <c r="M81" s="86" t="s">
        <v>515</v>
      </c>
      <c r="N81" s="86" t="s">
        <v>503</v>
      </c>
      <c r="O81" s="86" t="s">
        <v>504</v>
      </c>
      <c r="P81" s="176" t="s">
        <v>250</v>
      </c>
      <c r="Q81" s="86" t="s">
        <v>247</v>
      </c>
      <c r="R81" s="176" t="str">
        <f t="shared" si="2"/>
        <v>Subdirector(a) Responsabilidad penal</v>
      </c>
      <c r="S81" s="87" t="s">
        <v>250</v>
      </c>
      <c r="T81" s="177" t="s">
        <v>251</v>
      </c>
      <c r="U81" s="92">
        <v>0.12</v>
      </c>
      <c r="V81" s="136">
        <f>+VLOOKUP(AV81,Hoja1!$P$6:$R$26,3,FALSE)</f>
        <v>5.5813953488372094E-3</v>
      </c>
      <c r="X81" s="89" t="s">
        <v>1564</v>
      </c>
      <c r="Y81" s="89"/>
      <c r="Z81" s="89"/>
      <c r="AA81" s="89" t="s">
        <v>1564</v>
      </c>
      <c r="AB81" s="89" t="s">
        <v>1564</v>
      </c>
      <c r="AC81" s="89" t="s">
        <v>1564</v>
      </c>
      <c r="AD81" s="89" t="s">
        <v>1564</v>
      </c>
      <c r="AF81" s="89" t="s">
        <v>98</v>
      </c>
      <c r="AG81" s="89" t="s">
        <v>533</v>
      </c>
      <c r="AH81" s="89" t="s">
        <v>104</v>
      </c>
      <c r="AI81" s="89" t="s">
        <v>50</v>
      </c>
      <c r="AJ81" s="89"/>
      <c r="AK81" s="89"/>
      <c r="AL81" s="89"/>
      <c r="AM81" s="89"/>
      <c r="AN81" s="89"/>
      <c r="AO81" s="90" t="s">
        <v>1564</v>
      </c>
      <c r="AP81" s="93"/>
      <c r="AQ81" s="93"/>
      <c r="AR81" s="93"/>
      <c r="AS81" s="93"/>
      <c r="AT81" s="94"/>
      <c r="AU81" s="91" t="s">
        <v>1564</v>
      </c>
      <c r="AV81" s="176" t="str">
        <f t="shared" si="3"/>
        <v>Gestiónx</v>
      </c>
    </row>
    <row r="82" spans="1:63" ht="39.75" customHeight="1" x14ac:dyDescent="0.25">
      <c r="A82" s="86">
        <v>5</v>
      </c>
      <c r="B82" s="86" t="s">
        <v>1591</v>
      </c>
      <c r="D82" s="86" t="s">
        <v>202</v>
      </c>
      <c r="E82" s="86" t="s">
        <v>203</v>
      </c>
      <c r="F82" s="86" t="s">
        <v>873</v>
      </c>
      <c r="G82" s="86" t="s">
        <v>742</v>
      </c>
      <c r="I82" s="86" t="s">
        <v>1715</v>
      </c>
      <c r="J82" s="86" t="s">
        <v>1591</v>
      </c>
      <c r="L82" s="86" t="s">
        <v>501</v>
      </c>
      <c r="M82" s="86" t="s">
        <v>515</v>
      </c>
      <c r="N82" s="86" t="s">
        <v>503</v>
      </c>
      <c r="O82" s="86" t="s">
        <v>504</v>
      </c>
      <c r="P82" s="176" t="s">
        <v>252</v>
      </c>
      <c r="Q82" s="86" t="s">
        <v>247</v>
      </c>
      <c r="R82" s="176" t="str">
        <f t="shared" si="2"/>
        <v>Subdirector(a) Responsabilidad penal</v>
      </c>
      <c r="S82" s="87" t="s">
        <v>252</v>
      </c>
      <c r="T82" s="177" t="s">
        <v>253</v>
      </c>
      <c r="U82" s="92">
        <v>0.25</v>
      </c>
      <c r="V82" s="136">
        <f>+VLOOKUP(AV82,Hoja1!$P$6:$R$26,3,FALSE)</f>
        <v>5.5813953488372094E-3</v>
      </c>
      <c r="X82" s="89" t="s">
        <v>1564</v>
      </c>
      <c r="Y82" s="89"/>
      <c r="Z82" s="89"/>
      <c r="AA82" s="89" t="s">
        <v>1564</v>
      </c>
      <c r="AB82" s="89" t="s">
        <v>1564</v>
      </c>
      <c r="AC82" s="89"/>
      <c r="AD82" s="89"/>
      <c r="AF82" s="89" t="s">
        <v>98</v>
      </c>
      <c r="AG82" s="89" t="s">
        <v>533</v>
      </c>
      <c r="AH82" s="89" t="s">
        <v>71</v>
      </c>
      <c r="AI82" s="89" t="s">
        <v>47</v>
      </c>
      <c r="AJ82" s="89"/>
      <c r="AK82" s="89"/>
      <c r="AL82" s="90" t="s">
        <v>1564</v>
      </c>
      <c r="AM82" s="93"/>
      <c r="AN82" s="93"/>
      <c r="AO82" s="90" t="s">
        <v>1564</v>
      </c>
      <c r="AP82" s="93"/>
      <c r="AQ82" s="93"/>
      <c r="AR82" s="90" t="s">
        <v>1564</v>
      </c>
      <c r="AS82" s="93"/>
      <c r="AT82" s="94"/>
      <c r="AU82" s="91" t="s">
        <v>1564</v>
      </c>
      <c r="AV82" s="176" t="str">
        <f t="shared" si="3"/>
        <v>Gestiónx</v>
      </c>
    </row>
    <row r="83" spans="1:63" ht="39.75" customHeight="1" x14ac:dyDescent="0.25">
      <c r="A83" s="86">
        <v>5</v>
      </c>
      <c r="B83" s="86" t="s">
        <v>1591</v>
      </c>
      <c r="D83" s="86" t="s">
        <v>202</v>
      </c>
      <c r="E83" s="86" t="s">
        <v>203</v>
      </c>
      <c r="F83" s="86" t="s">
        <v>873</v>
      </c>
      <c r="G83" s="86" t="s">
        <v>742</v>
      </c>
      <c r="I83" s="86" t="s">
        <v>1715</v>
      </c>
      <c r="J83" s="86" t="s">
        <v>1591</v>
      </c>
      <c r="L83" s="86" t="s">
        <v>501</v>
      </c>
      <c r="M83" s="86" t="s">
        <v>515</v>
      </c>
      <c r="N83" s="86" t="s">
        <v>503</v>
      </c>
      <c r="O83" s="86" t="s">
        <v>504</v>
      </c>
      <c r="P83" s="176" t="s">
        <v>254</v>
      </c>
      <c r="Q83" s="86" t="s">
        <v>247</v>
      </c>
      <c r="R83" s="176" t="str">
        <f t="shared" si="2"/>
        <v>Subdirector(a) Responsabilidad penal</v>
      </c>
      <c r="S83" s="87" t="s">
        <v>254</v>
      </c>
      <c r="T83" s="177" t="s">
        <v>2157</v>
      </c>
      <c r="U83" s="92">
        <v>0.5</v>
      </c>
      <c r="V83" s="136">
        <f>+VLOOKUP(AV83,Hoja1!$P$6:$R$26,3,FALSE)</f>
        <v>5.5813953488372094E-3</v>
      </c>
      <c r="X83" s="89" t="s">
        <v>1564</v>
      </c>
      <c r="Y83" s="89"/>
      <c r="Z83" s="89"/>
      <c r="AA83" s="89" t="s">
        <v>1564</v>
      </c>
      <c r="AB83" s="89" t="s">
        <v>1564</v>
      </c>
      <c r="AC83" s="89" t="s">
        <v>1564</v>
      </c>
      <c r="AD83" s="89" t="s">
        <v>1564</v>
      </c>
      <c r="AF83" s="89" t="s">
        <v>98</v>
      </c>
      <c r="AG83" s="89" t="s">
        <v>533</v>
      </c>
      <c r="AH83" s="89" t="s">
        <v>71</v>
      </c>
      <c r="AI83" s="89" t="s">
        <v>47</v>
      </c>
      <c r="AJ83" s="89"/>
      <c r="AK83" s="89"/>
      <c r="AL83" s="90" t="s">
        <v>1564</v>
      </c>
      <c r="AM83" s="93"/>
      <c r="AN83" s="93"/>
      <c r="AO83" s="90" t="s">
        <v>1564</v>
      </c>
      <c r="AP83" s="93"/>
      <c r="AQ83" s="93"/>
      <c r="AR83" s="90" t="s">
        <v>1564</v>
      </c>
      <c r="AS83" s="93"/>
      <c r="AT83" s="94"/>
      <c r="AU83" s="91" t="s">
        <v>1564</v>
      </c>
      <c r="AV83" s="176" t="str">
        <f t="shared" si="3"/>
        <v>Gestiónx</v>
      </c>
    </row>
    <row r="84" spans="1:63" ht="39.75" customHeight="1" x14ac:dyDescent="0.25">
      <c r="A84" s="86">
        <v>5</v>
      </c>
      <c r="B84" s="86" t="s">
        <v>1591</v>
      </c>
      <c r="D84" s="86" t="s">
        <v>202</v>
      </c>
      <c r="E84" s="86" t="s">
        <v>203</v>
      </c>
      <c r="F84" s="86" t="s">
        <v>873</v>
      </c>
      <c r="G84" s="86" t="s">
        <v>742</v>
      </c>
      <c r="I84" s="86" t="s">
        <v>1715</v>
      </c>
      <c r="J84" s="86" t="s">
        <v>1591</v>
      </c>
      <c r="L84" s="86" t="s">
        <v>512</v>
      </c>
      <c r="M84" s="86" t="s">
        <v>512</v>
      </c>
      <c r="N84" s="86" t="s">
        <v>512</v>
      </c>
      <c r="O84" s="86" t="s">
        <v>512</v>
      </c>
      <c r="P84" s="176" t="s">
        <v>255</v>
      </c>
      <c r="Q84" s="86" t="s">
        <v>247</v>
      </c>
      <c r="R84" s="176" t="str">
        <f t="shared" si="2"/>
        <v>Subdirector(a) Responsabilidad penal</v>
      </c>
      <c r="S84" s="87" t="s">
        <v>255</v>
      </c>
      <c r="T84" s="177" t="s">
        <v>256</v>
      </c>
      <c r="U84" s="92">
        <v>0.2</v>
      </c>
      <c r="V84" s="136">
        <f>+VLOOKUP(AV84,Hoja1!$P$6:$R$26,3,FALSE)</f>
        <v>3.7499999999999999E-3</v>
      </c>
      <c r="X84" s="89" t="s">
        <v>1564</v>
      </c>
      <c r="Y84" s="89" t="s">
        <v>1564</v>
      </c>
      <c r="Z84" s="89"/>
      <c r="AA84" s="89"/>
      <c r="AB84" s="89"/>
      <c r="AC84" s="89"/>
      <c r="AD84" s="89"/>
      <c r="AF84" s="89" t="s">
        <v>98</v>
      </c>
      <c r="AG84" s="89" t="s">
        <v>103</v>
      </c>
      <c r="AH84" s="89" t="s">
        <v>71</v>
      </c>
      <c r="AI84" s="89" t="s">
        <v>47</v>
      </c>
      <c r="AJ84" s="89"/>
      <c r="AK84" s="89"/>
      <c r="AL84" s="90" t="s">
        <v>1564</v>
      </c>
      <c r="AM84" s="93"/>
      <c r="AN84" s="93"/>
      <c r="AO84" s="90" t="s">
        <v>1564</v>
      </c>
      <c r="AP84" s="93"/>
      <c r="AQ84" s="93"/>
      <c r="AR84" s="90" t="s">
        <v>1564</v>
      </c>
      <c r="AS84" s="93"/>
      <c r="AT84" s="94"/>
      <c r="AU84" s="91" t="s">
        <v>1564</v>
      </c>
      <c r="AV84" s="176" t="str">
        <f t="shared" si="3"/>
        <v>Resultado</v>
      </c>
    </row>
    <row r="85" spans="1:63" ht="39.75" customHeight="1" x14ac:dyDescent="0.25">
      <c r="A85" s="86">
        <v>6</v>
      </c>
      <c r="B85" s="86" t="s">
        <v>1592</v>
      </c>
      <c r="D85" s="86" t="s">
        <v>257</v>
      </c>
      <c r="E85" s="86" t="s">
        <v>258</v>
      </c>
      <c r="F85" s="86" t="s">
        <v>918</v>
      </c>
      <c r="G85" s="86" t="s">
        <v>892</v>
      </c>
      <c r="I85" s="86" t="s">
        <v>1716</v>
      </c>
      <c r="J85" s="86" t="s">
        <v>1592</v>
      </c>
      <c r="L85" s="86" t="s">
        <v>948</v>
      </c>
      <c r="M85" s="86" t="s">
        <v>949</v>
      </c>
      <c r="N85" s="86" t="s">
        <v>975</v>
      </c>
      <c r="O85" s="86" t="s">
        <v>976</v>
      </c>
      <c r="P85" s="176" t="s">
        <v>309</v>
      </c>
      <c r="Q85" s="86" t="s">
        <v>308</v>
      </c>
      <c r="R85" s="176" t="str">
        <f t="shared" ref="R85:R102" si="4">+"Director(a) "&amp;MID(Q85,14,100)</f>
        <v>Director(a) Gestión Humana</v>
      </c>
      <c r="S85" s="87" t="s">
        <v>309</v>
      </c>
      <c r="T85" s="177" t="s">
        <v>310</v>
      </c>
      <c r="U85" s="92">
        <v>1</v>
      </c>
      <c r="V85" s="136">
        <f>+VLOOKUP(AV85,Hoja1!$P$6:$R$26,3,FALSE)</f>
        <v>5.5813953488372094E-3</v>
      </c>
      <c r="X85" s="89" t="s">
        <v>1564</v>
      </c>
      <c r="Y85" s="89" t="s">
        <v>1564</v>
      </c>
      <c r="Z85" s="89"/>
      <c r="AA85" s="89" t="s">
        <v>1564</v>
      </c>
      <c r="AB85" s="89"/>
      <c r="AC85" s="89"/>
      <c r="AD85" s="89"/>
      <c r="AF85" s="89" t="s">
        <v>98</v>
      </c>
      <c r="AG85" s="89" t="s">
        <v>533</v>
      </c>
      <c r="AH85" s="89" t="s">
        <v>513</v>
      </c>
      <c r="AI85" s="89" t="s">
        <v>50</v>
      </c>
      <c r="AJ85" s="89"/>
      <c r="AK85" s="89"/>
      <c r="AL85" s="89"/>
      <c r="AM85" s="93"/>
      <c r="AN85" s="93"/>
      <c r="AO85" s="90" t="s">
        <v>1564</v>
      </c>
      <c r="AP85" s="93"/>
      <c r="AQ85" s="90" t="s">
        <v>1564</v>
      </c>
      <c r="AR85" s="93"/>
      <c r="AS85" s="90" t="s">
        <v>1564</v>
      </c>
      <c r="AT85" s="94"/>
      <c r="AU85" s="91" t="s">
        <v>1564</v>
      </c>
      <c r="AV85" s="176" t="str">
        <f t="shared" si="3"/>
        <v>Gestiónx</v>
      </c>
    </row>
    <row r="86" spans="1:63" ht="39.75" customHeight="1" x14ac:dyDescent="0.25">
      <c r="A86" s="86">
        <v>6</v>
      </c>
      <c r="B86" s="86" t="s">
        <v>1592</v>
      </c>
      <c r="D86" s="86" t="s">
        <v>257</v>
      </c>
      <c r="E86" s="86" t="s">
        <v>258</v>
      </c>
      <c r="F86" s="86" t="s">
        <v>918</v>
      </c>
      <c r="G86" s="86" t="s">
        <v>892</v>
      </c>
      <c r="I86" s="86" t="s">
        <v>1716</v>
      </c>
      <c r="J86" s="86" t="s">
        <v>1592</v>
      </c>
      <c r="L86" s="86" t="s">
        <v>948</v>
      </c>
      <c r="M86" s="86" t="s">
        <v>949</v>
      </c>
      <c r="N86" s="86" t="s">
        <v>967</v>
      </c>
      <c r="O86" s="86" t="s">
        <v>968</v>
      </c>
      <c r="P86" s="176" t="s">
        <v>311</v>
      </c>
      <c r="Q86" s="86" t="s">
        <v>308</v>
      </c>
      <c r="R86" s="176" t="str">
        <f t="shared" si="4"/>
        <v>Director(a) Gestión Humana</v>
      </c>
      <c r="S86" s="87" t="s">
        <v>311</v>
      </c>
      <c r="T86" s="177" t="s">
        <v>312</v>
      </c>
      <c r="U86" s="92">
        <v>1</v>
      </c>
      <c r="V86" s="136">
        <f>+VLOOKUP(AV86,Hoja1!$P$6:$R$26,3,FALSE)</f>
        <v>5.5813953488372094E-3</v>
      </c>
      <c r="X86" s="89" t="s">
        <v>1564</v>
      </c>
      <c r="Y86" s="89"/>
      <c r="Z86" s="89"/>
      <c r="AA86" s="89" t="s">
        <v>1564</v>
      </c>
      <c r="AB86" s="89"/>
      <c r="AC86" s="89"/>
      <c r="AD86" s="89"/>
      <c r="AF86" s="89" t="s">
        <v>98</v>
      </c>
      <c r="AG86" s="89" t="s">
        <v>533</v>
      </c>
      <c r="AH86" s="89" t="s">
        <v>71</v>
      </c>
      <c r="AI86" s="89" t="s">
        <v>47</v>
      </c>
      <c r="AJ86" s="89"/>
      <c r="AK86" s="89"/>
      <c r="AL86" s="90" t="s">
        <v>1564</v>
      </c>
      <c r="AM86" s="93"/>
      <c r="AN86" s="93"/>
      <c r="AO86" s="90" t="s">
        <v>1564</v>
      </c>
      <c r="AP86" s="93"/>
      <c r="AQ86" s="93"/>
      <c r="AR86" s="90" t="s">
        <v>1564</v>
      </c>
      <c r="AS86" s="93"/>
      <c r="AT86" s="94"/>
      <c r="AU86" s="91" t="s">
        <v>1564</v>
      </c>
      <c r="AV86" s="176" t="str">
        <f t="shared" si="3"/>
        <v>Gestiónx</v>
      </c>
    </row>
    <row r="87" spans="1:63" s="78" customFormat="1" ht="39.75" customHeight="1" x14ac:dyDescent="0.25">
      <c r="A87" s="86">
        <v>6</v>
      </c>
      <c r="B87" s="86" t="s">
        <v>1592</v>
      </c>
      <c r="C87" s="75"/>
      <c r="D87" s="86" t="s">
        <v>257</v>
      </c>
      <c r="E87" s="86" t="s">
        <v>258</v>
      </c>
      <c r="F87" s="86" t="s">
        <v>918</v>
      </c>
      <c r="G87" s="86" t="s">
        <v>892</v>
      </c>
      <c r="H87" s="75"/>
      <c r="I87" s="86" t="s">
        <v>1716</v>
      </c>
      <c r="J87" s="86" t="s">
        <v>1592</v>
      </c>
      <c r="K87" s="75"/>
      <c r="L87" s="86" t="s">
        <v>948</v>
      </c>
      <c r="M87" s="86" t="s">
        <v>949</v>
      </c>
      <c r="N87" s="86" t="s">
        <v>958</v>
      </c>
      <c r="O87" s="86" t="s">
        <v>959</v>
      </c>
      <c r="P87" s="176" t="s">
        <v>313</v>
      </c>
      <c r="Q87" s="86" t="s">
        <v>308</v>
      </c>
      <c r="R87" s="176" t="str">
        <f t="shared" si="4"/>
        <v>Director(a) Gestión Humana</v>
      </c>
      <c r="S87" s="87" t="s">
        <v>313</v>
      </c>
      <c r="T87" s="177" t="s">
        <v>314</v>
      </c>
      <c r="U87" s="92">
        <v>0.87</v>
      </c>
      <c r="V87" s="136">
        <f>+VLOOKUP(AV87,Hoja1!$P$6:$R$26,3,FALSE)</f>
        <v>5.5813953488372094E-3</v>
      </c>
      <c r="W87" s="75"/>
      <c r="X87" s="89" t="s">
        <v>1564</v>
      </c>
      <c r="Y87" s="89" t="s">
        <v>1564</v>
      </c>
      <c r="Z87" s="89"/>
      <c r="AA87" s="89" t="s">
        <v>1564</v>
      </c>
      <c r="AB87" s="89"/>
      <c r="AC87" s="89"/>
      <c r="AD87" s="89"/>
      <c r="AE87" s="75"/>
      <c r="AF87" s="89" t="s">
        <v>98</v>
      </c>
      <c r="AG87" s="89" t="s">
        <v>533</v>
      </c>
      <c r="AH87" s="89" t="s">
        <v>513</v>
      </c>
      <c r="AI87" s="89" t="s">
        <v>48</v>
      </c>
      <c r="AJ87" s="89"/>
      <c r="AK87" s="89"/>
      <c r="AL87" s="89"/>
      <c r="AM87" s="90" t="s">
        <v>1564</v>
      </c>
      <c r="AN87" s="93"/>
      <c r="AO87" s="90" t="s">
        <v>1564</v>
      </c>
      <c r="AP87" s="93"/>
      <c r="AQ87" s="90" t="s">
        <v>1564</v>
      </c>
      <c r="AR87" s="93"/>
      <c r="AS87" s="90" t="s">
        <v>1564</v>
      </c>
      <c r="AT87" s="94"/>
      <c r="AU87" s="91" t="s">
        <v>1564</v>
      </c>
      <c r="AV87" s="176" t="str">
        <f t="shared" si="3"/>
        <v>Gestiónx</v>
      </c>
      <c r="AW87" s="80"/>
      <c r="AX87" s="80"/>
      <c r="AY87" s="80"/>
      <c r="AZ87" s="80"/>
      <c r="BA87" s="80"/>
      <c r="BB87" s="80"/>
      <c r="BC87" s="80"/>
      <c r="BD87" s="80"/>
      <c r="BE87" s="80"/>
      <c r="BF87" s="80"/>
      <c r="BG87" s="80"/>
      <c r="BH87" s="80"/>
      <c r="BI87" s="80"/>
      <c r="BJ87" s="80"/>
      <c r="BK87" s="80"/>
    </row>
    <row r="88" spans="1:63" s="78" customFormat="1" ht="39.75" customHeight="1" x14ac:dyDescent="0.25">
      <c r="A88" s="86">
        <v>6</v>
      </c>
      <c r="B88" s="86" t="s">
        <v>1592</v>
      </c>
      <c r="C88" s="75"/>
      <c r="D88" s="86" t="s">
        <v>257</v>
      </c>
      <c r="E88" s="86" t="s">
        <v>258</v>
      </c>
      <c r="F88" s="86" t="s">
        <v>918</v>
      </c>
      <c r="G88" s="86" t="s">
        <v>892</v>
      </c>
      <c r="H88" s="75"/>
      <c r="I88" s="86" t="s">
        <v>1716</v>
      </c>
      <c r="J88" s="86" t="s">
        <v>1592</v>
      </c>
      <c r="K88" s="75"/>
      <c r="L88" s="86" t="s">
        <v>948</v>
      </c>
      <c r="M88" s="86" t="s">
        <v>949</v>
      </c>
      <c r="N88" s="86" t="s">
        <v>950</v>
      </c>
      <c r="O88" s="86" t="s">
        <v>951</v>
      </c>
      <c r="P88" s="176" t="s">
        <v>315</v>
      </c>
      <c r="Q88" s="86" t="s">
        <v>308</v>
      </c>
      <c r="R88" s="176" t="str">
        <f t="shared" si="4"/>
        <v>Director(a) Gestión Humana</v>
      </c>
      <c r="S88" s="87" t="s">
        <v>315</v>
      </c>
      <c r="T88" s="177" t="s">
        <v>316</v>
      </c>
      <c r="U88" s="92">
        <v>0.35</v>
      </c>
      <c r="V88" s="136">
        <f>+VLOOKUP(AV88,Hoja1!$P$6:$R$26,3,FALSE)</f>
        <v>5.5813953488372094E-3</v>
      </c>
      <c r="W88" s="75"/>
      <c r="X88" s="89" t="s">
        <v>1564</v>
      </c>
      <c r="Y88" s="89"/>
      <c r="Z88" s="89"/>
      <c r="AA88" s="89" t="s">
        <v>1564</v>
      </c>
      <c r="AB88" s="89" t="s">
        <v>1564</v>
      </c>
      <c r="AC88" s="89"/>
      <c r="AD88" s="89"/>
      <c r="AE88" s="75"/>
      <c r="AF88" s="89" t="s">
        <v>98</v>
      </c>
      <c r="AG88" s="89" t="s">
        <v>533</v>
      </c>
      <c r="AH88" s="89" t="s">
        <v>71</v>
      </c>
      <c r="AI88" s="89" t="s">
        <v>47</v>
      </c>
      <c r="AJ88" s="89"/>
      <c r="AK88" s="89"/>
      <c r="AL88" s="90" t="s">
        <v>1564</v>
      </c>
      <c r="AM88" s="93"/>
      <c r="AN88" s="93"/>
      <c r="AO88" s="90" t="s">
        <v>1564</v>
      </c>
      <c r="AP88" s="93"/>
      <c r="AQ88" s="93"/>
      <c r="AR88" s="90" t="s">
        <v>1564</v>
      </c>
      <c r="AS88" s="93"/>
      <c r="AT88" s="94"/>
      <c r="AU88" s="91" t="s">
        <v>1564</v>
      </c>
      <c r="AV88" s="176" t="str">
        <f t="shared" si="3"/>
        <v>Gestiónx</v>
      </c>
      <c r="AW88" s="80"/>
      <c r="AX88" s="80"/>
      <c r="AY88" s="80"/>
      <c r="AZ88" s="80"/>
      <c r="BA88" s="80"/>
      <c r="BB88" s="80"/>
      <c r="BC88" s="80"/>
      <c r="BD88" s="80"/>
      <c r="BE88" s="80"/>
      <c r="BF88" s="80"/>
      <c r="BG88" s="80"/>
      <c r="BH88" s="80"/>
      <c r="BI88" s="80"/>
      <c r="BJ88" s="80"/>
      <c r="BK88" s="80"/>
    </row>
    <row r="89" spans="1:63" s="78" customFormat="1" ht="39.75" customHeight="1" x14ac:dyDescent="0.25">
      <c r="A89" s="86">
        <v>6</v>
      </c>
      <c r="B89" s="86" t="s">
        <v>1592</v>
      </c>
      <c r="C89" s="75"/>
      <c r="D89" s="86" t="s">
        <v>257</v>
      </c>
      <c r="E89" s="86" t="s">
        <v>258</v>
      </c>
      <c r="F89" s="86" t="s">
        <v>918</v>
      </c>
      <c r="G89" s="86" t="s">
        <v>892</v>
      </c>
      <c r="H89" s="75"/>
      <c r="I89" s="86" t="s">
        <v>1717</v>
      </c>
      <c r="J89" s="86" t="s">
        <v>1594</v>
      </c>
      <c r="K89" s="75"/>
      <c r="L89" s="86" t="s">
        <v>512</v>
      </c>
      <c r="M89" s="86" t="s">
        <v>512</v>
      </c>
      <c r="N89" s="86" t="s">
        <v>512</v>
      </c>
      <c r="O89" s="86" t="s">
        <v>512</v>
      </c>
      <c r="P89" s="176" t="s">
        <v>317</v>
      </c>
      <c r="Q89" s="86" t="s">
        <v>308</v>
      </c>
      <c r="R89" s="176" t="str">
        <f t="shared" si="4"/>
        <v>Director(a) Gestión Humana</v>
      </c>
      <c r="S89" s="87" t="s">
        <v>317</v>
      </c>
      <c r="T89" s="177" t="s">
        <v>1999</v>
      </c>
      <c r="U89" s="92">
        <v>0.1</v>
      </c>
      <c r="V89" s="136">
        <f>+VLOOKUP(AV89,Hoja1!$P$6:$R$26,3,FALSE)</f>
        <v>1.276595744680851E-3</v>
      </c>
      <c r="W89" s="75"/>
      <c r="X89" s="89" t="s">
        <v>1564</v>
      </c>
      <c r="Y89" s="89"/>
      <c r="Z89" s="89"/>
      <c r="AA89" s="89"/>
      <c r="AB89" s="89"/>
      <c r="AC89" s="89"/>
      <c r="AD89" s="89"/>
      <c r="AE89" s="75"/>
      <c r="AF89" s="89" t="s">
        <v>98</v>
      </c>
      <c r="AG89" s="89" t="s">
        <v>533</v>
      </c>
      <c r="AH89" s="89" t="s">
        <v>513</v>
      </c>
      <c r="AI89" s="89" t="s">
        <v>40</v>
      </c>
      <c r="AJ89" s="89"/>
      <c r="AK89" s="90" t="s">
        <v>1564</v>
      </c>
      <c r="AL89" s="93"/>
      <c r="AM89" s="90" t="s">
        <v>1564</v>
      </c>
      <c r="AN89" s="93"/>
      <c r="AO89" s="90" t="s">
        <v>1564</v>
      </c>
      <c r="AP89" s="93"/>
      <c r="AQ89" s="90" t="s">
        <v>1564</v>
      </c>
      <c r="AR89" s="93"/>
      <c r="AS89" s="90" t="s">
        <v>1564</v>
      </c>
      <c r="AT89" s="94"/>
      <c r="AU89" s="91" t="s">
        <v>1564</v>
      </c>
      <c r="AV89" s="176" t="str">
        <f t="shared" si="3"/>
        <v>Gestión</v>
      </c>
      <c r="AW89" s="80"/>
      <c r="AX89" s="80"/>
      <c r="AY89" s="80"/>
      <c r="AZ89" s="80"/>
      <c r="BA89" s="80"/>
      <c r="BB89" s="80"/>
      <c r="BC89" s="80"/>
      <c r="BD89" s="80"/>
      <c r="BE89" s="80"/>
      <c r="BF89" s="80"/>
      <c r="BG89" s="80"/>
      <c r="BH89" s="80"/>
      <c r="BI89" s="80"/>
      <c r="BJ89" s="80"/>
      <c r="BK89" s="80"/>
    </row>
    <row r="90" spans="1:63" s="78" customFormat="1" ht="39.75" customHeight="1" x14ac:dyDescent="0.25">
      <c r="A90" s="86">
        <v>6</v>
      </c>
      <c r="B90" s="86" t="s">
        <v>1592</v>
      </c>
      <c r="C90" s="75"/>
      <c r="D90" s="86" t="s">
        <v>257</v>
      </c>
      <c r="E90" s="86" t="s">
        <v>258</v>
      </c>
      <c r="F90" s="86" t="s">
        <v>918</v>
      </c>
      <c r="G90" s="86" t="s">
        <v>892</v>
      </c>
      <c r="H90" s="75"/>
      <c r="I90" s="86" t="s">
        <v>1717</v>
      </c>
      <c r="J90" s="86" t="s">
        <v>1594</v>
      </c>
      <c r="K90" s="75"/>
      <c r="L90" s="86" t="s">
        <v>512</v>
      </c>
      <c r="M90" s="86" t="s">
        <v>512</v>
      </c>
      <c r="N90" s="86" t="s">
        <v>512</v>
      </c>
      <c r="O90" s="86" t="s">
        <v>512</v>
      </c>
      <c r="P90" s="176" t="s">
        <v>318</v>
      </c>
      <c r="Q90" s="86" t="s">
        <v>308</v>
      </c>
      <c r="R90" s="176" t="str">
        <f t="shared" si="4"/>
        <v>Director(a) Gestión Humana</v>
      </c>
      <c r="S90" s="87" t="s">
        <v>318</v>
      </c>
      <c r="T90" s="177" t="s">
        <v>319</v>
      </c>
      <c r="U90" s="92">
        <v>1</v>
      </c>
      <c r="V90" s="136">
        <f>+VLOOKUP(AV90,Hoja1!$P$6:$R$26,3,FALSE)</f>
        <v>1.276595744680851E-3</v>
      </c>
      <c r="W90" s="75"/>
      <c r="X90" s="89" t="s">
        <v>1564</v>
      </c>
      <c r="Y90" s="89" t="s">
        <v>1564</v>
      </c>
      <c r="Z90" s="89"/>
      <c r="AA90" s="89"/>
      <c r="AB90" s="89"/>
      <c r="AC90" s="89"/>
      <c r="AD90" s="89"/>
      <c r="AE90" s="75"/>
      <c r="AF90" s="89" t="s">
        <v>98</v>
      </c>
      <c r="AG90" s="89" t="s">
        <v>533</v>
      </c>
      <c r="AH90" s="89" t="s">
        <v>513</v>
      </c>
      <c r="AI90" s="89" t="s">
        <v>48</v>
      </c>
      <c r="AJ90" s="89"/>
      <c r="AK90" s="89"/>
      <c r="AL90" s="89"/>
      <c r="AM90" s="90" t="s">
        <v>1564</v>
      </c>
      <c r="AN90" s="93"/>
      <c r="AO90" s="90" t="s">
        <v>1564</v>
      </c>
      <c r="AP90" s="93"/>
      <c r="AQ90" s="90" t="s">
        <v>1564</v>
      </c>
      <c r="AR90" s="93"/>
      <c r="AS90" s="90" t="s">
        <v>1564</v>
      </c>
      <c r="AT90" s="94"/>
      <c r="AU90" s="91" t="s">
        <v>1564</v>
      </c>
      <c r="AV90" s="176" t="str">
        <f t="shared" si="3"/>
        <v>Gestión</v>
      </c>
      <c r="AW90" s="80"/>
      <c r="AX90" s="80"/>
      <c r="AY90" s="80"/>
      <c r="AZ90" s="80"/>
      <c r="BA90" s="80"/>
      <c r="BB90" s="80"/>
      <c r="BC90" s="80"/>
      <c r="BD90" s="80"/>
      <c r="BE90" s="80"/>
      <c r="BF90" s="80"/>
      <c r="BG90" s="80"/>
      <c r="BH90" s="80"/>
      <c r="BI90" s="80"/>
      <c r="BJ90" s="80"/>
      <c r="BK90" s="80"/>
    </row>
    <row r="91" spans="1:63" s="78" customFormat="1" ht="39.75" customHeight="1" x14ac:dyDescent="0.25">
      <c r="A91" s="86">
        <v>6</v>
      </c>
      <c r="B91" s="86" t="s">
        <v>1592</v>
      </c>
      <c r="C91" s="75"/>
      <c r="D91" s="86" t="s">
        <v>257</v>
      </c>
      <c r="E91" s="86" t="s">
        <v>258</v>
      </c>
      <c r="F91" s="86" t="s">
        <v>918</v>
      </c>
      <c r="G91" s="86" t="s">
        <v>892</v>
      </c>
      <c r="H91" s="75"/>
      <c r="I91" s="86" t="s">
        <v>1716</v>
      </c>
      <c r="J91" s="86" t="s">
        <v>1592</v>
      </c>
      <c r="K91" s="75"/>
      <c r="L91" s="86" t="s">
        <v>512</v>
      </c>
      <c r="M91" s="86" t="s">
        <v>512</v>
      </c>
      <c r="N91" s="86" t="s">
        <v>512</v>
      </c>
      <c r="O91" s="86" t="s">
        <v>512</v>
      </c>
      <c r="P91" s="176" t="s">
        <v>320</v>
      </c>
      <c r="Q91" s="86" t="s">
        <v>308</v>
      </c>
      <c r="R91" s="176" t="str">
        <f t="shared" si="4"/>
        <v>Director(a) Gestión Humana</v>
      </c>
      <c r="S91" s="87" t="s">
        <v>320</v>
      </c>
      <c r="T91" s="177" t="s">
        <v>321</v>
      </c>
      <c r="U91" s="92">
        <v>0.8</v>
      </c>
      <c r="V91" s="136">
        <f>+VLOOKUP(AV91,Hoja1!$P$6:$R$26,3,FALSE)</f>
        <v>1.276595744680851E-3</v>
      </c>
      <c r="W91" s="75"/>
      <c r="X91" s="89" t="s">
        <v>1564</v>
      </c>
      <c r="Y91" s="89"/>
      <c r="Z91" s="89"/>
      <c r="AA91" s="89"/>
      <c r="AB91" s="89"/>
      <c r="AC91" s="89"/>
      <c r="AD91" s="89"/>
      <c r="AE91" s="75"/>
      <c r="AF91" s="89" t="s">
        <v>98</v>
      </c>
      <c r="AG91" s="89" t="s">
        <v>533</v>
      </c>
      <c r="AH91" s="89" t="s">
        <v>513</v>
      </c>
      <c r="AI91" s="89" t="s">
        <v>50</v>
      </c>
      <c r="AJ91" s="89"/>
      <c r="AK91" s="89"/>
      <c r="AL91" s="89"/>
      <c r="AM91" s="93"/>
      <c r="AN91" s="93"/>
      <c r="AO91" s="90" t="s">
        <v>1564</v>
      </c>
      <c r="AP91" s="93"/>
      <c r="AQ91" s="90" t="s">
        <v>1564</v>
      </c>
      <c r="AR91" s="93"/>
      <c r="AS91" s="90" t="s">
        <v>1564</v>
      </c>
      <c r="AT91" s="94"/>
      <c r="AU91" s="91" t="s">
        <v>1564</v>
      </c>
      <c r="AV91" s="176" t="str">
        <f t="shared" si="3"/>
        <v>Gestión</v>
      </c>
      <c r="AW91" s="80"/>
      <c r="AX91" s="80"/>
      <c r="AY91" s="80"/>
      <c r="AZ91" s="80"/>
      <c r="BA91" s="80"/>
      <c r="BB91" s="80"/>
      <c r="BC91" s="80"/>
      <c r="BD91" s="80"/>
      <c r="BE91" s="80"/>
      <c r="BF91" s="80"/>
      <c r="BG91" s="80"/>
      <c r="BH91" s="80"/>
      <c r="BI91" s="80"/>
      <c r="BJ91" s="80"/>
      <c r="BK91" s="80"/>
    </row>
    <row r="92" spans="1:63" s="78" customFormat="1" ht="39.75" customHeight="1" x14ac:dyDescent="0.25">
      <c r="A92" s="86">
        <v>6</v>
      </c>
      <c r="B92" s="86" t="s">
        <v>1592</v>
      </c>
      <c r="C92" s="75"/>
      <c r="D92" s="86" t="s">
        <v>257</v>
      </c>
      <c r="E92" s="86" t="s">
        <v>258</v>
      </c>
      <c r="F92" s="86" t="s">
        <v>918</v>
      </c>
      <c r="G92" s="86" t="s">
        <v>892</v>
      </c>
      <c r="H92" s="75"/>
      <c r="I92" s="86" t="s">
        <v>1716</v>
      </c>
      <c r="J92" s="86" t="s">
        <v>1592</v>
      </c>
      <c r="K92" s="75"/>
      <c r="L92" s="86" t="s">
        <v>512</v>
      </c>
      <c r="M92" s="86" t="s">
        <v>512</v>
      </c>
      <c r="N92" s="86" t="s">
        <v>512</v>
      </c>
      <c r="O92" s="86" t="s">
        <v>512</v>
      </c>
      <c r="P92" s="176" t="s">
        <v>322</v>
      </c>
      <c r="Q92" s="86" t="s">
        <v>308</v>
      </c>
      <c r="R92" s="176" t="str">
        <f t="shared" si="4"/>
        <v>Director(a) Gestión Humana</v>
      </c>
      <c r="S92" s="87" t="s">
        <v>322</v>
      </c>
      <c r="T92" s="177" t="s">
        <v>323</v>
      </c>
      <c r="U92" s="92">
        <v>0.85</v>
      </c>
      <c r="V92" s="136">
        <f>+VLOOKUP(AV92,Hoja1!$P$6:$R$26,3,FALSE)</f>
        <v>1.276595744680851E-3</v>
      </c>
      <c r="W92" s="75"/>
      <c r="X92" s="89" t="s">
        <v>1564</v>
      </c>
      <c r="Y92" s="89"/>
      <c r="Z92" s="89"/>
      <c r="AA92" s="89"/>
      <c r="AB92" s="89"/>
      <c r="AC92" s="89"/>
      <c r="AD92" s="89"/>
      <c r="AE92" s="75"/>
      <c r="AF92" s="89" t="s">
        <v>98</v>
      </c>
      <c r="AG92" s="89" t="s">
        <v>533</v>
      </c>
      <c r="AH92" s="89" t="s">
        <v>513</v>
      </c>
      <c r="AI92" s="89" t="s">
        <v>48</v>
      </c>
      <c r="AJ92" s="89"/>
      <c r="AK92" s="89"/>
      <c r="AL92" s="89"/>
      <c r="AM92" s="90" t="s">
        <v>1564</v>
      </c>
      <c r="AN92" s="93"/>
      <c r="AO92" s="90" t="s">
        <v>1564</v>
      </c>
      <c r="AP92" s="93"/>
      <c r="AQ92" s="90" t="s">
        <v>1564</v>
      </c>
      <c r="AR92" s="93"/>
      <c r="AS92" s="90" t="s">
        <v>1564</v>
      </c>
      <c r="AT92" s="94"/>
      <c r="AU92" s="91" t="s">
        <v>1564</v>
      </c>
      <c r="AV92" s="176" t="str">
        <f t="shared" si="3"/>
        <v>Gestión</v>
      </c>
      <c r="AW92" s="80"/>
      <c r="AX92" s="80"/>
      <c r="AY92" s="80"/>
      <c r="AZ92" s="80"/>
      <c r="BA92" s="80"/>
      <c r="BB92" s="80"/>
      <c r="BC92" s="80"/>
      <c r="BD92" s="80"/>
      <c r="BE92" s="80"/>
      <c r="BF92" s="80"/>
      <c r="BG92" s="80"/>
      <c r="BH92" s="80"/>
      <c r="BI92" s="80"/>
      <c r="BJ92" s="80"/>
      <c r="BK92" s="80"/>
    </row>
    <row r="93" spans="1:63" s="78" customFormat="1" ht="39.75" customHeight="1" x14ac:dyDescent="0.25">
      <c r="A93" s="86">
        <v>6</v>
      </c>
      <c r="B93" s="86" t="s">
        <v>1592</v>
      </c>
      <c r="C93" s="75"/>
      <c r="D93" s="86" t="s">
        <v>257</v>
      </c>
      <c r="E93" s="86" t="s">
        <v>258</v>
      </c>
      <c r="F93" s="86" t="s">
        <v>918</v>
      </c>
      <c r="G93" s="86" t="s">
        <v>892</v>
      </c>
      <c r="H93" s="75"/>
      <c r="I93" s="86" t="s">
        <v>1717</v>
      </c>
      <c r="J93" s="86" t="s">
        <v>1594</v>
      </c>
      <c r="K93" s="75"/>
      <c r="L93" s="86" t="s">
        <v>512</v>
      </c>
      <c r="M93" s="86" t="s">
        <v>512</v>
      </c>
      <c r="N93" s="86" t="s">
        <v>512</v>
      </c>
      <c r="O93" s="86" t="s">
        <v>512</v>
      </c>
      <c r="P93" s="176" t="s">
        <v>324</v>
      </c>
      <c r="Q93" s="86" t="s">
        <v>308</v>
      </c>
      <c r="R93" s="176" t="str">
        <f t="shared" si="4"/>
        <v>Director(a) Gestión Humana</v>
      </c>
      <c r="S93" s="87" t="s">
        <v>324</v>
      </c>
      <c r="T93" s="177" t="s">
        <v>325</v>
      </c>
      <c r="U93" s="92">
        <v>1</v>
      </c>
      <c r="V93" s="136">
        <f>+VLOOKUP(AV93,Hoja1!$P$6:$R$26,3,FALSE)</f>
        <v>1.276595744680851E-3</v>
      </c>
      <c r="W93" s="75"/>
      <c r="X93" s="89" t="s">
        <v>1564</v>
      </c>
      <c r="Y93" s="89" t="s">
        <v>1564</v>
      </c>
      <c r="Z93" s="89"/>
      <c r="AA93" s="89"/>
      <c r="AB93" s="89"/>
      <c r="AC93" s="89"/>
      <c r="AD93" s="89"/>
      <c r="AE93" s="75"/>
      <c r="AF93" s="89" t="s">
        <v>98</v>
      </c>
      <c r="AG93" s="89" t="s">
        <v>533</v>
      </c>
      <c r="AH93" s="89" t="s">
        <v>71</v>
      </c>
      <c r="AI93" s="89" t="s">
        <v>47</v>
      </c>
      <c r="AJ93" s="89"/>
      <c r="AK93" s="89"/>
      <c r="AL93" s="90" t="s">
        <v>1564</v>
      </c>
      <c r="AM93" s="93"/>
      <c r="AN93" s="93"/>
      <c r="AO93" s="90" t="s">
        <v>1564</v>
      </c>
      <c r="AP93" s="93"/>
      <c r="AQ93" s="93"/>
      <c r="AR93" s="90" t="s">
        <v>1564</v>
      </c>
      <c r="AS93" s="93"/>
      <c r="AT93" s="94"/>
      <c r="AU93" s="91" t="s">
        <v>1564</v>
      </c>
      <c r="AV93" s="176" t="str">
        <f t="shared" si="3"/>
        <v>Gestión</v>
      </c>
      <c r="AW93" s="80"/>
      <c r="AX93" s="80"/>
      <c r="AY93" s="80"/>
      <c r="AZ93" s="80"/>
      <c r="BA93" s="80"/>
      <c r="BB93" s="80"/>
      <c r="BC93" s="80"/>
      <c r="BD93" s="80"/>
      <c r="BE93" s="80"/>
      <c r="BF93" s="80"/>
      <c r="BG93" s="80"/>
      <c r="BH93" s="80"/>
      <c r="BI93" s="80"/>
      <c r="BJ93" s="80"/>
      <c r="BK93" s="80"/>
    </row>
    <row r="94" spans="1:63" s="78" customFormat="1" ht="39.75" customHeight="1" x14ac:dyDescent="0.25">
      <c r="A94" s="86">
        <v>6</v>
      </c>
      <c r="B94" s="86" t="s">
        <v>1592</v>
      </c>
      <c r="C94" s="75"/>
      <c r="D94" s="86" t="s">
        <v>257</v>
      </c>
      <c r="E94" s="86" t="s">
        <v>258</v>
      </c>
      <c r="F94" s="86" t="s">
        <v>918</v>
      </c>
      <c r="G94" s="86" t="s">
        <v>892</v>
      </c>
      <c r="H94" s="75"/>
      <c r="I94" s="86" t="s">
        <v>1716</v>
      </c>
      <c r="J94" s="86" t="s">
        <v>1592</v>
      </c>
      <c r="K94" s="75"/>
      <c r="L94" s="86" t="s">
        <v>512</v>
      </c>
      <c r="M94" s="86" t="s">
        <v>512</v>
      </c>
      <c r="N94" s="86" t="s">
        <v>512</v>
      </c>
      <c r="O94" s="86" t="s">
        <v>512</v>
      </c>
      <c r="P94" s="176" t="s">
        <v>328</v>
      </c>
      <c r="Q94" s="86" t="s">
        <v>308</v>
      </c>
      <c r="R94" s="176" t="str">
        <f t="shared" si="4"/>
        <v>Director(a) Gestión Humana</v>
      </c>
      <c r="S94" s="87" t="s">
        <v>328</v>
      </c>
      <c r="T94" s="177" t="s">
        <v>329</v>
      </c>
      <c r="U94" s="92">
        <v>0.05</v>
      </c>
      <c r="V94" s="136">
        <f>+VLOOKUP(AV94,Hoja1!$P$6:$R$26,3,FALSE)</f>
        <v>1.276595744680851E-3</v>
      </c>
      <c r="W94" s="75"/>
      <c r="X94" s="89" t="s">
        <v>1564</v>
      </c>
      <c r="Y94" s="89" t="s">
        <v>1564</v>
      </c>
      <c r="Z94" s="89"/>
      <c r="AA94" s="89"/>
      <c r="AB94" s="89"/>
      <c r="AC94" s="89"/>
      <c r="AD94" s="89"/>
      <c r="AE94" s="75"/>
      <c r="AF94" s="89" t="s">
        <v>98</v>
      </c>
      <c r="AG94" s="89" t="s">
        <v>533</v>
      </c>
      <c r="AH94" s="89" t="s">
        <v>513</v>
      </c>
      <c r="AI94" s="89" t="s">
        <v>48</v>
      </c>
      <c r="AJ94" s="89"/>
      <c r="AK94" s="89"/>
      <c r="AL94" s="89"/>
      <c r="AM94" s="90" t="s">
        <v>1564</v>
      </c>
      <c r="AN94" s="93"/>
      <c r="AO94" s="90" t="s">
        <v>1564</v>
      </c>
      <c r="AP94" s="93"/>
      <c r="AQ94" s="90" t="s">
        <v>1564</v>
      </c>
      <c r="AR94" s="93"/>
      <c r="AS94" s="90" t="s">
        <v>1564</v>
      </c>
      <c r="AT94" s="94"/>
      <c r="AU94" s="91" t="s">
        <v>1564</v>
      </c>
      <c r="AV94" s="176" t="str">
        <f t="shared" si="3"/>
        <v>Gestión</v>
      </c>
      <c r="AW94" s="80"/>
      <c r="AX94" s="80"/>
      <c r="AY94" s="80"/>
      <c r="AZ94" s="80"/>
      <c r="BA94" s="80"/>
      <c r="BB94" s="80"/>
      <c r="BC94" s="80"/>
      <c r="BD94" s="80"/>
      <c r="BE94" s="80"/>
      <c r="BF94" s="80"/>
      <c r="BG94" s="80"/>
      <c r="BH94" s="80"/>
      <c r="BI94" s="80"/>
      <c r="BJ94" s="80"/>
      <c r="BK94" s="80"/>
    </row>
    <row r="95" spans="1:63" s="78" customFormat="1" ht="39.75" customHeight="1" x14ac:dyDescent="0.25">
      <c r="A95" s="86">
        <v>6</v>
      </c>
      <c r="B95" s="86" t="s">
        <v>1592</v>
      </c>
      <c r="C95" s="75"/>
      <c r="D95" s="86" t="s">
        <v>257</v>
      </c>
      <c r="E95" s="86" t="s">
        <v>258</v>
      </c>
      <c r="F95" s="86" t="s">
        <v>918</v>
      </c>
      <c r="G95" s="86" t="s">
        <v>892</v>
      </c>
      <c r="H95" s="75"/>
      <c r="I95" s="86" t="s">
        <v>1716</v>
      </c>
      <c r="J95" s="86" t="s">
        <v>1592</v>
      </c>
      <c r="K95" s="75"/>
      <c r="L95" s="86" t="s">
        <v>512</v>
      </c>
      <c r="M95" s="86" t="s">
        <v>512</v>
      </c>
      <c r="N95" s="86" t="s">
        <v>512</v>
      </c>
      <c r="O95" s="86" t="s">
        <v>512</v>
      </c>
      <c r="P95" s="176" t="s">
        <v>330</v>
      </c>
      <c r="Q95" s="86" t="s">
        <v>308</v>
      </c>
      <c r="R95" s="176" t="str">
        <f t="shared" si="4"/>
        <v>Director(a) Gestión Humana</v>
      </c>
      <c r="S95" s="87" t="s">
        <v>330</v>
      </c>
      <c r="T95" s="177" t="s">
        <v>331</v>
      </c>
      <c r="U95" s="92">
        <v>0.98</v>
      </c>
      <c r="V95" s="136">
        <f>+VLOOKUP(AV95,Hoja1!$P$6:$R$26,3,FALSE)</f>
        <v>1.276595744680851E-3</v>
      </c>
      <c r="W95" s="75"/>
      <c r="X95" s="89" t="s">
        <v>1564</v>
      </c>
      <c r="Y95" s="89"/>
      <c r="Z95" s="89"/>
      <c r="AA95" s="89"/>
      <c r="AB95" s="89"/>
      <c r="AC95" s="89"/>
      <c r="AD95" s="89"/>
      <c r="AE95" s="75"/>
      <c r="AF95" s="89" t="s">
        <v>98</v>
      </c>
      <c r="AG95" s="89" t="s">
        <v>533</v>
      </c>
      <c r="AH95" s="89" t="s">
        <v>71</v>
      </c>
      <c r="AI95" s="89" t="s">
        <v>47</v>
      </c>
      <c r="AJ95" s="89"/>
      <c r="AK95" s="89"/>
      <c r="AL95" s="90" t="s">
        <v>1564</v>
      </c>
      <c r="AM95" s="93"/>
      <c r="AN95" s="93"/>
      <c r="AO95" s="90" t="s">
        <v>1564</v>
      </c>
      <c r="AP95" s="93"/>
      <c r="AQ95" s="93"/>
      <c r="AR95" s="90" t="s">
        <v>1564</v>
      </c>
      <c r="AS95" s="93"/>
      <c r="AT95" s="94"/>
      <c r="AU95" s="91" t="s">
        <v>1564</v>
      </c>
      <c r="AV95" s="176" t="str">
        <f t="shared" si="3"/>
        <v>Gestión</v>
      </c>
      <c r="AW95" s="80"/>
      <c r="AX95" s="80"/>
      <c r="AY95" s="80"/>
      <c r="AZ95" s="80"/>
      <c r="BA95" s="80"/>
      <c r="BB95" s="80"/>
      <c r="BC95" s="80"/>
      <c r="BD95" s="80"/>
      <c r="BE95" s="80"/>
      <c r="BF95" s="80"/>
      <c r="BG95" s="80"/>
      <c r="BH95" s="80"/>
      <c r="BI95" s="80"/>
      <c r="BJ95" s="80"/>
      <c r="BK95" s="80"/>
    </row>
    <row r="96" spans="1:63" s="78" customFormat="1" ht="39.75" customHeight="1" x14ac:dyDescent="0.25">
      <c r="A96" s="86">
        <v>6</v>
      </c>
      <c r="B96" s="86" t="s">
        <v>1592</v>
      </c>
      <c r="C96" s="75"/>
      <c r="D96" s="86" t="s">
        <v>257</v>
      </c>
      <c r="E96" s="86" t="s">
        <v>258</v>
      </c>
      <c r="F96" s="86" t="s">
        <v>918</v>
      </c>
      <c r="G96" s="86" t="s">
        <v>892</v>
      </c>
      <c r="H96" s="75"/>
      <c r="I96" s="86" t="s">
        <v>1716</v>
      </c>
      <c r="J96" s="86" t="s">
        <v>1592</v>
      </c>
      <c r="K96" s="75"/>
      <c r="L96" s="86" t="s">
        <v>512</v>
      </c>
      <c r="M96" s="86" t="s">
        <v>512</v>
      </c>
      <c r="N96" s="86" t="s">
        <v>512</v>
      </c>
      <c r="O96" s="86" t="s">
        <v>512</v>
      </c>
      <c r="P96" s="176" t="s">
        <v>332</v>
      </c>
      <c r="Q96" s="86" t="s">
        <v>308</v>
      </c>
      <c r="R96" s="176" t="str">
        <f t="shared" si="4"/>
        <v>Director(a) Gestión Humana</v>
      </c>
      <c r="S96" s="87" t="s">
        <v>332</v>
      </c>
      <c r="T96" s="177" t="s">
        <v>333</v>
      </c>
      <c r="U96" s="92">
        <v>1</v>
      </c>
      <c r="V96" s="136">
        <f>+VLOOKUP(AV96,Hoja1!$P$6:$R$26,3,FALSE)</f>
        <v>1.276595744680851E-3</v>
      </c>
      <c r="W96" s="75"/>
      <c r="X96" s="89" t="s">
        <v>1564</v>
      </c>
      <c r="Y96" s="89"/>
      <c r="Z96" s="89"/>
      <c r="AA96" s="89"/>
      <c r="AB96" s="89"/>
      <c r="AC96" s="89"/>
      <c r="AD96" s="89"/>
      <c r="AE96" s="75"/>
      <c r="AF96" s="89" t="s">
        <v>98</v>
      </c>
      <c r="AG96" s="89" t="s">
        <v>533</v>
      </c>
      <c r="AH96" s="89" t="s">
        <v>71</v>
      </c>
      <c r="AI96" s="89" t="s">
        <v>50</v>
      </c>
      <c r="AJ96" s="89"/>
      <c r="AK96" s="89"/>
      <c r="AL96" s="89"/>
      <c r="AM96" s="89"/>
      <c r="AN96" s="89"/>
      <c r="AO96" s="90" t="s">
        <v>1564</v>
      </c>
      <c r="AP96" s="93"/>
      <c r="AQ96" s="93"/>
      <c r="AR96" s="90" t="s">
        <v>1564</v>
      </c>
      <c r="AS96" s="93"/>
      <c r="AT96" s="94"/>
      <c r="AU96" s="91" t="s">
        <v>1564</v>
      </c>
      <c r="AV96" s="176" t="str">
        <f t="shared" si="3"/>
        <v>Gestión</v>
      </c>
      <c r="AW96" s="80"/>
      <c r="AX96" s="80"/>
      <c r="AY96" s="80"/>
      <c r="AZ96" s="80"/>
      <c r="BA96" s="80"/>
      <c r="BB96" s="80"/>
      <c r="BC96" s="80"/>
      <c r="BD96" s="80"/>
      <c r="BE96" s="80"/>
      <c r="BF96" s="80"/>
      <c r="BG96" s="80"/>
      <c r="BH96" s="80"/>
      <c r="BI96" s="80"/>
      <c r="BJ96" s="80"/>
      <c r="BK96" s="80"/>
    </row>
    <row r="97" spans="1:63" s="78" customFormat="1" ht="39.75" customHeight="1" x14ac:dyDescent="0.25">
      <c r="A97" s="86">
        <v>6</v>
      </c>
      <c r="B97" s="86" t="s">
        <v>1592</v>
      </c>
      <c r="C97" s="75"/>
      <c r="D97" s="86" t="s">
        <v>257</v>
      </c>
      <c r="E97" s="86" t="s">
        <v>258</v>
      </c>
      <c r="F97" s="86" t="s">
        <v>918</v>
      </c>
      <c r="G97" s="86" t="s">
        <v>892</v>
      </c>
      <c r="H97" s="75"/>
      <c r="I97" s="86" t="s">
        <v>1716</v>
      </c>
      <c r="J97" s="86" t="s">
        <v>1592</v>
      </c>
      <c r="K97" s="75"/>
      <c r="L97" s="86" t="s">
        <v>512</v>
      </c>
      <c r="M97" s="86" t="s">
        <v>512</v>
      </c>
      <c r="N97" s="86" t="s">
        <v>512</v>
      </c>
      <c r="O97" s="86" t="s">
        <v>512</v>
      </c>
      <c r="P97" s="176" t="s">
        <v>1360</v>
      </c>
      <c r="Q97" s="86" t="s">
        <v>308</v>
      </c>
      <c r="R97" s="176" t="str">
        <f t="shared" si="4"/>
        <v>Director(a) Gestión Humana</v>
      </c>
      <c r="S97" s="87" t="s">
        <v>1360</v>
      </c>
      <c r="T97" s="177" t="s">
        <v>1355</v>
      </c>
      <c r="U97" s="92">
        <v>1</v>
      </c>
      <c r="V97" s="136">
        <f>+VLOOKUP(AV97,Hoja1!$P$6:$R$26,3,FALSE)</f>
        <v>1.276595744680851E-3</v>
      </c>
      <c r="W97" s="75"/>
      <c r="X97" s="89" t="s">
        <v>1564</v>
      </c>
      <c r="Y97" s="89"/>
      <c r="Z97" s="89"/>
      <c r="AA97" s="89"/>
      <c r="AB97" s="89"/>
      <c r="AC97" s="89"/>
      <c r="AD97" s="89"/>
      <c r="AE97" s="75"/>
      <c r="AF97" s="89" t="s">
        <v>683</v>
      </c>
      <c r="AG97" s="89" t="s">
        <v>533</v>
      </c>
      <c r="AH97" s="89" t="s">
        <v>84</v>
      </c>
      <c r="AI97" s="89" t="s">
        <v>47</v>
      </c>
      <c r="AJ97" s="89"/>
      <c r="AK97" s="89"/>
      <c r="AL97" s="90" t="s">
        <v>1564</v>
      </c>
      <c r="AM97" s="90" t="s">
        <v>1564</v>
      </c>
      <c r="AN97" s="90" t="s">
        <v>1564</v>
      </c>
      <c r="AO97" s="90" t="s">
        <v>1564</v>
      </c>
      <c r="AP97" s="90" t="s">
        <v>1564</v>
      </c>
      <c r="AQ97" s="90" t="s">
        <v>1564</v>
      </c>
      <c r="AR97" s="90" t="s">
        <v>1564</v>
      </c>
      <c r="AS97" s="90" t="s">
        <v>1564</v>
      </c>
      <c r="AT97" s="91" t="s">
        <v>1564</v>
      </c>
      <c r="AU97" s="91" t="s">
        <v>1564</v>
      </c>
      <c r="AV97" s="176" t="str">
        <f t="shared" si="3"/>
        <v>Gestión</v>
      </c>
      <c r="AW97" s="80"/>
      <c r="AX97" s="80"/>
      <c r="AY97" s="80"/>
      <c r="AZ97" s="80"/>
      <c r="BA97" s="80"/>
      <c r="BB97" s="80"/>
      <c r="BC97" s="80"/>
      <c r="BD97" s="80"/>
      <c r="BE97" s="80"/>
      <c r="BF97" s="80"/>
      <c r="BG97" s="80"/>
      <c r="BH97" s="80"/>
      <c r="BI97" s="80"/>
      <c r="BJ97" s="80"/>
      <c r="BK97" s="80"/>
    </row>
    <row r="98" spans="1:63" s="78" customFormat="1" ht="39.75" customHeight="1" x14ac:dyDescent="0.25">
      <c r="A98" s="86">
        <v>6</v>
      </c>
      <c r="B98" s="86" t="s">
        <v>1592</v>
      </c>
      <c r="C98" s="75"/>
      <c r="D98" s="86" t="s">
        <v>257</v>
      </c>
      <c r="E98" s="86" t="s">
        <v>258</v>
      </c>
      <c r="F98" s="86" t="s">
        <v>1600</v>
      </c>
      <c r="G98" s="86" t="s">
        <v>991</v>
      </c>
      <c r="H98" s="75"/>
      <c r="I98" s="86" t="s">
        <v>1716</v>
      </c>
      <c r="J98" s="86" t="s">
        <v>1592</v>
      </c>
      <c r="K98" s="75"/>
      <c r="L98" s="86" t="s">
        <v>1328</v>
      </c>
      <c r="M98" s="86" t="s">
        <v>991</v>
      </c>
      <c r="N98" s="86" t="s">
        <v>1621</v>
      </c>
      <c r="O98" s="86" t="s">
        <v>992</v>
      </c>
      <c r="P98" s="176" t="s">
        <v>335</v>
      </c>
      <c r="Q98" s="86" t="s">
        <v>334</v>
      </c>
      <c r="R98" s="176" t="str">
        <f t="shared" si="4"/>
        <v xml:space="preserve">Director(a) anciera </v>
      </c>
      <c r="S98" s="87" t="s">
        <v>335</v>
      </c>
      <c r="T98" s="177" t="s">
        <v>336</v>
      </c>
      <c r="U98" s="92">
        <v>1</v>
      </c>
      <c r="V98" s="136">
        <f>+VLOOKUP(AV98,Hoja1!$P$6:$R$26,3,FALSE)</f>
        <v>5.5813953488372094E-3</v>
      </c>
      <c r="W98" s="75"/>
      <c r="X98" s="89" t="s">
        <v>1564</v>
      </c>
      <c r="Y98" s="89" t="s">
        <v>1564</v>
      </c>
      <c r="Z98" s="89"/>
      <c r="AA98" s="89" t="s">
        <v>1564</v>
      </c>
      <c r="AB98" s="89" t="s">
        <v>1564</v>
      </c>
      <c r="AC98" s="89"/>
      <c r="AD98" s="89"/>
      <c r="AE98" s="75"/>
      <c r="AF98" s="89" t="s">
        <v>683</v>
      </c>
      <c r="AG98" s="89" t="s">
        <v>533</v>
      </c>
      <c r="AH98" s="89" t="s">
        <v>84</v>
      </c>
      <c r="AI98" s="89" t="s">
        <v>46</v>
      </c>
      <c r="AJ98" s="90" t="s">
        <v>1564</v>
      </c>
      <c r="AK98" s="90" t="s">
        <v>1564</v>
      </c>
      <c r="AL98" s="90" t="s">
        <v>1564</v>
      </c>
      <c r="AM98" s="90" t="s">
        <v>1564</v>
      </c>
      <c r="AN98" s="90" t="s">
        <v>1564</v>
      </c>
      <c r="AO98" s="90" t="s">
        <v>1564</v>
      </c>
      <c r="AP98" s="90" t="s">
        <v>1564</v>
      </c>
      <c r="AQ98" s="90" t="s">
        <v>1564</v>
      </c>
      <c r="AR98" s="90" t="s">
        <v>1564</v>
      </c>
      <c r="AS98" s="90" t="s">
        <v>1564</v>
      </c>
      <c r="AT98" s="91" t="s">
        <v>1564</v>
      </c>
      <c r="AU98" s="91" t="s">
        <v>1564</v>
      </c>
      <c r="AV98" s="176" t="str">
        <f t="shared" si="3"/>
        <v>Gestiónx</v>
      </c>
      <c r="AW98" s="80"/>
      <c r="AX98" s="80"/>
      <c r="AY98" s="80"/>
      <c r="AZ98" s="80"/>
      <c r="BA98" s="80"/>
      <c r="BB98" s="80"/>
      <c r="BC98" s="80"/>
      <c r="BD98" s="80"/>
      <c r="BE98" s="80"/>
      <c r="BF98" s="80"/>
      <c r="BG98" s="80"/>
      <c r="BH98" s="80"/>
      <c r="BI98" s="80"/>
      <c r="BJ98" s="80"/>
      <c r="BK98" s="80"/>
    </row>
    <row r="99" spans="1:63" s="78" customFormat="1" ht="39.75" customHeight="1" x14ac:dyDescent="0.25">
      <c r="A99" s="86">
        <v>6</v>
      </c>
      <c r="B99" s="86" t="s">
        <v>1592</v>
      </c>
      <c r="C99" s="75"/>
      <c r="D99" s="86" t="s">
        <v>257</v>
      </c>
      <c r="E99" s="86" t="s">
        <v>258</v>
      </c>
      <c r="F99" s="86" t="s">
        <v>1600</v>
      </c>
      <c r="G99" s="86" t="s">
        <v>991</v>
      </c>
      <c r="H99" s="75"/>
      <c r="I99" s="86" t="s">
        <v>1716</v>
      </c>
      <c r="J99" s="86" t="s">
        <v>1592</v>
      </c>
      <c r="K99" s="75"/>
      <c r="L99" s="86" t="s">
        <v>1328</v>
      </c>
      <c r="M99" s="86" t="s">
        <v>991</v>
      </c>
      <c r="N99" s="86" t="s">
        <v>1621</v>
      </c>
      <c r="O99" s="86" t="s">
        <v>992</v>
      </c>
      <c r="P99" s="176" t="s">
        <v>337</v>
      </c>
      <c r="Q99" s="86" t="s">
        <v>334</v>
      </c>
      <c r="R99" s="176" t="str">
        <f t="shared" si="4"/>
        <v xml:space="preserve">Director(a) anciera </v>
      </c>
      <c r="S99" s="87" t="s">
        <v>337</v>
      </c>
      <c r="T99" s="177" t="s">
        <v>338</v>
      </c>
      <c r="U99" s="92">
        <v>1</v>
      </c>
      <c r="V99" s="136">
        <f>+VLOOKUP(AV99,Hoja1!$P$6:$R$26,3,FALSE)</f>
        <v>5.5813953488372094E-3</v>
      </c>
      <c r="W99" s="75"/>
      <c r="X99" s="89" t="s">
        <v>1564</v>
      </c>
      <c r="Y99" s="89" t="s">
        <v>1564</v>
      </c>
      <c r="Z99" s="89"/>
      <c r="AA99" s="89" t="s">
        <v>1564</v>
      </c>
      <c r="AB99" s="89" t="s">
        <v>1564</v>
      </c>
      <c r="AC99" s="89"/>
      <c r="AD99" s="89"/>
      <c r="AE99" s="75"/>
      <c r="AF99" s="89" t="s">
        <v>683</v>
      </c>
      <c r="AG99" s="89" t="s">
        <v>533</v>
      </c>
      <c r="AH99" s="89" t="s">
        <v>84</v>
      </c>
      <c r="AI99" s="89" t="s">
        <v>46</v>
      </c>
      <c r="AJ99" s="90" t="s">
        <v>1564</v>
      </c>
      <c r="AK99" s="90" t="s">
        <v>1564</v>
      </c>
      <c r="AL99" s="90" t="s">
        <v>1564</v>
      </c>
      <c r="AM99" s="90" t="s">
        <v>1564</v>
      </c>
      <c r="AN99" s="90" t="s">
        <v>1564</v>
      </c>
      <c r="AO99" s="90" t="s">
        <v>1564</v>
      </c>
      <c r="AP99" s="90" t="s">
        <v>1564</v>
      </c>
      <c r="AQ99" s="90" t="s">
        <v>1564</v>
      </c>
      <c r="AR99" s="90" t="s">
        <v>1564</v>
      </c>
      <c r="AS99" s="90" t="s">
        <v>1564</v>
      </c>
      <c r="AT99" s="91" t="s">
        <v>1564</v>
      </c>
      <c r="AU99" s="91" t="s">
        <v>1564</v>
      </c>
      <c r="AV99" s="176" t="str">
        <f t="shared" si="3"/>
        <v>Gestiónx</v>
      </c>
      <c r="AW99" s="80"/>
      <c r="AX99" s="80"/>
      <c r="AY99" s="80"/>
      <c r="AZ99" s="80"/>
      <c r="BA99" s="80"/>
      <c r="BB99" s="80"/>
      <c r="BC99" s="80"/>
      <c r="BD99" s="80"/>
      <c r="BE99" s="80"/>
      <c r="BF99" s="80"/>
      <c r="BG99" s="80"/>
      <c r="BH99" s="80"/>
      <c r="BI99" s="80"/>
      <c r="BJ99" s="80"/>
      <c r="BK99" s="80"/>
    </row>
    <row r="100" spans="1:63" s="78" customFormat="1" ht="39.75" customHeight="1" x14ac:dyDescent="0.25">
      <c r="A100" s="86">
        <v>6</v>
      </c>
      <c r="B100" s="86" t="s">
        <v>1592</v>
      </c>
      <c r="C100" s="75"/>
      <c r="D100" s="86" t="s">
        <v>257</v>
      </c>
      <c r="E100" s="86" t="s">
        <v>258</v>
      </c>
      <c r="F100" s="86" t="s">
        <v>1600</v>
      </c>
      <c r="G100" s="86" t="s">
        <v>991</v>
      </c>
      <c r="H100" s="75"/>
      <c r="I100" s="86" t="s">
        <v>1716</v>
      </c>
      <c r="J100" s="86" t="s">
        <v>1592</v>
      </c>
      <c r="K100" s="75"/>
      <c r="L100" s="86" t="s">
        <v>512</v>
      </c>
      <c r="M100" s="86" t="s">
        <v>512</v>
      </c>
      <c r="N100" s="86" t="s">
        <v>512</v>
      </c>
      <c r="O100" s="86" t="s">
        <v>512</v>
      </c>
      <c r="P100" s="176" t="s">
        <v>339</v>
      </c>
      <c r="Q100" s="86" t="s">
        <v>334</v>
      </c>
      <c r="R100" s="176" t="str">
        <f t="shared" si="4"/>
        <v xml:space="preserve">Director(a) anciera </v>
      </c>
      <c r="S100" s="87" t="s">
        <v>339</v>
      </c>
      <c r="T100" s="177" t="s">
        <v>341</v>
      </c>
      <c r="U100" s="92">
        <v>0.95</v>
      </c>
      <c r="V100" s="136">
        <f>+VLOOKUP(AV100,Hoja1!$P$6:$R$26,3,FALSE)</f>
        <v>1.276595744680851E-3</v>
      </c>
      <c r="W100" s="75"/>
      <c r="X100" s="89" t="s">
        <v>1564</v>
      </c>
      <c r="Y100" s="89" t="s">
        <v>1564</v>
      </c>
      <c r="Z100" s="89"/>
      <c r="AA100" s="89"/>
      <c r="AB100" s="89"/>
      <c r="AC100" s="89"/>
      <c r="AD100" s="89"/>
      <c r="AE100" s="75"/>
      <c r="AF100" s="89" t="s">
        <v>683</v>
      </c>
      <c r="AG100" s="89" t="s">
        <v>533</v>
      </c>
      <c r="AH100" s="89" t="s">
        <v>84</v>
      </c>
      <c r="AI100" s="89" t="s">
        <v>46</v>
      </c>
      <c r="AJ100" s="90" t="s">
        <v>1564</v>
      </c>
      <c r="AK100" s="90" t="s">
        <v>1564</v>
      </c>
      <c r="AL100" s="90" t="s">
        <v>1564</v>
      </c>
      <c r="AM100" s="90" t="s">
        <v>1564</v>
      </c>
      <c r="AN100" s="90" t="s">
        <v>1564</v>
      </c>
      <c r="AO100" s="90" t="s">
        <v>1564</v>
      </c>
      <c r="AP100" s="90" t="s">
        <v>1564</v>
      </c>
      <c r="AQ100" s="90" t="s">
        <v>1564</v>
      </c>
      <c r="AR100" s="90" t="s">
        <v>1564</v>
      </c>
      <c r="AS100" s="90" t="s">
        <v>1564</v>
      </c>
      <c r="AT100" s="91" t="s">
        <v>1564</v>
      </c>
      <c r="AU100" s="91" t="s">
        <v>1564</v>
      </c>
      <c r="AV100" s="176" t="str">
        <f t="shared" si="3"/>
        <v>Gestión</v>
      </c>
      <c r="AW100" s="80"/>
      <c r="AX100" s="80"/>
      <c r="AY100" s="80"/>
      <c r="AZ100" s="80"/>
      <c r="BA100" s="80"/>
      <c r="BB100" s="80"/>
      <c r="BC100" s="80"/>
      <c r="BD100" s="80"/>
      <c r="BE100" s="80"/>
      <c r="BF100" s="80"/>
      <c r="BG100" s="80"/>
      <c r="BH100" s="80"/>
      <c r="BI100" s="80"/>
      <c r="BJ100" s="80"/>
      <c r="BK100" s="80"/>
    </row>
    <row r="101" spans="1:63" s="78" customFormat="1" ht="39.75" customHeight="1" x14ac:dyDescent="0.25">
      <c r="A101" s="86">
        <v>6</v>
      </c>
      <c r="B101" s="86" t="s">
        <v>1592</v>
      </c>
      <c r="C101" s="75"/>
      <c r="D101" s="86" t="s">
        <v>257</v>
      </c>
      <c r="E101" s="86" t="s">
        <v>258</v>
      </c>
      <c r="F101" s="86" t="s">
        <v>1600</v>
      </c>
      <c r="G101" s="86" t="s">
        <v>991</v>
      </c>
      <c r="H101" s="75"/>
      <c r="I101" s="86" t="s">
        <v>1716</v>
      </c>
      <c r="J101" s="86" t="s">
        <v>1592</v>
      </c>
      <c r="K101" s="75"/>
      <c r="L101" s="86" t="s">
        <v>512</v>
      </c>
      <c r="M101" s="86" t="s">
        <v>512</v>
      </c>
      <c r="N101" s="86" t="s">
        <v>512</v>
      </c>
      <c r="O101" s="86" t="s">
        <v>512</v>
      </c>
      <c r="P101" s="176" t="s">
        <v>340</v>
      </c>
      <c r="Q101" s="86" t="s">
        <v>334</v>
      </c>
      <c r="R101" s="176" t="str">
        <f t="shared" si="4"/>
        <v xml:space="preserve">Director(a) anciera </v>
      </c>
      <c r="S101" s="87" t="s">
        <v>340</v>
      </c>
      <c r="T101" s="177" t="s">
        <v>993</v>
      </c>
      <c r="U101" s="92">
        <v>0.98</v>
      </c>
      <c r="V101" s="136">
        <f>+VLOOKUP(AV101,Hoja1!$P$6:$R$26,3,FALSE)</f>
        <v>1.276595744680851E-3</v>
      </c>
      <c r="W101" s="75"/>
      <c r="X101" s="89" t="s">
        <v>1564</v>
      </c>
      <c r="Y101" s="89" t="s">
        <v>1564</v>
      </c>
      <c r="Z101" s="89"/>
      <c r="AA101" s="89"/>
      <c r="AB101" s="89"/>
      <c r="AC101" s="89"/>
      <c r="AD101" s="89"/>
      <c r="AE101" s="75"/>
      <c r="AF101" s="89" t="s">
        <v>683</v>
      </c>
      <c r="AG101" s="89" t="s">
        <v>533</v>
      </c>
      <c r="AH101" s="89" t="s">
        <v>84</v>
      </c>
      <c r="AI101" s="89" t="s">
        <v>46</v>
      </c>
      <c r="AJ101" s="90" t="s">
        <v>1564</v>
      </c>
      <c r="AK101" s="90" t="s">
        <v>1564</v>
      </c>
      <c r="AL101" s="90" t="s">
        <v>1564</v>
      </c>
      <c r="AM101" s="90" t="s">
        <v>1564</v>
      </c>
      <c r="AN101" s="90" t="s">
        <v>1564</v>
      </c>
      <c r="AO101" s="90" t="s">
        <v>1564</v>
      </c>
      <c r="AP101" s="90" t="s">
        <v>1564</v>
      </c>
      <c r="AQ101" s="90" t="s">
        <v>1564</v>
      </c>
      <c r="AR101" s="90" t="s">
        <v>1564</v>
      </c>
      <c r="AS101" s="90" t="s">
        <v>1564</v>
      </c>
      <c r="AT101" s="91" t="s">
        <v>1564</v>
      </c>
      <c r="AU101" s="91" t="s">
        <v>1564</v>
      </c>
      <c r="AV101" s="176" t="str">
        <f t="shared" si="3"/>
        <v>Gestión</v>
      </c>
      <c r="AW101" s="80"/>
      <c r="AX101" s="80"/>
      <c r="AY101" s="80"/>
      <c r="AZ101" s="80"/>
      <c r="BA101" s="80"/>
      <c r="BB101" s="80"/>
      <c r="BC101" s="80"/>
      <c r="BD101" s="80"/>
      <c r="BE101" s="80"/>
      <c r="BF101" s="80"/>
      <c r="BG101" s="80"/>
      <c r="BH101" s="80"/>
      <c r="BI101" s="80"/>
      <c r="BJ101" s="80"/>
      <c r="BK101" s="80"/>
    </row>
    <row r="102" spans="1:63" s="78" customFormat="1" ht="39.75" customHeight="1" x14ac:dyDescent="0.25">
      <c r="A102" s="86">
        <v>6</v>
      </c>
      <c r="B102" s="86" t="s">
        <v>1592</v>
      </c>
      <c r="C102" s="75"/>
      <c r="D102" s="86" t="s">
        <v>257</v>
      </c>
      <c r="E102" s="86" t="s">
        <v>258</v>
      </c>
      <c r="F102" s="86" t="s">
        <v>1600</v>
      </c>
      <c r="G102" s="86" t="s">
        <v>991</v>
      </c>
      <c r="H102" s="75"/>
      <c r="I102" s="86" t="s">
        <v>1716</v>
      </c>
      <c r="J102" s="86" t="s">
        <v>1592</v>
      </c>
      <c r="K102" s="75"/>
      <c r="L102" s="86" t="s">
        <v>512</v>
      </c>
      <c r="M102" s="86" t="s">
        <v>512</v>
      </c>
      <c r="N102" s="86" t="s">
        <v>512</v>
      </c>
      <c r="O102" s="86" t="s">
        <v>512</v>
      </c>
      <c r="P102" s="176" t="s">
        <v>342</v>
      </c>
      <c r="Q102" s="86" t="s">
        <v>334</v>
      </c>
      <c r="R102" s="176" t="str">
        <f t="shared" si="4"/>
        <v xml:space="preserve">Director(a) anciera </v>
      </c>
      <c r="S102" s="87" t="s">
        <v>342</v>
      </c>
      <c r="T102" s="177" t="s">
        <v>1355</v>
      </c>
      <c r="U102" s="92">
        <v>1</v>
      </c>
      <c r="V102" s="136">
        <f>+VLOOKUP(AV102,Hoja1!$P$6:$R$26,3,FALSE)</f>
        <v>1.276595744680851E-3</v>
      </c>
      <c r="W102" s="75"/>
      <c r="X102" s="89" t="s">
        <v>1564</v>
      </c>
      <c r="Y102" s="89"/>
      <c r="Z102" s="89"/>
      <c r="AA102" s="89"/>
      <c r="AB102" s="89"/>
      <c r="AC102" s="89"/>
      <c r="AD102" s="89"/>
      <c r="AE102" s="75"/>
      <c r="AF102" s="89" t="s">
        <v>683</v>
      </c>
      <c r="AG102" s="89" t="s">
        <v>533</v>
      </c>
      <c r="AH102" s="89" t="s">
        <v>84</v>
      </c>
      <c r="AI102" s="89" t="s">
        <v>47</v>
      </c>
      <c r="AJ102" s="89"/>
      <c r="AK102" s="89"/>
      <c r="AL102" s="90" t="s">
        <v>1564</v>
      </c>
      <c r="AM102" s="90" t="s">
        <v>1564</v>
      </c>
      <c r="AN102" s="90" t="s">
        <v>1564</v>
      </c>
      <c r="AO102" s="90" t="s">
        <v>1564</v>
      </c>
      <c r="AP102" s="90" t="s">
        <v>1564</v>
      </c>
      <c r="AQ102" s="90" t="s">
        <v>1564</v>
      </c>
      <c r="AR102" s="90" t="s">
        <v>1564</v>
      </c>
      <c r="AS102" s="90" t="s">
        <v>1564</v>
      </c>
      <c r="AT102" s="91" t="s">
        <v>1564</v>
      </c>
      <c r="AU102" s="91" t="s">
        <v>1564</v>
      </c>
      <c r="AV102" s="176" t="str">
        <f t="shared" si="3"/>
        <v>Gestión</v>
      </c>
      <c r="AW102" s="80"/>
      <c r="AX102" s="80"/>
      <c r="AY102" s="80"/>
      <c r="AZ102" s="80"/>
      <c r="BA102" s="80"/>
      <c r="BB102" s="80"/>
      <c r="BC102" s="80"/>
      <c r="BD102" s="80"/>
      <c r="BE102" s="80"/>
      <c r="BF102" s="80"/>
      <c r="BG102" s="80"/>
      <c r="BH102" s="80"/>
      <c r="BI102" s="80"/>
      <c r="BJ102" s="80"/>
      <c r="BK102" s="80"/>
    </row>
    <row r="103" spans="1:63" s="78" customFormat="1" ht="39.75" customHeight="1" x14ac:dyDescent="0.25">
      <c r="A103" s="86">
        <v>6</v>
      </c>
      <c r="B103" s="86" t="s">
        <v>1592</v>
      </c>
      <c r="C103" s="75"/>
      <c r="D103" s="86" t="s">
        <v>257</v>
      </c>
      <c r="E103" s="86" t="s">
        <v>258</v>
      </c>
      <c r="F103" s="86" t="s">
        <v>1001</v>
      </c>
      <c r="G103" s="86" t="s">
        <v>994</v>
      </c>
      <c r="H103" s="75"/>
      <c r="I103" s="86" t="s">
        <v>1716</v>
      </c>
      <c r="J103" s="86" t="s">
        <v>1592</v>
      </c>
      <c r="K103" s="75"/>
      <c r="L103" s="86" t="s">
        <v>501</v>
      </c>
      <c r="M103" s="86" t="s">
        <v>515</v>
      </c>
      <c r="N103" s="86" t="s">
        <v>503</v>
      </c>
      <c r="O103" s="86" t="s">
        <v>504</v>
      </c>
      <c r="P103" s="176" t="s">
        <v>344</v>
      </c>
      <c r="Q103" s="86" t="s">
        <v>343</v>
      </c>
      <c r="R103" s="176" t="str">
        <f>+"Jefe "&amp;Q103</f>
        <v>Jefe Oficina de Control Interno Disciplinario</v>
      </c>
      <c r="S103" s="87" t="s">
        <v>344</v>
      </c>
      <c r="T103" s="177" t="s">
        <v>345</v>
      </c>
      <c r="U103" s="92">
        <v>0.8</v>
      </c>
      <c r="V103" s="136">
        <f>+VLOOKUP(AV103,Hoja1!$P$6:$R$26,3,FALSE)</f>
        <v>5.5813953488372094E-3</v>
      </c>
      <c r="W103" s="75"/>
      <c r="X103" s="89" t="s">
        <v>1564</v>
      </c>
      <c r="Y103" s="89"/>
      <c r="Z103" s="89"/>
      <c r="AA103" s="89" t="s">
        <v>1564</v>
      </c>
      <c r="AB103" s="89" t="s">
        <v>1564</v>
      </c>
      <c r="AC103" s="89"/>
      <c r="AD103" s="89"/>
      <c r="AE103" s="75"/>
      <c r="AF103" s="89" t="s">
        <v>98</v>
      </c>
      <c r="AG103" s="89" t="s">
        <v>533</v>
      </c>
      <c r="AH103" s="89" t="s">
        <v>71</v>
      </c>
      <c r="AI103" s="89" t="s">
        <v>47</v>
      </c>
      <c r="AJ103" s="89"/>
      <c r="AK103" s="89"/>
      <c r="AL103" s="90" t="s">
        <v>1564</v>
      </c>
      <c r="AM103" s="93"/>
      <c r="AN103" s="93"/>
      <c r="AO103" s="90" t="s">
        <v>1564</v>
      </c>
      <c r="AP103" s="93"/>
      <c r="AQ103" s="93"/>
      <c r="AR103" s="90" t="s">
        <v>1564</v>
      </c>
      <c r="AS103" s="93"/>
      <c r="AT103" s="94"/>
      <c r="AU103" s="91" t="s">
        <v>1564</v>
      </c>
      <c r="AV103" s="176" t="str">
        <f t="shared" si="3"/>
        <v>Gestiónx</v>
      </c>
      <c r="AW103" s="80"/>
      <c r="AX103" s="80"/>
      <c r="AY103" s="80"/>
      <c r="AZ103" s="80"/>
      <c r="BA103" s="80"/>
      <c r="BB103" s="80"/>
      <c r="BC103" s="80"/>
      <c r="BD103" s="80"/>
      <c r="BE103" s="80"/>
      <c r="BF103" s="80"/>
      <c r="BG103" s="80"/>
      <c r="BH103" s="80"/>
      <c r="BI103" s="80"/>
      <c r="BJ103" s="80"/>
      <c r="BK103" s="80"/>
    </row>
    <row r="104" spans="1:63" s="78" customFormat="1" ht="39.75" customHeight="1" x14ac:dyDescent="0.25">
      <c r="A104" s="86">
        <v>6</v>
      </c>
      <c r="B104" s="86" t="s">
        <v>1592</v>
      </c>
      <c r="C104" s="75"/>
      <c r="D104" s="86" t="s">
        <v>257</v>
      </c>
      <c r="E104" s="86" t="s">
        <v>258</v>
      </c>
      <c r="F104" s="86" t="s">
        <v>1001</v>
      </c>
      <c r="G104" s="86" t="s">
        <v>994</v>
      </c>
      <c r="H104" s="75"/>
      <c r="I104" s="86" t="s">
        <v>1716</v>
      </c>
      <c r="J104" s="86" t="s">
        <v>1592</v>
      </c>
      <c r="K104" s="75"/>
      <c r="L104" s="86" t="s">
        <v>512</v>
      </c>
      <c r="M104" s="86" t="s">
        <v>512</v>
      </c>
      <c r="N104" s="86" t="s">
        <v>512</v>
      </c>
      <c r="O104" s="86" t="s">
        <v>512</v>
      </c>
      <c r="P104" s="176" t="s">
        <v>346</v>
      </c>
      <c r="Q104" s="86" t="s">
        <v>343</v>
      </c>
      <c r="R104" s="176" t="str">
        <f t="shared" ref="R104:R107" si="5">+"Jefe "&amp;Q104</f>
        <v>Jefe Oficina de Control Interno Disciplinario</v>
      </c>
      <c r="S104" s="87" t="s">
        <v>346</v>
      </c>
      <c r="T104" s="177" t="s">
        <v>347</v>
      </c>
      <c r="U104" s="92">
        <v>1</v>
      </c>
      <c r="V104" s="136">
        <f>+VLOOKUP(AV104,Hoja1!$P$6:$R$26,3,FALSE)</f>
        <v>1.276595744680851E-3</v>
      </c>
      <c r="W104" s="75"/>
      <c r="X104" s="89" t="s">
        <v>1564</v>
      </c>
      <c r="Y104" s="89"/>
      <c r="Z104" s="89"/>
      <c r="AA104" s="89"/>
      <c r="AB104" s="89"/>
      <c r="AC104" s="89"/>
      <c r="AD104" s="89"/>
      <c r="AE104" s="75"/>
      <c r="AF104" s="89" t="s">
        <v>98</v>
      </c>
      <c r="AG104" s="89" t="s">
        <v>533</v>
      </c>
      <c r="AH104" s="89" t="s">
        <v>104</v>
      </c>
      <c r="AI104" s="89" t="s">
        <v>50</v>
      </c>
      <c r="AJ104" s="89"/>
      <c r="AK104" s="89"/>
      <c r="AL104" s="89"/>
      <c r="AM104" s="89"/>
      <c r="AN104" s="89"/>
      <c r="AO104" s="90" t="s">
        <v>1564</v>
      </c>
      <c r="AP104" s="93"/>
      <c r="AQ104" s="93"/>
      <c r="AR104" s="93"/>
      <c r="AS104" s="93"/>
      <c r="AT104" s="94"/>
      <c r="AU104" s="91" t="s">
        <v>1564</v>
      </c>
      <c r="AV104" s="176" t="str">
        <f t="shared" si="3"/>
        <v>Gestión</v>
      </c>
      <c r="AW104" s="80"/>
      <c r="AX104" s="80"/>
      <c r="AY104" s="80"/>
      <c r="AZ104" s="80"/>
      <c r="BA104" s="80"/>
      <c r="BB104" s="80"/>
      <c r="BC104" s="80"/>
      <c r="BD104" s="80"/>
      <c r="BE104" s="80"/>
      <c r="BF104" s="80"/>
      <c r="BG104" s="80"/>
      <c r="BH104" s="80"/>
      <c r="BI104" s="80"/>
      <c r="BJ104" s="80"/>
      <c r="BK104" s="80"/>
    </row>
    <row r="105" spans="1:63" s="78" customFormat="1" ht="39.75" customHeight="1" x14ac:dyDescent="0.25">
      <c r="A105" s="86">
        <v>6</v>
      </c>
      <c r="B105" s="86" t="s">
        <v>1592</v>
      </c>
      <c r="C105" s="75"/>
      <c r="D105" s="86" t="s">
        <v>257</v>
      </c>
      <c r="E105" s="86" t="s">
        <v>258</v>
      </c>
      <c r="F105" s="86" t="s">
        <v>1001</v>
      </c>
      <c r="G105" s="86" t="s">
        <v>994</v>
      </c>
      <c r="H105" s="75"/>
      <c r="I105" s="86" t="s">
        <v>1716</v>
      </c>
      <c r="J105" s="86" t="s">
        <v>1592</v>
      </c>
      <c r="K105" s="75"/>
      <c r="L105" s="86" t="s">
        <v>512</v>
      </c>
      <c r="M105" s="86" t="s">
        <v>512</v>
      </c>
      <c r="N105" s="86" t="s">
        <v>512</v>
      </c>
      <c r="O105" s="86" t="s">
        <v>512</v>
      </c>
      <c r="P105" s="176" t="s">
        <v>348</v>
      </c>
      <c r="Q105" s="86" t="s">
        <v>343</v>
      </c>
      <c r="R105" s="176" t="str">
        <f t="shared" si="5"/>
        <v>Jefe Oficina de Control Interno Disciplinario</v>
      </c>
      <c r="S105" s="87" t="s">
        <v>348</v>
      </c>
      <c r="T105" s="177" t="s">
        <v>349</v>
      </c>
      <c r="U105" s="92">
        <v>0.2</v>
      </c>
      <c r="V105" s="136">
        <f>+VLOOKUP(AV105,Hoja1!$P$6:$R$26,3,FALSE)</f>
        <v>1.276595744680851E-3</v>
      </c>
      <c r="W105" s="75"/>
      <c r="X105" s="89" t="s">
        <v>1564</v>
      </c>
      <c r="Y105" s="89"/>
      <c r="Z105" s="89"/>
      <c r="AA105" s="89"/>
      <c r="AB105" s="89"/>
      <c r="AC105" s="89"/>
      <c r="AD105" s="89"/>
      <c r="AE105" s="75"/>
      <c r="AF105" s="89" t="s">
        <v>98</v>
      </c>
      <c r="AG105" s="89" t="s">
        <v>533</v>
      </c>
      <c r="AH105" s="89" t="s">
        <v>71</v>
      </c>
      <c r="AI105" s="89" t="s">
        <v>47</v>
      </c>
      <c r="AJ105" s="89"/>
      <c r="AK105" s="89"/>
      <c r="AL105" s="90" t="s">
        <v>1564</v>
      </c>
      <c r="AM105" s="93"/>
      <c r="AN105" s="93"/>
      <c r="AO105" s="90" t="s">
        <v>1564</v>
      </c>
      <c r="AP105" s="93"/>
      <c r="AQ105" s="93"/>
      <c r="AR105" s="90" t="s">
        <v>1564</v>
      </c>
      <c r="AS105" s="93"/>
      <c r="AT105" s="94"/>
      <c r="AU105" s="91" t="s">
        <v>1564</v>
      </c>
      <c r="AV105" s="176" t="str">
        <f t="shared" si="3"/>
        <v>Gestión</v>
      </c>
      <c r="AW105" s="80"/>
      <c r="AX105" s="80"/>
      <c r="AY105" s="80"/>
      <c r="AZ105" s="80"/>
      <c r="BA105" s="80"/>
      <c r="BB105" s="80"/>
      <c r="BC105" s="80"/>
      <c r="BD105" s="80"/>
      <c r="BE105" s="80"/>
      <c r="BF105" s="80"/>
      <c r="BG105" s="80"/>
      <c r="BH105" s="80"/>
      <c r="BI105" s="80"/>
      <c r="BJ105" s="80"/>
      <c r="BK105" s="80"/>
    </row>
    <row r="106" spans="1:63" s="78" customFormat="1" ht="39.75" customHeight="1" x14ac:dyDescent="0.25">
      <c r="A106" s="86">
        <v>6</v>
      </c>
      <c r="B106" s="86" t="s">
        <v>1592</v>
      </c>
      <c r="C106" s="75"/>
      <c r="D106" s="86" t="s">
        <v>257</v>
      </c>
      <c r="E106" s="86" t="s">
        <v>258</v>
      </c>
      <c r="F106" s="86" t="s">
        <v>1001</v>
      </c>
      <c r="G106" s="86" t="s">
        <v>994</v>
      </c>
      <c r="H106" s="75"/>
      <c r="I106" s="86" t="s">
        <v>1716</v>
      </c>
      <c r="J106" s="86" t="s">
        <v>1592</v>
      </c>
      <c r="K106" s="75"/>
      <c r="L106" s="86" t="s">
        <v>512</v>
      </c>
      <c r="M106" s="86" t="s">
        <v>512</v>
      </c>
      <c r="N106" s="86" t="s">
        <v>512</v>
      </c>
      <c r="O106" s="86" t="s">
        <v>512</v>
      </c>
      <c r="P106" s="176" t="s">
        <v>350</v>
      </c>
      <c r="Q106" s="86" t="s">
        <v>343</v>
      </c>
      <c r="R106" s="176" t="str">
        <f t="shared" si="5"/>
        <v>Jefe Oficina de Control Interno Disciplinario</v>
      </c>
      <c r="S106" s="87" t="s">
        <v>350</v>
      </c>
      <c r="T106" s="177" t="s">
        <v>351</v>
      </c>
      <c r="U106" s="92">
        <v>1</v>
      </c>
      <c r="V106" s="136">
        <f>+VLOOKUP(AV106,Hoja1!$P$6:$R$26,3,FALSE)</f>
        <v>1.276595744680851E-3</v>
      </c>
      <c r="W106" s="75"/>
      <c r="X106" s="89" t="s">
        <v>1564</v>
      </c>
      <c r="Y106" s="89"/>
      <c r="Z106" s="89"/>
      <c r="AA106" s="89"/>
      <c r="AB106" s="89"/>
      <c r="AC106" s="89"/>
      <c r="AD106" s="89"/>
      <c r="AE106" s="75"/>
      <c r="AF106" s="89" t="s">
        <v>98</v>
      </c>
      <c r="AG106" s="89" t="s">
        <v>533</v>
      </c>
      <c r="AH106" s="89" t="s">
        <v>71</v>
      </c>
      <c r="AI106" s="89" t="s">
        <v>47</v>
      </c>
      <c r="AJ106" s="89"/>
      <c r="AK106" s="89"/>
      <c r="AL106" s="90" t="s">
        <v>1564</v>
      </c>
      <c r="AM106" s="93"/>
      <c r="AN106" s="93"/>
      <c r="AO106" s="90" t="s">
        <v>1564</v>
      </c>
      <c r="AP106" s="93"/>
      <c r="AQ106" s="93"/>
      <c r="AR106" s="90" t="s">
        <v>1564</v>
      </c>
      <c r="AS106" s="93"/>
      <c r="AT106" s="94"/>
      <c r="AU106" s="91" t="s">
        <v>1564</v>
      </c>
      <c r="AV106" s="176" t="str">
        <f t="shared" si="3"/>
        <v>Gestión</v>
      </c>
      <c r="AW106" s="80"/>
      <c r="AX106" s="80"/>
      <c r="AY106" s="80"/>
      <c r="AZ106" s="80"/>
      <c r="BA106" s="80"/>
      <c r="BB106" s="80"/>
      <c r="BC106" s="80"/>
      <c r="BD106" s="80"/>
      <c r="BE106" s="80"/>
      <c r="BF106" s="80"/>
      <c r="BG106" s="80"/>
      <c r="BH106" s="80"/>
      <c r="BI106" s="80"/>
      <c r="BJ106" s="80"/>
      <c r="BK106" s="80"/>
    </row>
    <row r="107" spans="1:63" s="78" customFormat="1" ht="39.75" customHeight="1" x14ac:dyDescent="0.25">
      <c r="A107" s="86">
        <v>6</v>
      </c>
      <c r="B107" s="86" t="s">
        <v>1592</v>
      </c>
      <c r="C107" s="75"/>
      <c r="D107" s="86" t="s">
        <v>257</v>
      </c>
      <c r="E107" s="86" t="s">
        <v>258</v>
      </c>
      <c r="F107" s="86" t="s">
        <v>1001</v>
      </c>
      <c r="G107" s="86" t="s">
        <v>994</v>
      </c>
      <c r="H107" s="75"/>
      <c r="I107" s="86" t="s">
        <v>1716</v>
      </c>
      <c r="J107" s="86" t="s">
        <v>1592</v>
      </c>
      <c r="K107" s="75"/>
      <c r="L107" s="86" t="s">
        <v>512</v>
      </c>
      <c r="M107" s="86" t="s">
        <v>512</v>
      </c>
      <c r="N107" s="86" t="s">
        <v>512</v>
      </c>
      <c r="O107" s="86" t="s">
        <v>512</v>
      </c>
      <c r="P107" s="176" t="s">
        <v>352</v>
      </c>
      <c r="Q107" s="86" t="s">
        <v>343</v>
      </c>
      <c r="R107" s="176" t="str">
        <f t="shared" si="5"/>
        <v>Jefe Oficina de Control Interno Disciplinario</v>
      </c>
      <c r="S107" s="87" t="s">
        <v>352</v>
      </c>
      <c r="T107" s="177" t="s">
        <v>353</v>
      </c>
      <c r="U107" s="92">
        <v>1</v>
      </c>
      <c r="V107" s="136">
        <f>+VLOOKUP(AV107,Hoja1!$P$6:$R$26,3,FALSE)</f>
        <v>1.276595744680851E-3</v>
      </c>
      <c r="W107" s="75"/>
      <c r="X107" s="89" t="s">
        <v>1564</v>
      </c>
      <c r="Y107" s="89"/>
      <c r="Z107" s="89"/>
      <c r="AA107" s="89"/>
      <c r="AB107" s="89"/>
      <c r="AC107" s="89"/>
      <c r="AD107" s="89"/>
      <c r="AE107" s="75"/>
      <c r="AF107" s="89" t="s">
        <v>98</v>
      </c>
      <c r="AG107" s="89" t="s">
        <v>533</v>
      </c>
      <c r="AH107" s="89" t="s">
        <v>104</v>
      </c>
      <c r="AI107" s="89" t="s">
        <v>50</v>
      </c>
      <c r="AJ107" s="89"/>
      <c r="AK107" s="89"/>
      <c r="AL107" s="89"/>
      <c r="AM107" s="89"/>
      <c r="AN107" s="89"/>
      <c r="AO107" s="90" t="s">
        <v>1564</v>
      </c>
      <c r="AP107" s="93"/>
      <c r="AQ107" s="93"/>
      <c r="AR107" s="93"/>
      <c r="AS107" s="93"/>
      <c r="AT107" s="94"/>
      <c r="AU107" s="91" t="s">
        <v>1564</v>
      </c>
      <c r="AV107" s="176" t="str">
        <f t="shared" si="3"/>
        <v>Gestión</v>
      </c>
      <c r="AW107" s="80"/>
      <c r="AX107" s="80"/>
      <c r="AY107" s="80"/>
      <c r="AZ107" s="80"/>
      <c r="BA107" s="80"/>
      <c r="BB107" s="80"/>
      <c r="BC107" s="80"/>
      <c r="BD107" s="80"/>
      <c r="BE107" s="80"/>
      <c r="BF107" s="80"/>
      <c r="BG107" s="80"/>
      <c r="BH107" s="80"/>
      <c r="BI107" s="80"/>
      <c r="BJ107" s="80"/>
      <c r="BK107" s="80"/>
    </row>
    <row r="108" spans="1:63" s="78" customFormat="1" ht="39.75" customHeight="1" x14ac:dyDescent="0.25">
      <c r="A108" s="86">
        <v>6</v>
      </c>
      <c r="B108" s="86" t="s">
        <v>1592</v>
      </c>
      <c r="C108" s="75"/>
      <c r="D108" s="86" t="s">
        <v>257</v>
      </c>
      <c r="E108" s="86" t="s">
        <v>258</v>
      </c>
      <c r="F108" s="86" t="s">
        <v>1025</v>
      </c>
      <c r="G108" s="86" t="s">
        <v>1015</v>
      </c>
      <c r="H108" s="75"/>
      <c r="I108" s="86" t="s">
        <v>1716</v>
      </c>
      <c r="J108" s="86" t="s">
        <v>1592</v>
      </c>
      <c r="K108" s="75"/>
      <c r="L108" s="86" t="s">
        <v>501</v>
      </c>
      <c r="M108" s="86" t="s">
        <v>515</v>
      </c>
      <c r="N108" s="86" t="s">
        <v>503</v>
      </c>
      <c r="O108" s="86" t="s">
        <v>504</v>
      </c>
      <c r="P108" s="176" t="s">
        <v>292</v>
      </c>
      <c r="Q108" s="86" t="s">
        <v>291</v>
      </c>
      <c r="R108" s="176" t="str">
        <f t="shared" ref="R108:R135" si="6">+"Director(a) "&amp;MID(Q108,14,100)</f>
        <v>Director(a) Abastecimiento</v>
      </c>
      <c r="S108" s="87" t="s">
        <v>292</v>
      </c>
      <c r="T108" s="177" t="s">
        <v>293</v>
      </c>
      <c r="U108" s="88">
        <v>8</v>
      </c>
      <c r="V108" s="136">
        <f>+VLOOKUP(AV108,Hoja1!$P$6:$R$26,3,FALSE)</f>
        <v>8.4210526315789489E-3</v>
      </c>
      <c r="W108" s="75"/>
      <c r="X108" s="89" t="s">
        <v>1564</v>
      </c>
      <c r="Y108" s="89"/>
      <c r="Z108" s="89"/>
      <c r="AA108" s="89" t="s">
        <v>1564</v>
      </c>
      <c r="AB108" s="89" t="s">
        <v>1564</v>
      </c>
      <c r="AC108" s="89"/>
      <c r="AD108" s="89"/>
      <c r="AE108" s="75"/>
      <c r="AF108" s="89" t="s">
        <v>98</v>
      </c>
      <c r="AG108" s="89" t="s">
        <v>519</v>
      </c>
      <c r="AH108" s="89" t="s">
        <v>513</v>
      </c>
      <c r="AI108" s="89" t="s">
        <v>40</v>
      </c>
      <c r="AJ108" s="89"/>
      <c r="AK108" s="90" t="s">
        <v>1564</v>
      </c>
      <c r="AL108" s="93"/>
      <c r="AM108" s="90" t="s">
        <v>1564</v>
      </c>
      <c r="AN108" s="93"/>
      <c r="AO108" s="90" t="s">
        <v>1564</v>
      </c>
      <c r="AP108" s="93"/>
      <c r="AQ108" s="90" t="s">
        <v>1564</v>
      </c>
      <c r="AR108" s="93"/>
      <c r="AS108" s="90" t="s">
        <v>1564</v>
      </c>
      <c r="AT108" s="94"/>
      <c r="AU108" s="91" t="s">
        <v>1564</v>
      </c>
      <c r="AV108" s="176" t="str">
        <f t="shared" si="3"/>
        <v>Productox</v>
      </c>
      <c r="AW108" s="80"/>
      <c r="AX108" s="80"/>
      <c r="AY108" s="80"/>
      <c r="AZ108" s="80"/>
      <c r="BA108" s="80"/>
      <c r="BB108" s="80"/>
      <c r="BC108" s="80"/>
      <c r="BD108" s="80"/>
      <c r="BE108" s="80"/>
      <c r="BF108" s="80"/>
      <c r="BG108" s="80"/>
      <c r="BH108" s="80"/>
      <c r="BI108" s="80"/>
      <c r="BJ108" s="80"/>
      <c r="BK108" s="80"/>
    </row>
    <row r="109" spans="1:63" s="78" customFormat="1" ht="39.75" customHeight="1" x14ac:dyDescent="0.25">
      <c r="A109" s="86">
        <v>6</v>
      </c>
      <c r="B109" s="86" t="s">
        <v>1592</v>
      </c>
      <c r="C109" s="75"/>
      <c r="D109" s="86" t="s">
        <v>257</v>
      </c>
      <c r="E109" s="86" t="s">
        <v>258</v>
      </c>
      <c r="F109" s="86" t="s">
        <v>1025</v>
      </c>
      <c r="G109" s="86" t="s">
        <v>1015</v>
      </c>
      <c r="H109" s="75"/>
      <c r="I109" s="86" t="s">
        <v>1716</v>
      </c>
      <c r="J109" s="86" t="s">
        <v>1592</v>
      </c>
      <c r="K109" s="75"/>
      <c r="L109" s="86" t="s">
        <v>501</v>
      </c>
      <c r="M109" s="86" t="s">
        <v>515</v>
      </c>
      <c r="N109" s="86" t="s">
        <v>503</v>
      </c>
      <c r="O109" s="86" t="s">
        <v>504</v>
      </c>
      <c r="P109" s="176" t="s">
        <v>294</v>
      </c>
      <c r="Q109" s="86" t="s">
        <v>291</v>
      </c>
      <c r="R109" s="176" t="str">
        <f t="shared" si="6"/>
        <v>Director(a) Abastecimiento</v>
      </c>
      <c r="S109" s="87" t="s">
        <v>294</v>
      </c>
      <c r="T109" s="177" t="s">
        <v>295</v>
      </c>
      <c r="U109" s="88">
        <v>70</v>
      </c>
      <c r="V109" s="136">
        <f>+VLOOKUP(AV109,Hoja1!$P$6:$R$26,3,FALSE)</f>
        <v>8.4210526315789489E-3</v>
      </c>
      <c r="W109" s="75"/>
      <c r="X109" s="89" t="s">
        <v>1564</v>
      </c>
      <c r="Y109" s="89"/>
      <c r="Z109" s="89"/>
      <c r="AA109" s="89" t="s">
        <v>1564</v>
      </c>
      <c r="AB109" s="89" t="s">
        <v>1564</v>
      </c>
      <c r="AC109" s="89"/>
      <c r="AD109" s="89"/>
      <c r="AE109" s="75"/>
      <c r="AF109" s="89" t="s">
        <v>98</v>
      </c>
      <c r="AG109" s="89" t="s">
        <v>519</v>
      </c>
      <c r="AH109" s="89" t="s">
        <v>71</v>
      </c>
      <c r="AI109" s="89" t="s">
        <v>47</v>
      </c>
      <c r="AJ109" s="89"/>
      <c r="AK109" s="89"/>
      <c r="AL109" s="90" t="s">
        <v>1564</v>
      </c>
      <c r="AM109" s="93"/>
      <c r="AN109" s="93"/>
      <c r="AO109" s="90" t="s">
        <v>1564</v>
      </c>
      <c r="AP109" s="93"/>
      <c r="AQ109" s="93"/>
      <c r="AR109" s="90" t="s">
        <v>1564</v>
      </c>
      <c r="AS109" s="93"/>
      <c r="AT109" s="94"/>
      <c r="AU109" s="91" t="s">
        <v>1564</v>
      </c>
      <c r="AV109" s="176" t="str">
        <f t="shared" si="3"/>
        <v>Productox</v>
      </c>
      <c r="AW109" s="80"/>
      <c r="AX109" s="80"/>
      <c r="AY109" s="80"/>
      <c r="AZ109" s="80"/>
      <c r="BA109" s="80"/>
      <c r="BB109" s="80"/>
      <c r="BC109" s="80"/>
      <c r="BD109" s="80"/>
      <c r="BE109" s="80"/>
      <c r="BF109" s="80"/>
      <c r="BG109" s="80"/>
      <c r="BH109" s="80"/>
      <c r="BI109" s="80"/>
      <c r="BJ109" s="80"/>
      <c r="BK109" s="80"/>
    </row>
    <row r="110" spans="1:63" s="78" customFormat="1" ht="39.75" customHeight="1" x14ac:dyDescent="0.25">
      <c r="A110" s="86">
        <v>6</v>
      </c>
      <c r="B110" s="86" t="s">
        <v>1592</v>
      </c>
      <c r="C110" s="75"/>
      <c r="D110" s="86" t="s">
        <v>257</v>
      </c>
      <c r="E110" s="86" t="s">
        <v>258</v>
      </c>
      <c r="F110" s="86" t="s">
        <v>1025</v>
      </c>
      <c r="G110" s="86" t="s">
        <v>1015</v>
      </c>
      <c r="H110" s="75"/>
      <c r="I110" s="86" t="s">
        <v>1716</v>
      </c>
      <c r="J110" s="86" t="s">
        <v>1592</v>
      </c>
      <c r="K110" s="75"/>
      <c r="L110" s="86" t="s">
        <v>1328</v>
      </c>
      <c r="M110" s="86" t="s">
        <v>991</v>
      </c>
      <c r="N110" s="86" t="s">
        <v>1622</v>
      </c>
      <c r="O110" s="86" t="s">
        <v>1601</v>
      </c>
      <c r="P110" s="176" t="s">
        <v>296</v>
      </c>
      <c r="Q110" s="86" t="s">
        <v>291</v>
      </c>
      <c r="R110" s="176" t="str">
        <f t="shared" si="6"/>
        <v>Director(a) Abastecimiento</v>
      </c>
      <c r="S110" s="87" t="s">
        <v>296</v>
      </c>
      <c r="T110" s="177" t="s">
        <v>297</v>
      </c>
      <c r="U110" s="92">
        <v>1</v>
      </c>
      <c r="V110" s="136">
        <f>+VLOOKUP(AV110,Hoja1!$P$6:$R$26,3,FALSE)</f>
        <v>5.5813953488372094E-3</v>
      </c>
      <c r="W110" s="75"/>
      <c r="X110" s="89" t="s">
        <v>1564</v>
      </c>
      <c r="Y110" s="89" t="s">
        <v>1564</v>
      </c>
      <c r="Z110" s="89"/>
      <c r="AA110" s="89" t="s">
        <v>1564</v>
      </c>
      <c r="AB110" s="89"/>
      <c r="AC110" s="89"/>
      <c r="AD110" s="89"/>
      <c r="AE110" s="75"/>
      <c r="AF110" s="89" t="s">
        <v>98</v>
      </c>
      <c r="AG110" s="89" t="s">
        <v>533</v>
      </c>
      <c r="AH110" s="89" t="s">
        <v>84</v>
      </c>
      <c r="AI110" s="89" t="s">
        <v>47</v>
      </c>
      <c r="AJ110" s="89"/>
      <c r="AK110" s="89"/>
      <c r="AL110" s="90" t="s">
        <v>1564</v>
      </c>
      <c r="AM110" s="90" t="s">
        <v>1564</v>
      </c>
      <c r="AN110" s="90" t="s">
        <v>1564</v>
      </c>
      <c r="AO110" s="90" t="s">
        <v>1564</v>
      </c>
      <c r="AP110" s="90" t="s">
        <v>1564</v>
      </c>
      <c r="AQ110" s="90" t="s">
        <v>1564</v>
      </c>
      <c r="AR110" s="90" t="s">
        <v>1564</v>
      </c>
      <c r="AS110" s="90" t="s">
        <v>1564</v>
      </c>
      <c r="AT110" s="91" t="s">
        <v>1564</v>
      </c>
      <c r="AU110" s="91" t="s">
        <v>1564</v>
      </c>
      <c r="AV110" s="176" t="str">
        <f t="shared" si="3"/>
        <v>Gestiónx</v>
      </c>
      <c r="AW110" s="80"/>
      <c r="AX110" s="80"/>
      <c r="AY110" s="80"/>
      <c r="AZ110" s="80"/>
      <c r="BA110" s="80"/>
      <c r="BB110" s="80"/>
      <c r="BC110" s="80"/>
      <c r="BD110" s="80"/>
      <c r="BE110" s="80"/>
      <c r="BF110" s="80"/>
      <c r="BG110" s="80"/>
      <c r="BH110" s="80"/>
      <c r="BI110" s="80"/>
      <c r="BJ110" s="80"/>
      <c r="BK110" s="80"/>
    </row>
    <row r="111" spans="1:63" s="78" customFormat="1" ht="39.75" customHeight="1" x14ac:dyDescent="0.25">
      <c r="A111" s="86">
        <v>6</v>
      </c>
      <c r="B111" s="86" t="s">
        <v>1592</v>
      </c>
      <c r="C111" s="75"/>
      <c r="D111" s="86" t="s">
        <v>257</v>
      </c>
      <c r="E111" s="86" t="s">
        <v>258</v>
      </c>
      <c r="F111" s="86" t="s">
        <v>1025</v>
      </c>
      <c r="G111" s="86" t="s">
        <v>1015</v>
      </c>
      <c r="H111" s="75"/>
      <c r="I111" s="86" t="s">
        <v>1716</v>
      </c>
      <c r="J111" s="86" t="s">
        <v>1592</v>
      </c>
      <c r="K111" s="75"/>
      <c r="L111" s="86" t="s">
        <v>512</v>
      </c>
      <c r="M111" s="86" t="s">
        <v>512</v>
      </c>
      <c r="N111" s="86" t="s">
        <v>512</v>
      </c>
      <c r="O111" s="86" t="s">
        <v>512</v>
      </c>
      <c r="P111" s="176" t="s">
        <v>298</v>
      </c>
      <c r="Q111" s="86" t="s">
        <v>291</v>
      </c>
      <c r="R111" s="176" t="str">
        <f t="shared" si="6"/>
        <v>Director(a) Abastecimiento</v>
      </c>
      <c r="S111" s="87" t="s">
        <v>298</v>
      </c>
      <c r="T111" s="177" t="s">
        <v>1055</v>
      </c>
      <c r="U111" s="92">
        <v>0.95</v>
      </c>
      <c r="V111" s="136">
        <f>+VLOOKUP(AV111,Hoja1!$P$6:$R$26,3,FALSE)</f>
        <v>1.276595744680851E-3</v>
      </c>
      <c r="W111" s="75"/>
      <c r="X111" s="89" t="s">
        <v>1564</v>
      </c>
      <c r="Y111" s="89"/>
      <c r="Z111" s="89"/>
      <c r="AA111" s="89"/>
      <c r="AB111" s="89"/>
      <c r="AC111" s="89"/>
      <c r="AD111" s="89"/>
      <c r="AE111" s="75"/>
      <c r="AF111" s="89" t="s">
        <v>98</v>
      </c>
      <c r="AG111" s="89" t="s">
        <v>533</v>
      </c>
      <c r="AH111" s="89" t="s">
        <v>84</v>
      </c>
      <c r="AI111" s="89" t="s">
        <v>53</v>
      </c>
      <c r="AJ111" s="89"/>
      <c r="AK111" s="89"/>
      <c r="AL111" s="89"/>
      <c r="AM111" s="89"/>
      <c r="AN111" s="89"/>
      <c r="AO111" s="89"/>
      <c r="AP111" s="90" t="s">
        <v>1564</v>
      </c>
      <c r="AQ111" s="90" t="s">
        <v>1564</v>
      </c>
      <c r="AR111" s="90" t="s">
        <v>1564</v>
      </c>
      <c r="AS111" s="90" t="s">
        <v>1564</v>
      </c>
      <c r="AT111" s="91" t="s">
        <v>1564</v>
      </c>
      <c r="AU111" s="91" t="s">
        <v>1564</v>
      </c>
      <c r="AV111" s="176" t="str">
        <f t="shared" si="3"/>
        <v>Gestión</v>
      </c>
      <c r="AW111" s="80"/>
      <c r="AX111" s="80"/>
      <c r="AY111" s="80"/>
      <c r="AZ111" s="80"/>
      <c r="BA111" s="80"/>
      <c r="BB111" s="80"/>
      <c r="BC111" s="80"/>
      <c r="BD111" s="80"/>
      <c r="BE111" s="80"/>
      <c r="BF111" s="80"/>
      <c r="BG111" s="80"/>
      <c r="BH111" s="80"/>
      <c r="BI111" s="80"/>
      <c r="BJ111" s="80"/>
      <c r="BK111" s="80"/>
    </row>
    <row r="112" spans="1:63" s="78" customFormat="1" ht="39.75" customHeight="1" x14ac:dyDescent="0.25">
      <c r="A112" s="86">
        <v>6</v>
      </c>
      <c r="B112" s="86" t="s">
        <v>1592</v>
      </c>
      <c r="C112" s="75"/>
      <c r="D112" s="86" t="s">
        <v>257</v>
      </c>
      <c r="E112" s="86" t="s">
        <v>258</v>
      </c>
      <c r="F112" s="86" t="s">
        <v>1025</v>
      </c>
      <c r="G112" s="86" t="s">
        <v>1015</v>
      </c>
      <c r="H112" s="75"/>
      <c r="I112" s="86" t="s">
        <v>1716</v>
      </c>
      <c r="J112" s="86" t="s">
        <v>1592</v>
      </c>
      <c r="K112" s="75"/>
      <c r="L112" s="86" t="s">
        <v>512</v>
      </c>
      <c r="M112" s="86" t="s">
        <v>512</v>
      </c>
      <c r="N112" s="86" t="s">
        <v>512</v>
      </c>
      <c r="O112" s="86" t="s">
        <v>512</v>
      </c>
      <c r="P112" s="176" t="s">
        <v>299</v>
      </c>
      <c r="Q112" s="86" t="s">
        <v>291</v>
      </c>
      <c r="R112" s="176" t="str">
        <f t="shared" si="6"/>
        <v>Director(a) Abastecimiento</v>
      </c>
      <c r="S112" s="87" t="s">
        <v>299</v>
      </c>
      <c r="T112" s="177" t="s">
        <v>300</v>
      </c>
      <c r="U112" s="92">
        <v>1</v>
      </c>
      <c r="V112" s="136">
        <f>+VLOOKUP(AV112,Hoja1!$P$6:$R$26,3,FALSE)</f>
        <v>1.276595744680851E-3</v>
      </c>
      <c r="W112" s="75"/>
      <c r="X112" s="89" t="s">
        <v>1564</v>
      </c>
      <c r="Y112" s="89"/>
      <c r="Z112" s="89"/>
      <c r="AA112" s="89"/>
      <c r="AB112" s="89"/>
      <c r="AC112" s="89"/>
      <c r="AD112" s="89"/>
      <c r="AE112" s="75"/>
      <c r="AF112" s="89" t="s">
        <v>98</v>
      </c>
      <c r="AG112" s="89" t="s">
        <v>533</v>
      </c>
      <c r="AH112" s="89" t="s">
        <v>84</v>
      </c>
      <c r="AI112" s="89" t="s">
        <v>46</v>
      </c>
      <c r="AJ112" s="90" t="s">
        <v>1564</v>
      </c>
      <c r="AK112" s="90" t="s">
        <v>1564</v>
      </c>
      <c r="AL112" s="90" t="s">
        <v>1564</v>
      </c>
      <c r="AM112" s="90" t="s">
        <v>1564</v>
      </c>
      <c r="AN112" s="90" t="s">
        <v>1564</v>
      </c>
      <c r="AO112" s="90" t="s">
        <v>1564</v>
      </c>
      <c r="AP112" s="90" t="s">
        <v>1564</v>
      </c>
      <c r="AQ112" s="90" t="s">
        <v>1564</v>
      </c>
      <c r="AR112" s="90" t="s">
        <v>1564</v>
      </c>
      <c r="AS112" s="90" t="s">
        <v>1564</v>
      </c>
      <c r="AT112" s="91" t="s">
        <v>1564</v>
      </c>
      <c r="AU112" s="91" t="s">
        <v>1564</v>
      </c>
      <c r="AV112" s="176" t="str">
        <f t="shared" si="3"/>
        <v>Gestión</v>
      </c>
      <c r="AW112" s="80"/>
      <c r="AX112" s="80"/>
      <c r="AY112" s="80"/>
      <c r="AZ112" s="80"/>
      <c r="BA112" s="80"/>
      <c r="BB112" s="80"/>
      <c r="BC112" s="80"/>
      <c r="BD112" s="80"/>
      <c r="BE112" s="80"/>
      <c r="BF112" s="80"/>
      <c r="BG112" s="80"/>
      <c r="BH112" s="80"/>
      <c r="BI112" s="80"/>
      <c r="BJ112" s="80"/>
      <c r="BK112" s="80"/>
    </row>
    <row r="113" spans="1:63" s="78" customFormat="1" ht="39.75" customHeight="1" x14ac:dyDescent="0.25">
      <c r="A113" s="86">
        <v>6</v>
      </c>
      <c r="B113" s="86" t="s">
        <v>1592</v>
      </c>
      <c r="C113" s="75"/>
      <c r="D113" s="86" t="s">
        <v>257</v>
      </c>
      <c r="E113" s="86" t="s">
        <v>258</v>
      </c>
      <c r="F113" s="86" t="s">
        <v>1025</v>
      </c>
      <c r="G113" s="86" t="s">
        <v>1015</v>
      </c>
      <c r="H113" s="75"/>
      <c r="I113" s="86" t="s">
        <v>1716</v>
      </c>
      <c r="J113" s="86" t="s">
        <v>1592</v>
      </c>
      <c r="K113" s="75"/>
      <c r="L113" s="86" t="s">
        <v>512</v>
      </c>
      <c r="M113" s="86" t="s">
        <v>512</v>
      </c>
      <c r="N113" s="86" t="s">
        <v>512</v>
      </c>
      <c r="O113" s="86" t="s">
        <v>512</v>
      </c>
      <c r="P113" s="176" t="s">
        <v>301</v>
      </c>
      <c r="Q113" s="86" t="s">
        <v>291</v>
      </c>
      <c r="R113" s="176" t="str">
        <f t="shared" si="6"/>
        <v>Director(a) Abastecimiento</v>
      </c>
      <c r="S113" s="87" t="s">
        <v>301</v>
      </c>
      <c r="T113" s="177" t="s">
        <v>1030</v>
      </c>
      <c r="U113" s="92">
        <v>0.98</v>
      </c>
      <c r="V113" s="136">
        <f>+VLOOKUP(AV113,Hoja1!$P$6:$R$26,3,FALSE)</f>
        <v>1.276595744680851E-3</v>
      </c>
      <c r="W113" s="75"/>
      <c r="X113" s="89" t="s">
        <v>1564</v>
      </c>
      <c r="Y113" s="89" t="s">
        <v>1564</v>
      </c>
      <c r="Z113" s="89"/>
      <c r="AA113" s="89"/>
      <c r="AB113" s="89"/>
      <c r="AC113" s="89"/>
      <c r="AD113" s="89"/>
      <c r="AE113" s="75"/>
      <c r="AF113" s="89" t="s">
        <v>98</v>
      </c>
      <c r="AG113" s="89" t="s">
        <v>533</v>
      </c>
      <c r="AH113" s="89" t="s">
        <v>84</v>
      </c>
      <c r="AI113" s="89" t="s">
        <v>47</v>
      </c>
      <c r="AJ113" s="89"/>
      <c r="AK113" s="89"/>
      <c r="AL113" s="90" t="s">
        <v>1564</v>
      </c>
      <c r="AM113" s="90" t="s">
        <v>1564</v>
      </c>
      <c r="AN113" s="90" t="s">
        <v>1564</v>
      </c>
      <c r="AO113" s="90" t="s">
        <v>1564</v>
      </c>
      <c r="AP113" s="90" t="s">
        <v>1564</v>
      </c>
      <c r="AQ113" s="90" t="s">
        <v>1564</v>
      </c>
      <c r="AR113" s="90" t="s">
        <v>1564</v>
      </c>
      <c r="AS113" s="90" t="s">
        <v>1564</v>
      </c>
      <c r="AT113" s="91" t="s">
        <v>1564</v>
      </c>
      <c r="AU113" s="91" t="s">
        <v>1564</v>
      </c>
      <c r="AV113" s="176" t="str">
        <f t="shared" si="3"/>
        <v>Gestión</v>
      </c>
      <c r="AW113" s="80"/>
      <c r="AX113" s="80"/>
      <c r="AY113" s="80"/>
      <c r="AZ113" s="80"/>
      <c r="BA113" s="80"/>
      <c r="BB113" s="80"/>
      <c r="BC113" s="80"/>
      <c r="BD113" s="80"/>
      <c r="BE113" s="80"/>
      <c r="BF113" s="80"/>
      <c r="BG113" s="80"/>
      <c r="BH113" s="80"/>
      <c r="BI113" s="80"/>
      <c r="BJ113" s="80"/>
      <c r="BK113" s="80"/>
    </row>
    <row r="114" spans="1:63" s="78" customFormat="1" ht="39.75" customHeight="1" x14ac:dyDescent="0.25">
      <c r="A114" s="86">
        <v>6</v>
      </c>
      <c r="B114" s="86" t="s">
        <v>1592</v>
      </c>
      <c r="C114" s="75"/>
      <c r="D114" s="86" t="s">
        <v>257</v>
      </c>
      <c r="E114" s="86" t="s">
        <v>258</v>
      </c>
      <c r="F114" s="86" t="s">
        <v>1025</v>
      </c>
      <c r="G114" s="86" t="s">
        <v>1015</v>
      </c>
      <c r="H114" s="75"/>
      <c r="I114" s="86" t="s">
        <v>1716</v>
      </c>
      <c r="J114" s="86" t="s">
        <v>1592</v>
      </c>
      <c r="K114" s="75"/>
      <c r="L114" s="86" t="s">
        <v>512</v>
      </c>
      <c r="M114" s="86" t="s">
        <v>512</v>
      </c>
      <c r="N114" s="86" t="s">
        <v>512</v>
      </c>
      <c r="O114" s="86" t="s">
        <v>512</v>
      </c>
      <c r="P114" s="176" t="s">
        <v>302</v>
      </c>
      <c r="Q114" s="86" t="s">
        <v>291</v>
      </c>
      <c r="R114" s="176" t="str">
        <f t="shared" si="6"/>
        <v>Director(a) Abastecimiento</v>
      </c>
      <c r="S114" s="87" t="s">
        <v>302</v>
      </c>
      <c r="T114" s="177" t="s">
        <v>1355</v>
      </c>
      <c r="U114" s="92">
        <v>1</v>
      </c>
      <c r="V114" s="136">
        <f>+VLOOKUP(AV114,Hoja1!$P$6:$R$26,3,FALSE)</f>
        <v>1.276595744680851E-3</v>
      </c>
      <c r="W114" s="75"/>
      <c r="X114" s="89" t="s">
        <v>1564</v>
      </c>
      <c r="Y114" s="89"/>
      <c r="Z114" s="89"/>
      <c r="AA114" s="89"/>
      <c r="AB114" s="89"/>
      <c r="AC114" s="89"/>
      <c r="AD114" s="89"/>
      <c r="AE114" s="75"/>
      <c r="AF114" s="89" t="s">
        <v>683</v>
      </c>
      <c r="AG114" s="89" t="s">
        <v>533</v>
      </c>
      <c r="AH114" s="89" t="s">
        <v>84</v>
      </c>
      <c r="AI114" s="89" t="s">
        <v>47</v>
      </c>
      <c r="AJ114" s="89"/>
      <c r="AK114" s="89"/>
      <c r="AL114" s="90" t="s">
        <v>1564</v>
      </c>
      <c r="AM114" s="90" t="s">
        <v>1564</v>
      </c>
      <c r="AN114" s="90" t="s">
        <v>1564</v>
      </c>
      <c r="AO114" s="90" t="s">
        <v>1564</v>
      </c>
      <c r="AP114" s="90" t="s">
        <v>1564</v>
      </c>
      <c r="AQ114" s="90" t="s">
        <v>1564</v>
      </c>
      <c r="AR114" s="90" t="s">
        <v>1564</v>
      </c>
      <c r="AS114" s="90" t="s">
        <v>1564</v>
      </c>
      <c r="AT114" s="91" t="s">
        <v>1564</v>
      </c>
      <c r="AU114" s="91" t="s">
        <v>1564</v>
      </c>
      <c r="AV114" s="176" t="str">
        <f t="shared" si="3"/>
        <v>Gestión</v>
      </c>
      <c r="AW114" s="80"/>
      <c r="AX114" s="80"/>
      <c r="AY114" s="80"/>
      <c r="AZ114" s="80"/>
      <c r="BA114" s="80"/>
      <c r="BB114" s="80"/>
      <c r="BC114" s="80"/>
      <c r="BD114" s="80"/>
      <c r="BE114" s="80"/>
      <c r="BF114" s="80"/>
      <c r="BG114" s="80"/>
      <c r="BH114" s="80"/>
      <c r="BI114" s="80"/>
      <c r="BJ114" s="80"/>
      <c r="BK114" s="80"/>
    </row>
    <row r="115" spans="1:63" s="78" customFormat="1" ht="39.75" customHeight="1" x14ac:dyDescent="0.25">
      <c r="A115" s="86">
        <v>6</v>
      </c>
      <c r="B115" s="86" t="s">
        <v>1592</v>
      </c>
      <c r="C115" s="75"/>
      <c r="D115" s="86" t="s">
        <v>257</v>
      </c>
      <c r="E115" s="86" t="s">
        <v>258</v>
      </c>
      <c r="F115" s="86" t="s">
        <v>1602</v>
      </c>
      <c r="G115" s="86" t="s">
        <v>1550</v>
      </c>
      <c r="H115" s="75"/>
      <c r="I115" s="86" t="s">
        <v>1716</v>
      </c>
      <c r="J115" s="86" t="s">
        <v>1592</v>
      </c>
      <c r="K115" s="75"/>
      <c r="L115" s="86" t="s">
        <v>501</v>
      </c>
      <c r="M115" s="86" t="s">
        <v>515</v>
      </c>
      <c r="N115" s="86" t="s">
        <v>503</v>
      </c>
      <c r="O115" s="86" t="s">
        <v>504</v>
      </c>
      <c r="P115" s="176" t="s">
        <v>260</v>
      </c>
      <c r="Q115" s="86" t="s">
        <v>259</v>
      </c>
      <c r="R115" s="176" t="str">
        <f>+"Director(a) "&amp;MID(Q115,11,100)</f>
        <v>Director(a) Administrativa</v>
      </c>
      <c r="S115" s="87" t="s">
        <v>260</v>
      </c>
      <c r="T115" s="177" t="s">
        <v>261</v>
      </c>
      <c r="U115" s="92">
        <v>0.25</v>
      </c>
      <c r="V115" s="136">
        <f>+VLOOKUP(AV115,Hoja1!$P$6:$R$26,3,FALSE)</f>
        <v>5.5813953488372094E-3</v>
      </c>
      <c r="W115" s="75"/>
      <c r="X115" s="89" t="s">
        <v>1564</v>
      </c>
      <c r="Y115" s="89"/>
      <c r="Z115" s="89"/>
      <c r="AA115" s="89" t="s">
        <v>1564</v>
      </c>
      <c r="AB115" s="89" t="s">
        <v>1564</v>
      </c>
      <c r="AC115" s="89"/>
      <c r="AD115" s="89"/>
      <c r="AE115" s="75"/>
      <c r="AF115" s="89" t="s">
        <v>98</v>
      </c>
      <c r="AG115" s="89" t="s">
        <v>533</v>
      </c>
      <c r="AH115" s="89" t="s">
        <v>1069</v>
      </c>
      <c r="AI115" s="89" t="s">
        <v>48</v>
      </c>
      <c r="AJ115" s="89"/>
      <c r="AK115" s="89"/>
      <c r="AL115" s="89"/>
      <c r="AM115" s="90" t="s">
        <v>1564</v>
      </c>
      <c r="AN115" s="93"/>
      <c r="AO115" s="93"/>
      <c r="AP115" s="93"/>
      <c r="AQ115" s="90" t="s">
        <v>1564</v>
      </c>
      <c r="AR115" s="93"/>
      <c r="AS115" s="93"/>
      <c r="AT115" s="94"/>
      <c r="AU115" s="91" t="s">
        <v>1564</v>
      </c>
      <c r="AV115" s="176" t="str">
        <f t="shared" si="3"/>
        <v>Gestiónx</v>
      </c>
      <c r="AW115" s="80"/>
      <c r="AX115" s="80"/>
      <c r="AY115" s="80"/>
      <c r="AZ115" s="80"/>
      <c r="BA115" s="80"/>
      <c r="BB115" s="80"/>
      <c r="BC115" s="80"/>
      <c r="BD115" s="80"/>
      <c r="BE115" s="80"/>
      <c r="BF115" s="80"/>
      <c r="BG115" s="80"/>
      <c r="BH115" s="80"/>
      <c r="BI115" s="80"/>
      <c r="BJ115" s="80"/>
      <c r="BK115" s="80"/>
    </row>
    <row r="116" spans="1:63" s="78" customFormat="1" ht="39.75" customHeight="1" x14ac:dyDescent="0.25">
      <c r="A116" s="86">
        <v>6</v>
      </c>
      <c r="B116" s="86" t="s">
        <v>1592</v>
      </c>
      <c r="C116" s="75"/>
      <c r="D116" s="86" t="s">
        <v>257</v>
      </c>
      <c r="E116" s="86" t="s">
        <v>258</v>
      </c>
      <c r="F116" s="86" t="s">
        <v>1602</v>
      </c>
      <c r="G116" s="86" t="s">
        <v>1550</v>
      </c>
      <c r="H116" s="75"/>
      <c r="I116" s="86" t="s">
        <v>1716</v>
      </c>
      <c r="J116" s="86" t="s">
        <v>1592</v>
      </c>
      <c r="K116" s="75"/>
      <c r="L116" s="86" t="s">
        <v>501</v>
      </c>
      <c r="M116" s="86" t="s">
        <v>515</v>
      </c>
      <c r="N116" s="86" t="s">
        <v>503</v>
      </c>
      <c r="O116" s="86" t="s">
        <v>504</v>
      </c>
      <c r="P116" s="176" t="s">
        <v>262</v>
      </c>
      <c r="Q116" s="86" t="s">
        <v>259</v>
      </c>
      <c r="R116" s="176" t="str">
        <f t="shared" ref="R116:R133" si="7">+"Director(a) "&amp;MID(Q116,11,100)</f>
        <v>Director(a) Administrativa</v>
      </c>
      <c r="S116" s="87" t="s">
        <v>262</v>
      </c>
      <c r="T116" s="177" t="s">
        <v>263</v>
      </c>
      <c r="U116" s="92">
        <v>0.25</v>
      </c>
      <c r="V116" s="136">
        <f>+VLOOKUP(AV116,Hoja1!$P$6:$R$26,3,FALSE)</f>
        <v>5.5813953488372094E-3</v>
      </c>
      <c r="W116" s="75"/>
      <c r="X116" s="89" t="s">
        <v>1564</v>
      </c>
      <c r="Y116" s="89"/>
      <c r="Z116" s="89"/>
      <c r="AA116" s="89" t="s">
        <v>1564</v>
      </c>
      <c r="AB116" s="89" t="s">
        <v>1564</v>
      </c>
      <c r="AC116" s="89"/>
      <c r="AD116" s="89"/>
      <c r="AE116" s="75"/>
      <c r="AF116" s="89" t="s">
        <v>98</v>
      </c>
      <c r="AG116" s="89" t="s">
        <v>533</v>
      </c>
      <c r="AH116" s="89" t="s">
        <v>71</v>
      </c>
      <c r="AI116" s="89" t="s">
        <v>47</v>
      </c>
      <c r="AJ116" s="89"/>
      <c r="AK116" s="89"/>
      <c r="AL116" s="90" t="s">
        <v>1564</v>
      </c>
      <c r="AM116" s="93"/>
      <c r="AN116" s="93"/>
      <c r="AO116" s="90" t="s">
        <v>1564</v>
      </c>
      <c r="AP116" s="93"/>
      <c r="AQ116" s="93"/>
      <c r="AR116" s="90" t="s">
        <v>1564</v>
      </c>
      <c r="AS116" s="93"/>
      <c r="AT116" s="94"/>
      <c r="AU116" s="91" t="s">
        <v>1564</v>
      </c>
      <c r="AV116" s="176" t="str">
        <f t="shared" si="3"/>
        <v>Gestiónx</v>
      </c>
      <c r="AW116" s="80"/>
      <c r="AX116" s="80"/>
      <c r="AY116" s="80"/>
      <c r="AZ116" s="80"/>
      <c r="BA116" s="80"/>
      <c r="BB116" s="80"/>
      <c r="BC116" s="80"/>
      <c r="BD116" s="80"/>
      <c r="BE116" s="80"/>
      <c r="BF116" s="80"/>
      <c r="BG116" s="80"/>
      <c r="BH116" s="80"/>
      <c r="BI116" s="80"/>
      <c r="BJ116" s="80"/>
      <c r="BK116" s="80"/>
    </row>
    <row r="117" spans="1:63" s="78" customFormat="1" ht="39.75" customHeight="1" x14ac:dyDescent="0.25">
      <c r="A117" s="86">
        <v>6</v>
      </c>
      <c r="B117" s="86" t="s">
        <v>1592</v>
      </c>
      <c r="C117" s="75"/>
      <c r="D117" s="86" t="s">
        <v>257</v>
      </c>
      <c r="E117" s="86" t="s">
        <v>258</v>
      </c>
      <c r="F117" s="86" t="s">
        <v>1602</v>
      </c>
      <c r="G117" s="86" t="s">
        <v>1550</v>
      </c>
      <c r="H117" s="75"/>
      <c r="I117" s="86" t="s">
        <v>1716</v>
      </c>
      <c r="J117" s="86" t="s">
        <v>1592</v>
      </c>
      <c r="K117" s="75"/>
      <c r="L117" s="86" t="s">
        <v>1126</v>
      </c>
      <c r="M117" s="86" t="s">
        <v>1127</v>
      </c>
      <c r="N117" s="86" t="s">
        <v>1623</v>
      </c>
      <c r="O117" s="86" t="s">
        <v>1603</v>
      </c>
      <c r="P117" s="176" t="s">
        <v>264</v>
      </c>
      <c r="Q117" s="86" t="s">
        <v>259</v>
      </c>
      <c r="R117" s="176" t="str">
        <f t="shared" si="7"/>
        <v>Director(a) Administrativa</v>
      </c>
      <c r="S117" s="87" t="s">
        <v>264</v>
      </c>
      <c r="T117" s="177" t="s">
        <v>1156</v>
      </c>
      <c r="U117" s="92">
        <v>0.85</v>
      </c>
      <c r="V117" s="136">
        <f>+VLOOKUP(AV117,Hoja1!$P$6:$R$26,3,FALSE)</f>
        <v>5.5813953488372094E-3</v>
      </c>
      <c r="W117" s="75"/>
      <c r="X117" s="89" t="s">
        <v>1564</v>
      </c>
      <c r="Y117" s="89"/>
      <c r="Z117" s="89"/>
      <c r="AA117" s="89" t="s">
        <v>1564</v>
      </c>
      <c r="AB117" s="89"/>
      <c r="AC117" s="89"/>
      <c r="AD117" s="89"/>
      <c r="AE117" s="75"/>
      <c r="AF117" s="89" t="s">
        <v>98</v>
      </c>
      <c r="AG117" s="89" t="s">
        <v>533</v>
      </c>
      <c r="AH117" s="89" t="s">
        <v>104</v>
      </c>
      <c r="AI117" s="89" t="s">
        <v>50</v>
      </c>
      <c r="AJ117" s="89"/>
      <c r="AK117" s="89"/>
      <c r="AL117" s="89"/>
      <c r="AM117" s="89"/>
      <c r="AN117" s="89"/>
      <c r="AO117" s="90" t="s">
        <v>1564</v>
      </c>
      <c r="AP117" s="93"/>
      <c r="AQ117" s="93"/>
      <c r="AR117" s="93"/>
      <c r="AS117" s="93"/>
      <c r="AT117" s="94"/>
      <c r="AU117" s="91" t="s">
        <v>1564</v>
      </c>
      <c r="AV117" s="176" t="str">
        <f t="shared" si="3"/>
        <v>Gestiónx</v>
      </c>
      <c r="AW117" s="80"/>
      <c r="AX117" s="80"/>
      <c r="AY117" s="80"/>
      <c r="AZ117" s="80"/>
      <c r="BA117" s="80"/>
      <c r="BB117" s="80"/>
      <c r="BC117" s="80"/>
      <c r="BD117" s="80"/>
      <c r="BE117" s="80"/>
      <c r="BF117" s="80"/>
      <c r="BG117" s="80"/>
      <c r="BH117" s="80"/>
      <c r="BI117" s="80"/>
      <c r="BJ117" s="80"/>
      <c r="BK117" s="80"/>
    </row>
    <row r="118" spans="1:63" s="78" customFormat="1" ht="39.75" customHeight="1" x14ac:dyDescent="0.25">
      <c r="A118" s="86">
        <v>6</v>
      </c>
      <c r="B118" s="86" t="s">
        <v>1592</v>
      </c>
      <c r="C118" s="75"/>
      <c r="D118" s="86" t="s">
        <v>257</v>
      </c>
      <c r="E118" s="86" t="s">
        <v>258</v>
      </c>
      <c r="F118" s="86" t="s">
        <v>1602</v>
      </c>
      <c r="G118" s="86" t="s">
        <v>1550</v>
      </c>
      <c r="H118" s="75"/>
      <c r="I118" s="86" t="s">
        <v>1716</v>
      </c>
      <c r="J118" s="86" t="s">
        <v>1592</v>
      </c>
      <c r="K118" s="75"/>
      <c r="L118" s="86" t="s">
        <v>501</v>
      </c>
      <c r="M118" s="86" t="s">
        <v>502</v>
      </c>
      <c r="N118" s="86" t="s">
        <v>503</v>
      </c>
      <c r="O118" s="86" t="s">
        <v>504</v>
      </c>
      <c r="P118" s="176" t="s">
        <v>265</v>
      </c>
      <c r="Q118" s="86" t="s">
        <v>259</v>
      </c>
      <c r="R118" s="176" t="str">
        <f t="shared" si="7"/>
        <v>Director(a) Administrativa</v>
      </c>
      <c r="S118" s="87" t="s">
        <v>265</v>
      </c>
      <c r="T118" s="177" t="s">
        <v>266</v>
      </c>
      <c r="U118" s="88">
        <v>20</v>
      </c>
      <c r="V118" s="136">
        <f>+VLOOKUP(AV118,Hoja1!$P$6:$R$26,3,FALSE)</f>
        <v>9.3023255813953487E-3</v>
      </c>
      <c r="W118" s="75"/>
      <c r="X118" s="89" t="s">
        <v>1564</v>
      </c>
      <c r="Y118" s="89"/>
      <c r="Z118" s="89"/>
      <c r="AA118" s="89" t="s">
        <v>1564</v>
      </c>
      <c r="AB118" s="89"/>
      <c r="AC118" s="89"/>
      <c r="AD118" s="89"/>
      <c r="AE118" s="75"/>
      <c r="AF118" s="89" t="s">
        <v>683</v>
      </c>
      <c r="AG118" s="89" t="s">
        <v>103</v>
      </c>
      <c r="AH118" s="89" t="s">
        <v>71</v>
      </c>
      <c r="AI118" s="89" t="s">
        <v>47</v>
      </c>
      <c r="AJ118" s="89"/>
      <c r="AK118" s="89"/>
      <c r="AL118" s="90" t="s">
        <v>1564</v>
      </c>
      <c r="AM118" s="93"/>
      <c r="AN118" s="93"/>
      <c r="AO118" s="90" t="s">
        <v>1564</v>
      </c>
      <c r="AP118" s="93"/>
      <c r="AQ118" s="93"/>
      <c r="AR118" s="90" t="s">
        <v>1564</v>
      </c>
      <c r="AS118" s="93"/>
      <c r="AT118" s="94"/>
      <c r="AU118" s="91" t="s">
        <v>1564</v>
      </c>
      <c r="AV118" s="176" t="str">
        <f t="shared" si="3"/>
        <v>Resultadox</v>
      </c>
      <c r="AW118" s="80"/>
      <c r="AX118" s="80"/>
      <c r="AY118" s="80"/>
      <c r="AZ118" s="80"/>
      <c r="BA118" s="80"/>
      <c r="BB118" s="80"/>
      <c r="BC118" s="80"/>
      <c r="BD118" s="80"/>
      <c r="BE118" s="80"/>
      <c r="BF118" s="80"/>
      <c r="BG118" s="80"/>
      <c r="BH118" s="80"/>
      <c r="BI118" s="80"/>
      <c r="BJ118" s="80"/>
      <c r="BK118" s="80"/>
    </row>
    <row r="119" spans="1:63" s="78" customFormat="1" ht="39.75" customHeight="1" x14ac:dyDescent="0.25">
      <c r="A119" s="86">
        <v>6</v>
      </c>
      <c r="B119" s="86" t="s">
        <v>1592</v>
      </c>
      <c r="C119" s="75"/>
      <c r="D119" s="86" t="s">
        <v>257</v>
      </c>
      <c r="E119" s="86" t="s">
        <v>258</v>
      </c>
      <c r="F119" s="86" t="s">
        <v>1602</v>
      </c>
      <c r="G119" s="86" t="s">
        <v>1550</v>
      </c>
      <c r="H119" s="75"/>
      <c r="I119" s="86" t="s">
        <v>1716</v>
      </c>
      <c r="J119" s="86" t="s">
        <v>1592</v>
      </c>
      <c r="K119" s="75"/>
      <c r="L119" s="86" t="s">
        <v>1126</v>
      </c>
      <c r="M119" s="86" t="s">
        <v>1127</v>
      </c>
      <c r="N119" s="86" t="s">
        <v>1624</v>
      </c>
      <c r="O119" s="86" t="s">
        <v>1604</v>
      </c>
      <c r="P119" s="176" t="s">
        <v>267</v>
      </c>
      <c r="Q119" s="86" t="s">
        <v>259</v>
      </c>
      <c r="R119" s="176" t="str">
        <f t="shared" si="7"/>
        <v>Director(a) Administrativa</v>
      </c>
      <c r="S119" s="87" t="s">
        <v>267</v>
      </c>
      <c r="T119" s="177" t="s">
        <v>268</v>
      </c>
      <c r="U119" s="92">
        <v>0.6</v>
      </c>
      <c r="V119" s="136">
        <f>+VLOOKUP(AV119,Hoja1!$P$6:$R$26,3,FALSE)</f>
        <v>9.3023255813953487E-3</v>
      </c>
      <c r="W119" s="75"/>
      <c r="X119" s="89" t="s">
        <v>1564</v>
      </c>
      <c r="Y119" s="89"/>
      <c r="Z119" s="89"/>
      <c r="AA119" s="89" t="s">
        <v>1564</v>
      </c>
      <c r="AB119" s="89"/>
      <c r="AC119" s="89"/>
      <c r="AD119" s="89"/>
      <c r="AE119" s="75"/>
      <c r="AF119" s="89" t="s">
        <v>98</v>
      </c>
      <c r="AG119" s="89" t="s">
        <v>103</v>
      </c>
      <c r="AH119" s="89" t="s">
        <v>71</v>
      </c>
      <c r="AI119" s="89" t="s">
        <v>47</v>
      </c>
      <c r="AJ119" s="89"/>
      <c r="AK119" s="89"/>
      <c r="AL119" s="90" t="s">
        <v>1564</v>
      </c>
      <c r="AM119" s="93"/>
      <c r="AN119" s="93"/>
      <c r="AO119" s="90" t="s">
        <v>1564</v>
      </c>
      <c r="AP119" s="93"/>
      <c r="AQ119" s="93"/>
      <c r="AR119" s="90" t="s">
        <v>1564</v>
      </c>
      <c r="AS119" s="93"/>
      <c r="AT119" s="94"/>
      <c r="AU119" s="91" t="s">
        <v>1564</v>
      </c>
      <c r="AV119" s="176" t="str">
        <f t="shared" si="3"/>
        <v>Resultadox</v>
      </c>
      <c r="AW119" s="80"/>
      <c r="AX119" s="80"/>
      <c r="AY119" s="80"/>
      <c r="AZ119" s="80"/>
      <c r="BA119" s="80"/>
      <c r="BB119" s="80"/>
      <c r="BC119" s="80"/>
      <c r="BD119" s="80"/>
      <c r="BE119" s="80"/>
      <c r="BF119" s="80"/>
      <c r="BG119" s="80"/>
      <c r="BH119" s="80"/>
      <c r="BI119" s="80"/>
      <c r="BJ119" s="80"/>
      <c r="BK119" s="80"/>
    </row>
    <row r="120" spans="1:63" s="78" customFormat="1" ht="39.75" customHeight="1" x14ac:dyDescent="0.25">
      <c r="A120" s="86">
        <v>6</v>
      </c>
      <c r="B120" s="86" t="s">
        <v>1592</v>
      </c>
      <c r="C120" s="75"/>
      <c r="D120" s="86" t="s">
        <v>257</v>
      </c>
      <c r="E120" s="86" t="s">
        <v>258</v>
      </c>
      <c r="F120" s="86" t="s">
        <v>1602</v>
      </c>
      <c r="G120" s="86" t="s">
        <v>1550</v>
      </c>
      <c r="H120" s="75"/>
      <c r="I120" s="86" t="s">
        <v>1716</v>
      </c>
      <c r="J120" s="86" t="s">
        <v>1592</v>
      </c>
      <c r="K120" s="75"/>
      <c r="L120" s="86" t="s">
        <v>501</v>
      </c>
      <c r="M120" s="86" t="s">
        <v>502</v>
      </c>
      <c r="N120" s="86" t="s">
        <v>503</v>
      </c>
      <c r="O120" s="86" t="s">
        <v>504</v>
      </c>
      <c r="P120" s="176" t="s">
        <v>269</v>
      </c>
      <c r="Q120" s="86" t="s">
        <v>259</v>
      </c>
      <c r="R120" s="176" t="str">
        <f t="shared" si="7"/>
        <v>Director(a) Administrativa</v>
      </c>
      <c r="S120" s="87" t="s">
        <v>269</v>
      </c>
      <c r="T120" s="177" t="s">
        <v>270</v>
      </c>
      <c r="U120" s="88">
        <v>50</v>
      </c>
      <c r="V120" s="136">
        <f>+VLOOKUP(AV120,Hoja1!$P$6:$R$26,3,FALSE)</f>
        <v>9.3023255813953487E-3</v>
      </c>
      <c r="W120" s="75"/>
      <c r="X120" s="89" t="s">
        <v>1564</v>
      </c>
      <c r="Y120" s="89"/>
      <c r="Z120" s="89"/>
      <c r="AA120" s="89" t="s">
        <v>1564</v>
      </c>
      <c r="AB120" s="89"/>
      <c r="AC120" s="89"/>
      <c r="AD120" s="89"/>
      <c r="AE120" s="75"/>
      <c r="AF120" s="89" t="s">
        <v>683</v>
      </c>
      <c r="AG120" s="89" t="s">
        <v>103</v>
      </c>
      <c r="AH120" s="89" t="s">
        <v>104</v>
      </c>
      <c r="AI120" s="89" t="s">
        <v>50</v>
      </c>
      <c r="AJ120" s="89"/>
      <c r="AK120" s="89"/>
      <c r="AL120" s="89"/>
      <c r="AM120" s="89"/>
      <c r="AN120" s="89"/>
      <c r="AO120" s="90" t="s">
        <v>1564</v>
      </c>
      <c r="AP120" s="93"/>
      <c r="AQ120" s="93"/>
      <c r="AR120" s="93"/>
      <c r="AS120" s="93"/>
      <c r="AT120" s="94"/>
      <c r="AU120" s="91" t="s">
        <v>1564</v>
      </c>
      <c r="AV120" s="176" t="str">
        <f t="shared" si="3"/>
        <v>Resultadox</v>
      </c>
      <c r="AW120" s="80"/>
      <c r="AX120" s="80"/>
      <c r="AY120" s="80"/>
      <c r="AZ120" s="80"/>
      <c r="BA120" s="80"/>
      <c r="BB120" s="80"/>
      <c r="BC120" s="80"/>
      <c r="BD120" s="80"/>
      <c r="BE120" s="80"/>
      <c r="BF120" s="80"/>
      <c r="BG120" s="80"/>
      <c r="BH120" s="80"/>
      <c r="BI120" s="80"/>
      <c r="BJ120" s="80"/>
      <c r="BK120" s="80"/>
    </row>
    <row r="121" spans="1:63" s="78" customFormat="1" ht="39.75" customHeight="1" x14ac:dyDescent="0.25">
      <c r="A121" s="86">
        <v>6</v>
      </c>
      <c r="B121" s="86" t="s">
        <v>1592</v>
      </c>
      <c r="C121" s="75"/>
      <c r="D121" s="86" t="s">
        <v>257</v>
      </c>
      <c r="E121" s="86" t="s">
        <v>258</v>
      </c>
      <c r="F121" s="86" t="s">
        <v>1602</v>
      </c>
      <c r="G121" s="86" t="s">
        <v>1550</v>
      </c>
      <c r="H121" s="75"/>
      <c r="I121" s="86" t="s">
        <v>1716</v>
      </c>
      <c r="J121" s="86" t="s">
        <v>1592</v>
      </c>
      <c r="K121" s="75"/>
      <c r="L121" s="86" t="s">
        <v>1126</v>
      </c>
      <c r="M121" s="86" t="s">
        <v>1127</v>
      </c>
      <c r="N121" s="86" t="s">
        <v>1625</v>
      </c>
      <c r="O121" s="86" t="s">
        <v>1605</v>
      </c>
      <c r="P121" s="176" t="s">
        <v>271</v>
      </c>
      <c r="Q121" s="86" t="s">
        <v>259</v>
      </c>
      <c r="R121" s="176" t="str">
        <f t="shared" si="7"/>
        <v>Director(a) Administrativa</v>
      </c>
      <c r="S121" s="87" t="s">
        <v>271</v>
      </c>
      <c r="T121" s="177" t="s">
        <v>272</v>
      </c>
      <c r="U121" s="92">
        <v>0.1</v>
      </c>
      <c r="V121" s="136">
        <f>+VLOOKUP(AV121,Hoja1!$P$6:$R$26,3,FALSE)</f>
        <v>5.5813953488372094E-3</v>
      </c>
      <c r="W121" s="75"/>
      <c r="X121" s="89" t="s">
        <v>1564</v>
      </c>
      <c r="Y121" s="89"/>
      <c r="Z121" s="89"/>
      <c r="AA121" s="89" t="s">
        <v>1564</v>
      </c>
      <c r="AB121" s="89"/>
      <c r="AC121" s="89"/>
      <c r="AD121" s="89"/>
      <c r="AE121" s="75"/>
      <c r="AF121" s="89" t="s">
        <v>98</v>
      </c>
      <c r="AG121" s="89" t="s">
        <v>533</v>
      </c>
      <c r="AH121" s="89" t="s">
        <v>1069</v>
      </c>
      <c r="AI121" s="89" t="s">
        <v>48</v>
      </c>
      <c r="AJ121" s="89"/>
      <c r="AK121" s="89"/>
      <c r="AL121" s="89"/>
      <c r="AM121" s="90" t="s">
        <v>1564</v>
      </c>
      <c r="AN121" s="93"/>
      <c r="AO121" s="93"/>
      <c r="AP121" s="93"/>
      <c r="AQ121" s="90" t="s">
        <v>1564</v>
      </c>
      <c r="AR121" s="93"/>
      <c r="AS121" s="93"/>
      <c r="AT121" s="94"/>
      <c r="AU121" s="91" t="s">
        <v>1564</v>
      </c>
      <c r="AV121" s="176" t="str">
        <f t="shared" si="3"/>
        <v>Gestiónx</v>
      </c>
      <c r="AW121" s="80"/>
      <c r="AX121" s="80"/>
      <c r="AY121" s="80"/>
      <c r="AZ121" s="80"/>
      <c r="BA121" s="80"/>
      <c r="BB121" s="80"/>
      <c r="BC121" s="80"/>
      <c r="BD121" s="80"/>
      <c r="BE121" s="80"/>
      <c r="BF121" s="80"/>
      <c r="BG121" s="80"/>
      <c r="BH121" s="80"/>
      <c r="BI121" s="80"/>
      <c r="BJ121" s="80"/>
      <c r="BK121" s="80"/>
    </row>
    <row r="122" spans="1:63" s="78" customFormat="1" ht="39.75" customHeight="1" x14ac:dyDescent="0.25">
      <c r="A122" s="86">
        <v>6</v>
      </c>
      <c r="B122" s="86" t="s">
        <v>1592</v>
      </c>
      <c r="C122" s="75"/>
      <c r="D122" s="86" t="s">
        <v>257</v>
      </c>
      <c r="E122" s="86" t="s">
        <v>258</v>
      </c>
      <c r="F122" s="86" t="s">
        <v>1602</v>
      </c>
      <c r="G122" s="86" t="s">
        <v>1550</v>
      </c>
      <c r="H122" s="75"/>
      <c r="I122" s="86" t="s">
        <v>1716</v>
      </c>
      <c r="J122" s="86" t="s">
        <v>1592</v>
      </c>
      <c r="K122" s="75"/>
      <c r="L122" s="86" t="s">
        <v>512</v>
      </c>
      <c r="M122" s="86" t="s">
        <v>512</v>
      </c>
      <c r="N122" s="86" t="s">
        <v>512</v>
      </c>
      <c r="O122" s="86" t="s">
        <v>512</v>
      </c>
      <c r="P122" s="176" t="s">
        <v>273</v>
      </c>
      <c r="Q122" s="86" t="s">
        <v>259</v>
      </c>
      <c r="R122" s="176" t="str">
        <f t="shared" si="7"/>
        <v>Director(a) Administrativa</v>
      </c>
      <c r="S122" s="87" t="s">
        <v>273</v>
      </c>
      <c r="T122" s="177" t="s">
        <v>274</v>
      </c>
      <c r="U122" s="88">
        <v>52</v>
      </c>
      <c r="V122" s="136">
        <f>+VLOOKUP(AV122,Hoja1!$P$6:$R$26,3,FALSE)</f>
        <v>3.7499999999999999E-3</v>
      </c>
      <c r="W122" s="75"/>
      <c r="X122" s="89" t="s">
        <v>1564</v>
      </c>
      <c r="Y122" s="89" t="s">
        <v>1564</v>
      </c>
      <c r="Z122" s="89"/>
      <c r="AA122" s="89"/>
      <c r="AB122" s="89"/>
      <c r="AC122" s="89"/>
      <c r="AD122" s="89"/>
      <c r="AE122" s="75"/>
      <c r="AF122" s="89" t="s">
        <v>683</v>
      </c>
      <c r="AG122" s="89" t="s">
        <v>103</v>
      </c>
      <c r="AH122" s="89" t="s">
        <v>71</v>
      </c>
      <c r="AI122" s="89" t="s">
        <v>47</v>
      </c>
      <c r="AJ122" s="89"/>
      <c r="AK122" s="89"/>
      <c r="AL122" s="90" t="s">
        <v>1564</v>
      </c>
      <c r="AM122" s="93"/>
      <c r="AN122" s="93"/>
      <c r="AO122" s="90" t="s">
        <v>1564</v>
      </c>
      <c r="AP122" s="93"/>
      <c r="AQ122" s="93"/>
      <c r="AR122" s="90" t="s">
        <v>1564</v>
      </c>
      <c r="AS122" s="93"/>
      <c r="AT122" s="94"/>
      <c r="AU122" s="91" t="s">
        <v>1564</v>
      </c>
      <c r="AV122" s="176" t="str">
        <f t="shared" si="3"/>
        <v>Resultado</v>
      </c>
      <c r="AW122" s="80"/>
      <c r="AX122" s="80"/>
      <c r="AY122" s="80"/>
      <c r="AZ122" s="80"/>
      <c r="BA122" s="80"/>
      <c r="BB122" s="80"/>
      <c r="BC122" s="80"/>
      <c r="BD122" s="80"/>
      <c r="BE122" s="80"/>
      <c r="BF122" s="80"/>
      <c r="BG122" s="80"/>
      <c r="BH122" s="80"/>
      <c r="BI122" s="80"/>
      <c r="BJ122" s="80"/>
      <c r="BK122" s="80"/>
    </row>
    <row r="123" spans="1:63" s="78" customFormat="1" ht="39.75" customHeight="1" x14ac:dyDescent="0.25">
      <c r="A123" s="86">
        <v>6</v>
      </c>
      <c r="B123" s="86" t="s">
        <v>1592</v>
      </c>
      <c r="C123" s="75"/>
      <c r="D123" s="86" t="s">
        <v>257</v>
      </c>
      <c r="E123" s="86" t="s">
        <v>258</v>
      </c>
      <c r="F123" s="86" t="s">
        <v>1602</v>
      </c>
      <c r="G123" s="86" t="s">
        <v>1550</v>
      </c>
      <c r="H123" s="75"/>
      <c r="I123" s="86" t="s">
        <v>1716</v>
      </c>
      <c r="J123" s="86" t="s">
        <v>1592</v>
      </c>
      <c r="K123" s="75"/>
      <c r="L123" s="86" t="s">
        <v>512</v>
      </c>
      <c r="M123" s="86" t="s">
        <v>512</v>
      </c>
      <c r="N123" s="86" t="s">
        <v>512</v>
      </c>
      <c r="O123" s="86" t="s">
        <v>512</v>
      </c>
      <c r="P123" s="176" t="s">
        <v>275</v>
      </c>
      <c r="Q123" s="86" t="s">
        <v>259</v>
      </c>
      <c r="R123" s="176" t="str">
        <f t="shared" si="7"/>
        <v>Director(a) Administrativa</v>
      </c>
      <c r="S123" s="87" t="s">
        <v>275</v>
      </c>
      <c r="T123" s="177" t="s">
        <v>276</v>
      </c>
      <c r="U123" s="92">
        <v>1</v>
      </c>
      <c r="V123" s="136">
        <f>+VLOOKUP(AV123,Hoja1!$P$6:$R$26,3,FALSE)</f>
        <v>1.276595744680851E-3</v>
      </c>
      <c r="W123" s="75"/>
      <c r="X123" s="89" t="s">
        <v>1564</v>
      </c>
      <c r="Y123" s="89"/>
      <c r="Z123" s="89"/>
      <c r="AA123" s="89"/>
      <c r="AB123" s="89"/>
      <c r="AC123" s="89"/>
      <c r="AD123" s="89"/>
      <c r="AE123" s="75"/>
      <c r="AF123" s="89" t="s">
        <v>98</v>
      </c>
      <c r="AG123" s="89" t="s">
        <v>533</v>
      </c>
      <c r="AH123" s="89" t="s">
        <v>84</v>
      </c>
      <c r="AI123" s="89" t="s">
        <v>47</v>
      </c>
      <c r="AJ123" s="90" t="s">
        <v>1564</v>
      </c>
      <c r="AK123" s="90" t="s">
        <v>1564</v>
      </c>
      <c r="AL123" s="90" t="s">
        <v>1564</v>
      </c>
      <c r="AM123" s="90" t="s">
        <v>1564</v>
      </c>
      <c r="AN123" s="90" t="s">
        <v>1564</v>
      </c>
      <c r="AO123" s="90" t="s">
        <v>1564</v>
      </c>
      <c r="AP123" s="90" t="s">
        <v>1564</v>
      </c>
      <c r="AQ123" s="90" t="s">
        <v>1564</v>
      </c>
      <c r="AR123" s="90" t="s">
        <v>1564</v>
      </c>
      <c r="AS123" s="90" t="s">
        <v>1564</v>
      </c>
      <c r="AT123" s="91" t="s">
        <v>1564</v>
      </c>
      <c r="AU123" s="91" t="s">
        <v>1564</v>
      </c>
      <c r="AV123" s="176" t="str">
        <f t="shared" si="3"/>
        <v>Gestión</v>
      </c>
      <c r="AW123" s="80"/>
      <c r="AX123" s="80"/>
      <c r="AY123" s="80"/>
      <c r="AZ123" s="80"/>
      <c r="BA123" s="80"/>
      <c r="BB123" s="80"/>
      <c r="BC123" s="80"/>
      <c r="BD123" s="80"/>
      <c r="BE123" s="80"/>
      <c r="BF123" s="80"/>
      <c r="BG123" s="80"/>
      <c r="BH123" s="80"/>
      <c r="BI123" s="80"/>
      <c r="BJ123" s="80"/>
      <c r="BK123" s="80"/>
    </row>
    <row r="124" spans="1:63" s="78" customFormat="1" ht="39.75" customHeight="1" x14ac:dyDescent="0.25">
      <c r="A124" s="86">
        <v>6</v>
      </c>
      <c r="B124" s="86" t="s">
        <v>1592</v>
      </c>
      <c r="C124" s="75"/>
      <c r="D124" s="86" t="s">
        <v>257</v>
      </c>
      <c r="E124" s="86" t="s">
        <v>258</v>
      </c>
      <c r="F124" s="86" t="s">
        <v>1602</v>
      </c>
      <c r="G124" s="86" t="s">
        <v>1550</v>
      </c>
      <c r="H124" s="75"/>
      <c r="I124" s="86" t="s">
        <v>1716</v>
      </c>
      <c r="J124" s="86" t="s">
        <v>1592</v>
      </c>
      <c r="K124" s="75"/>
      <c r="L124" s="86" t="s">
        <v>512</v>
      </c>
      <c r="M124" s="86" t="s">
        <v>512</v>
      </c>
      <c r="N124" s="86" t="s">
        <v>512</v>
      </c>
      <c r="O124" s="86" t="s">
        <v>512</v>
      </c>
      <c r="P124" s="176" t="s">
        <v>277</v>
      </c>
      <c r="Q124" s="86" t="s">
        <v>259</v>
      </c>
      <c r="R124" s="176" t="str">
        <f t="shared" si="7"/>
        <v>Director(a) Administrativa</v>
      </c>
      <c r="S124" s="87" t="s">
        <v>277</v>
      </c>
      <c r="T124" s="177" t="s">
        <v>1157</v>
      </c>
      <c r="U124" s="92">
        <v>1</v>
      </c>
      <c r="V124" s="136">
        <f>+VLOOKUP(AV124,Hoja1!$P$6:$R$26,3,FALSE)</f>
        <v>1.276595744680851E-3</v>
      </c>
      <c r="W124" s="75"/>
      <c r="X124" s="89" t="s">
        <v>1564</v>
      </c>
      <c r="Y124" s="89"/>
      <c r="Z124" s="89"/>
      <c r="AA124" s="89"/>
      <c r="AB124" s="89"/>
      <c r="AC124" s="89"/>
      <c r="AD124" s="89"/>
      <c r="AE124" s="75"/>
      <c r="AF124" s="89" t="s">
        <v>98</v>
      </c>
      <c r="AG124" s="89" t="s">
        <v>533</v>
      </c>
      <c r="AH124" s="89" t="s">
        <v>71</v>
      </c>
      <c r="AI124" s="89" t="s">
        <v>47</v>
      </c>
      <c r="AJ124" s="89"/>
      <c r="AK124" s="89"/>
      <c r="AL124" s="90" t="s">
        <v>1564</v>
      </c>
      <c r="AM124" s="93"/>
      <c r="AN124" s="93"/>
      <c r="AO124" s="90" t="s">
        <v>1564</v>
      </c>
      <c r="AP124" s="93"/>
      <c r="AQ124" s="93"/>
      <c r="AR124" s="90" t="s">
        <v>1564</v>
      </c>
      <c r="AS124" s="93"/>
      <c r="AT124" s="94"/>
      <c r="AU124" s="91" t="s">
        <v>1564</v>
      </c>
      <c r="AV124" s="176" t="str">
        <f t="shared" si="3"/>
        <v>Gestión</v>
      </c>
      <c r="AW124" s="80"/>
      <c r="AX124" s="80"/>
      <c r="AY124" s="80"/>
      <c r="AZ124" s="80"/>
      <c r="BA124" s="80"/>
      <c r="BB124" s="80"/>
      <c r="BC124" s="80"/>
      <c r="BD124" s="80"/>
      <c r="BE124" s="80"/>
      <c r="BF124" s="80"/>
      <c r="BG124" s="80"/>
      <c r="BH124" s="80"/>
      <c r="BI124" s="80"/>
      <c r="BJ124" s="80"/>
      <c r="BK124" s="80"/>
    </row>
    <row r="125" spans="1:63" s="78" customFormat="1" ht="39.75" customHeight="1" x14ac:dyDescent="0.25">
      <c r="A125" s="86">
        <v>6</v>
      </c>
      <c r="B125" s="86" t="s">
        <v>1592</v>
      </c>
      <c r="C125" s="75"/>
      <c r="D125" s="86" t="s">
        <v>257</v>
      </c>
      <c r="E125" s="86" t="s">
        <v>258</v>
      </c>
      <c r="F125" s="86" t="s">
        <v>1602</v>
      </c>
      <c r="G125" s="86" t="s">
        <v>1550</v>
      </c>
      <c r="H125" s="75"/>
      <c r="I125" s="86" t="s">
        <v>1716</v>
      </c>
      <c r="J125" s="86" t="s">
        <v>1592</v>
      </c>
      <c r="K125" s="75"/>
      <c r="L125" s="86" t="s">
        <v>512</v>
      </c>
      <c r="M125" s="86" t="s">
        <v>512</v>
      </c>
      <c r="N125" s="86" t="s">
        <v>512</v>
      </c>
      <c r="O125" s="86" t="s">
        <v>512</v>
      </c>
      <c r="P125" s="176" t="s">
        <v>278</v>
      </c>
      <c r="Q125" s="86" t="s">
        <v>259</v>
      </c>
      <c r="R125" s="176" t="str">
        <f t="shared" si="7"/>
        <v>Director(a) Administrativa</v>
      </c>
      <c r="S125" s="87" t="s">
        <v>278</v>
      </c>
      <c r="T125" s="177" t="s">
        <v>279</v>
      </c>
      <c r="U125" s="92">
        <v>1</v>
      </c>
      <c r="V125" s="136">
        <f>+VLOOKUP(AV125,Hoja1!$P$6:$R$26,3,FALSE)</f>
        <v>1.276595744680851E-3</v>
      </c>
      <c r="W125" s="75"/>
      <c r="X125" s="89" t="s">
        <v>1564</v>
      </c>
      <c r="Y125" s="89"/>
      <c r="Z125" s="89"/>
      <c r="AA125" s="89"/>
      <c r="AB125" s="89"/>
      <c r="AC125" s="89"/>
      <c r="AD125" s="89"/>
      <c r="AE125" s="75"/>
      <c r="AF125" s="89" t="s">
        <v>98</v>
      </c>
      <c r="AG125" s="89" t="s">
        <v>533</v>
      </c>
      <c r="AH125" s="89" t="s">
        <v>71</v>
      </c>
      <c r="AI125" s="89" t="s">
        <v>47</v>
      </c>
      <c r="AJ125" s="89"/>
      <c r="AK125" s="89"/>
      <c r="AL125" s="90" t="s">
        <v>1564</v>
      </c>
      <c r="AM125" s="93"/>
      <c r="AN125" s="93"/>
      <c r="AO125" s="90" t="s">
        <v>1564</v>
      </c>
      <c r="AP125" s="93"/>
      <c r="AQ125" s="93"/>
      <c r="AR125" s="90" t="s">
        <v>1564</v>
      </c>
      <c r="AS125" s="93"/>
      <c r="AT125" s="94"/>
      <c r="AU125" s="91" t="s">
        <v>1564</v>
      </c>
      <c r="AV125" s="176" t="str">
        <f t="shared" si="3"/>
        <v>Gestión</v>
      </c>
      <c r="AW125" s="80"/>
      <c r="AX125" s="80"/>
      <c r="AY125" s="80"/>
      <c r="AZ125" s="80"/>
      <c r="BA125" s="80"/>
      <c r="BB125" s="80"/>
      <c r="BC125" s="80"/>
      <c r="BD125" s="80"/>
      <c r="BE125" s="80"/>
      <c r="BF125" s="80"/>
      <c r="BG125" s="80"/>
      <c r="BH125" s="80"/>
      <c r="BI125" s="80"/>
      <c r="BJ125" s="80"/>
      <c r="BK125" s="80"/>
    </row>
    <row r="126" spans="1:63" s="78" customFormat="1" ht="39.75" customHeight="1" x14ac:dyDescent="0.25">
      <c r="A126" s="86">
        <v>6</v>
      </c>
      <c r="B126" s="86" t="s">
        <v>1592</v>
      </c>
      <c r="C126" s="75"/>
      <c r="D126" s="86" t="s">
        <v>257</v>
      </c>
      <c r="E126" s="86" t="s">
        <v>258</v>
      </c>
      <c r="F126" s="86" t="s">
        <v>1602</v>
      </c>
      <c r="G126" s="86" t="s">
        <v>1550</v>
      </c>
      <c r="H126" s="75"/>
      <c r="I126" s="86" t="s">
        <v>1716</v>
      </c>
      <c r="J126" s="86" t="s">
        <v>1592</v>
      </c>
      <c r="K126" s="75"/>
      <c r="L126" s="86" t="s">
        <v>512</v>
      </c>
      <c r="M126" s="86" t="s">
        <v>512</v>
      </c>
      <c r="N126" s="86" t="s">
        <v>512</v>
      </c>
      <c r="O126" s="86" t="s">
        <v>512</v>
      </c>
      <c r="P126" s="176" t="s">
        <v>280</v>
      </c>
      <c r="Q126" s="86" t="s">
        <v>259</v>
      </c>
      <c r="R126" s="176" t="str">
        <f t="shared" si="7"/>
        <v>Director(a) Administrativa</v>
      </c>
      <c r="S126" s="87" t="s">
        <v>280</v>
      </c>
      <c r="T126" s="177" t="s">
        <v>2125</v>
      </c>
      <c r="U126" s="92">
        <v>1</v>
      </c>
      <c r="V126" s="136">
        <f>+VLOOKUP(AV126,Hoja1!$P$6:$R$26,3,FALSE)</f>
        <v>1.276595744680851E-3</v>
      </c>
      <c r="W126" s="75"/>
      <c r="X126" s="89" t="s">
        <v>1564</v>
      </c>
      <c r="Y126" s="89" t="s">
        <v>1564</v>
      </c>
      <c r="Z126" s="89"/>
      <c r="AA126" s="89"/>
      <c r="AB126" s="89"/>
      <c r="AC126" s="89"/>
      <c r="AD126" s="89"/>
      <c r="AE126" s="75"/>
      <c r="AF126" s="89" t="s">
        <v>98</v>
      </c>
      <c r="AG126" s="89" t="s">
        <v>533</v>
      </c>
      <c r="AH126" s="89" t="s">
        <v>1069</v>
      </c>
      <c r="AI126" s="89" t="s">
        <v>48</v>
      </c>
      <c r="AJ126" s="89"/>
      <c r="AK126" s="89"/>
      <c r="AL126" s="89"/>
      <c r="AM126" s="90" t="s">
        <v>1564</v>
      </c>
      <c r="AN126" s="93"/>
      <c r="AO126" s="93"/>
      <c r="AP126" s="93"/>
      <c r="AQ126" s="90" t="s">
        <v>1564</v>
      </c>
      <c r="AR126" s="93"/>
      <c r="AS126" s="93"/>
      <c r="AT126" s="94"/>
      <c r="AU126" s="91" t="s">
        <v>1564</v>
      </c>
      <c r="AV126" s="176" t="str">
        <f t="shared" si="3"/>
        <v>Gestión</v>
      </c>
      <c r="AW126" s="80"/>
      <c r="AX126" s="80"/>
      <c r="AY126" s="80"/>
      <c r="AZ126" s="80"/>
      <c r="BA126" s="80"/>
      <c r="BB126" s="80"/>
      <c r="BC126" s="80"/>
      <c r="BD126" s="80"/>
      <c r="BE126" s="80"/>
      <c r="BF126" s="80"/>
      <c r="BG126" s="80"/>
      <c r="BH126" s="80"/>
      <c r="BI126" s="80"/>
      <c r="BJ126" s="80"/>
      <c r="BK126" s="80"/>
    </row>
    <row r="127" spans="1:63" s="78" customFormat="1" ht="39.75" customHeight="1" x14ac:dyDescent="0.25">
      <c r="A127" s="86">
        <v>6</v>
      </c>
      <c r="B127" s="86" t="s">
        <v>1592</v>
      </c>
      <c r="C127" s="75"/>
      <c r="D127" s="86" t="s">
        <v>257</v>
      </c>
      <c r="E127" s="86" t="s">
        <v>258</v>
      </c>
      <c r="F127" s="86" t="s">
        <v>1602</v>
      </c>
      <c r="G127" s="86" t="s">
        <v>1550</v>
      </c>
      <c r="H127" s="75"/>
      <c r="I127" s="86" t="s">
        <v>1716</v>
      </c>
      <c r="J127" s="86" t="s">
        <v>1592</v>
      </c>
      <c r="K127" s="75"/>
      <c r="L127" s="86" t="s">
        <v>512</v>
      </c>
      <c r="M127" s="86" t="s">
        <v>512</v>
      </c>
      <c r="N127" s="86" t="s">
        <v>512</v>
      </c>
      <c r="O127" s="86" t="s">
        <v>512</v>
      </c>
      <c r="P127" s="176" t="s">
        <v>281</v>
      </c>
      <c r="Q127" s="86" t="s">
        <v>259</v>
      </c>
      <c r="R127" s="176" t="str">
        <f t="shared" si="7"/>
        <v>Director(a) Administrativa</v>
      </c>
      <c r="S127" s="87" t="s">
        <v>281</v>
      </c>
      <c r="T127" s="177" t="s">
        <v>282</v>
      </c>
      <c r="U127" s="92">
        <v>1</v>
      </c>
      <c r="V127" s="136">
        <f>+VLOOKUP(AV127,Hoja1!$P$6:$R$26,3,FALSE)</f>
        <v>1.276595744680851E-3</v>
      </c>
      <c r="W127" s="75"/>
      <c r="X127" s="89" t="s">
        <v>1564</v>
      </c>
      <c r="Y127" s="89" t="s">
        <v>1564</v>
      </c>
      <c r="Z127" s="89"/>
      <c r="AA127" s="89"/>
      <c r="AB127" s="89"/>
      <c r="AC127" s="89"/>
      <c r="AD127" s="89"/>
      <c r="AE127" s="75"/>
      <c r="AF127" s="89" t="s">
        <v>98</v>
      </c>
      <c r="AG127" s="89" t="s">
        <v>533</v>
      </c>
      <c r="AH127" s="89" t="s">
        <v>71</v>
      </c>
      <c r="AI127" s="89" t="s">
        <v>47</v>
      </c>
      <c r="AJ127" s="89"/>
      <c r="AK127" s="89"/>
      <c r="AL127" s="90" t="s">
        <v>1564</v>
      </c>
      <c r="AM127" s="93"/>
      <c r="AN127" s="93"/>
      <c r="AO127" s="90" t="s">
        <v>1564</v>
      </c>
      <c r="AP127" s="93"/>
      <c r="AQ127" s="93"/>
      <c r="AR127" s="90" t="s">
        <v>1564</v>
      </c>
      <c r="AS127" s="93"/>
      <c r="AT127" s="94"/>
      <c r="AU127" s="91" t="s">
        <v>1564</v>
      </c>
      <c r="AV127" s="176" t="str">
        <f t="shared" si="3"/>
        <v>Gestión</v>
      </c>
      <c r="AW127" s="80"/>
      <c r="AX127" s="80"/>
      <c r="AY127" s="80"/>
      <c r="AZ127" s="80"/>
      <c r="BA127" s="80"/>
      <c r="BB127" s="80"/>
      <c r="BC127" s="80"/>
      <c r="BD127" s="80"/>
      <c r="BE127" s="80"/>
      <c r="BF127" s="80"/>
      <c r="BG127" s="80"/>
      <c r="BH127" s="80"/>
      <c r="BI127" s="80"/>
      <c r="BJ127" s="80"/>
      <c r="BK127" s="80"/>
    </row>
    <row r="128" spans="1:63" s="78" customFormat="1" ht="39.75" customHeight="1" x14ac:dyDescent="0.25">
      <c r="A128" s="86">
        <v>6</v>
      </c>
      <c r="B128" s="86" t="s">
        <v>1592</v>
      </c>
      <c r="C128" s="75"/>
      <c r="D128" s="86" t="s">
        <v>257</v>
      </c>
      <c r="E128" s="86" t="s">
        <v>258</v>
      </c>
      <c r="F128" s="86" t="s">
        <v>1602</v>
      </c>
      <c r="G128" s="86" t="s">
        <v>1550</v>
      </c>
      <c r="H128" s="75"/>
      <c r="I128" s="86" t="s">
        <v>1718</v>
      </c>
      <c r="J128" s="86" t="s">
        <v>1595</v>
      </c>
      <c r="K128" s="75"/>
      <c r="L128" s="86" t="s">
        <v>512</v>
      </c>
      <c r="M128" s="86" t="s">
        <v>512</v>
      </c>
      <c r="N128" s="86" t="s">
        <v>512</v>
      </c>
      <c r="O128" s="86" t="s">
        <v>512</v>
      </c>
      <c r="P128" s="176" t="s">
        <v>283</v>
      </c>
      <c r="Q128" s="86" t="s">
        <v>259</v>
      </c>
      <c r="R128" s="176" t="str">
        <f t="shared" si="7"/>
        <v>Director(a) Administrativa</v>
      </c>
      <c r="S128" s="87" t="s">
        <v>283</v>
      </c>
      <c r="T128" s="177" t="s">
        <v>1158</v>
      </c>
      <c r="U128" s="92">
        <v>0.98</v>
      </c>
      <c r="V128" s="136">
        <f>+VLOOKUP(AV128,Hoja1!$P$6:$R$26,3,FALSE)</f>
        <v>3.7499999999999999E-3</v>
      </c>
      <c r="W128" s="75"/>
      <c r="X128" s="89" t="s">
        <v>1564</v>
      </c>
      <c r="Y128" s="89" t="s">
        <v>1564</v>
      </c>
      <c r="Z128" s="89"/>
      <c r="AA128" s="89"/>
      <c r="AB128" s="89"/>
      <c r="AC128" s="89"/>
      <c r="AD128" s="89"/>
      <c r="AE128" s="75"/>
      <c r="AF128" s="89" t="s">
        <v>683</v>
      </c>
      <c r="AG128" s="89" t="s">
        <v>103</v>
      </c>
      <c r="AH128" s="89" t="s">
        <v>84</v>
      </c>
      <c r="AI128" s="89" t="s">
        <v>48</v>
      </c>
      <c r="AJ128" s="89"/>
      <c r="AK128" s="89"/>
      <c r="AL128" s="89"/>
      <c r="AM128" s="90" t="s">
        <v>1564</v>
      </c>
      <c r="AN128" s="90" t="s">
        <v>1564</v>
      </c>
      <c r="AO128" s="90" t="s">
        <v>1564</v>
      </c>
      <c r="AP128" s="90" t="s">
        <v>1564</v>
      </c>
      <c r="AQ128" s="90" t="s">
        <v>1564</v>
      </c>
      <c r="AR128" s="90" t="s">
        <v>1564</v>
      </c>
      <c r="AS128" s="90" t="s">
        <v>1564</v>
      </c>
      <c r="AT128" s="91" t="s">
        <v>1564</v>
      </c>
      <c r="AU128" s="91" t="s">
        <v>1564</v>
      </c>
      <c r="AV128" s="176" t="str">
        <f t="shared" si="3"/>
        <v>Resultado</v>
      </c>
      <c r="AW128" s="80"/>
      <c r="AX128" s="80"/>
      <c r="AY128" s="80"/>
      <c r="AZ128" s="80"/>
      <c r="BA128" s="80"/>
      <c r="BB128" s="80"/>
      <c r="BC128" s="80"/>
      <c r="BD128" s="80"/>
      <c r="BE128" s="80"/>
      <c r="BF128" s="80"/>
      <c r="BG128" s="80"/>
      <c r="BH128" s="80"/>
      <c r="BI128" s="80"/>
      <c r="BJ128" s="80"/>
      <c r="BK128" s="80"/>
    </row>
    <row r="129" spans="1:63" s="78" customFormat="1" ht="39.75" customHeight="1" x14ac:dyDescent="0.25">
      <c r="A129" s="86">
        <v>6</v>
      </c>
      <c r="B129" s="86" t="s">
        <v>1592</v>
      </c>
      <c r="C129" s="75"/>
      <c r="D129" s="86" t="s">
        <v>257</v>
      </c>
      <c r="E129" s="86" t="s">
        <v>258</v>
      </c>
      <c r="F129" s="86" t="s">
        <v>1602</v>
      </c>
      <c r="G129" s="86" t="s">
        <v>1550</v>
      </c>
      <c r="H129" s="75"/>
      <c r="I129" s="86" t="s">
        <v>1716</v>
      </c>
      <c r="J129" s="86" t="s">
        <v>1592</v>
      </c>
      <c r="K129" s="75"/>
      <c r="L129" s="86" t="s">
        <v>512</v>
      </c>
      <c r="M129" s="86" t="s">
        <v>512</v>
      </c>
      <c r="N129" s="86" t="s">
        <v>512</v>
      </c>
      <c r="O129" s="86" t="s">
        <v>512</v>
      </c>
      <c r="P129" s="176" t="s">
        <v>284</v>
      </c>
      <c r="Q129" s="86" t="s">
        <v>259</v>
      </c>
      <c r="R129" s="176" t="str">
        <f t="shared" si="7"/>
        <v>Director(a) Administrativa</v>
      </c>
      <c r="S129" s="87" t="s">
        <v>284</v>
      </c>
      <c r="T129" s="177" t="s">
        <v>1159</v>
      </c>
      <c r="U129" s="92">
        <v>0.98</v>
      </c>
      <c r="V129" s="136">
        <f>+VLOOKUP(AV129,Hoja1!$P$6:$R$26,3,FALSE)</f>
        <v>3.7499999999999999E-3</v>
      </c>
      <c r="W129" s="75"/>
      <c r="X129" s="89" t="s">
        <v>1564</v>
      </c>
      <c r="Y129" s="89" t="s">
        <v>1564</v>
      </c>
      <c r="Z129" s="89"/>
      <c r="AA129" s="89"/>
      <c r="AB129" s="89"/>
      <c r="AC129" s="89"/>
      <c r="AD129" s="89"/>
      <c r="AE129" s="75"/>
      <c r="AF129" s="89" t="s">
        <v>98</v>
      </c>
      <c r="AG129" s="89" t="s">
        <v>103</v>
      </c>
      <c r="AH129" s="89" t="s">
        <v>84</v>
      </c>
      <c r="AI129" s="89" t="s">
        <v>48</v>
      </c>
      <c r="AJ129" s="89"/>
      <c r="AK129" s="89"/>
      <c r="AL129" s="89"/>
      <c r="AM129" s="90" t="s">
        <v>1564</v>
      </c>
      <c r="AN129" s="90" t="s">
        <v>1564</v>
      </c>
      <c r="AO129" s="90" t="s">
        <v>1564</v>
      </c>
      <c r="AP129" s="90" t="s">
        <v>1564</v>
      </c>
      <c r="AQ129" s="90" t="s">
        <v>1564</v>
      </c>
      <c r="AR129" s="90" t="s">
        <v>1564</v>
      </c>
      <c r="AS129" s="90" t="s">
        <v>1564</v>
      </c>
      <c r="AT129" s="91" t="s">
        <v>1564</v>
      </c>
      <c r="AU129" s="91" t="s">
        <v>1564</v>
      </c>
      <c r="AV129" s="176" t="str">
        <f t="shared" si="3"/>
        <v>Resultado</v>
      </c>
      <c r="AW129" s="80"/>
      <c r="AX129" s="80"/>
      <c r="AY129" s="80"/>
      <c r="AZ129" s="80"/>
      <c r="BA129" s="80"/>
      <c r="BB129" s="80"/>
      <c r="BC129" s="80"/>
      <c r="BD129" s="80"/>
      <c r="BE129" s="80"/>
      <c r="BF129" s="80"/>
      <c r="BG129" s="80"/>
      <c r="BH129" s="80"/>
      <c r="BI129" s="80"/>
      <c r="BJ129" s="80"/>
      <c r="BK129" s="80"/>
    </row>
    <row r="130" spans="1:63" ht="39.75" customHeight="1" x14ac:dyDescent="0.25">
      <c r="A130" s="86">
        <v>6</v>
      </c>
      <c r="B130" s="86" t="s">
        <v>1592</v>
      </c>
      <c r="D130" s="86" t="s">
        <v>257</v>
      </c>
      <c r="E130" s="86" t="s">
        <v>258</v>
      </c>
      <c r="F130" s="86" t="s">
        <v>1602</v>
      </c>
      <c r="G130" s="86" t="s">
        <v>1550</v>
      </c>
      <c r="I130" s="86" t="s">
        <v>1716</v>
      </c>
      <c r="J130" s="86" t="s">
        <v>1592</v>
      </c>
      <c r="L130" s="86" t="s">
        <v>512</v>
      </c>
      <c r="M130" s="86" t="s">
        <v>512</v>
      </c>
      <c r="N130" s="86" t="s">
        <v>512</v>
      </c>
      <c r="O130" s="86" t="s">
        <v>512</v>
      </c>
      <c r="P130" s="176" t="s">
        <v>285</v>
      </c>
      <c r="Q130" s="86" t="s">
        <v>259</v>
      </c>
      <c r="R130" s="176" t="str">
        <f t="shared" si="7"/>
        <v>Director(a) Administrativa</v>
      </c>
      <c r="S130" s="87" t="s">
        <v>285</v>
      </c>
      <c r="T130" s="177" t="s">
        <v>286</v>
      </c>
      <c r="U130" s="92">
        <v>1</v>
      </c>
      <c r="V130" s="136">
        <f>+VLOOKUP(AV130,Hoja1!$P$6:$R$26,3,FALSE)</f>
        <v>1.276595744680851E-3</v>
      </c>
      <c r="X130" s="89" t="s">
        <v>1564</v>
      </c>
      <c r="Y130" s="89" t="s">
        <v>1564</v>
      </c>
      <c r="Z130" s="89"/>
      <c r="AA130" s="89"/>
      <c r="AB130" s="89"/>
      <c r="AC130" s="89"/>
      <c r="AD130" s="89"/>
      <c r="AF130" s="89" t="s">
        <v>98</v>
      </c>
      <c r="AG130" s="89" t="s">
        <v>533</v>
      </c>
      <c r="AH130" s="89" t="s">
        <v>71</v>
      </c>
      <c r="AI130" s="89" t="s">
        <v>47</v>
      </c>
      <c r="AJ130" s="89"/>
      <c r="AK130" s="89"/>
      <c r="AL130" s="90" t="s">
        <v>1564</v>
      </c>
      <c r="AM130" s="93"/>
      <c r="AN130" s="93"/>
      <c r="AO130" s="90" t="s">
        <v>1564</v>
      </c>
      <c r="AP130" s="93"/>
      <c r="AQ130" s="93"/>
      <c r="AR130" s="90" t="s">
        <v>1564</v>
      </c>
      <c r="AS130" s="93"/>
      <c r="AT130" s="94"/>
      <c r="AU130" s="91" t="s">
        <v>1564</v>
      </c>
      <c r="AV130" s="176" t="str">
        <f t="shared" si="3"/>
        <v>Gestión</v>
      </c>
    </row>
    <row r="131" spans="1:63" ht="39.75" customHeight="1" x14ac:dyDescent="0.25">
      <c r="A131" s="86">
        <v>6</v>
      </c>
      <c r="B131" s="86" t="s">
        <v>1592</v>
      </c>
      <c r="D131" s="86" t="s">
        <v>257</v>
      </c>
      <c r="E131" s="86" t="s">
        <v>258</v>
      </c>
      <c r="F131" s="86" t="s">
        <v>1602</v>
      </c>
      <c r="G131" s="86" t="s">
        <v>1550</v>
      </c>
      <c r="I131" s="86" t="s">
        <v>1718</v>
      </c>
      <c r="J131" s="86" t="s">
        <v>1595</v>
      </c>
      <c r="L131" s="86" t="s">
        <v>512</v>
      </c>
      <c r="M131" s="86" t="s">
        <v>512</v>
      </c>
      <c r="N131" s="86" t="s">
        <v>512</v>
      </c>
      <c r="O131" s="86" t="s">
        <v>512</v>
      </c>
      <c r="P131" s="176" t="s">
        <v>287</v>
      </c>
      <c r="Q131" s="86" t="s">
        <v>259</v>
      </c>
      <c r="R131" s="176" t="str">
        <f t="shared" si="7"/>
        <v>Director(a) Administrativa</v>
      </c>
      <c r="S131" s="87" t="s">
        <v>287</v>
      </c>
      <c r="T131" s="177" t="s">
        <v>288</v>
      </c>
      <c r="U131" s="92">
        <v>0.98</v>
      </c>
      <c r="V131" s="136">
        <f>+VLOOKUP(AV131,Hoja1!$P$6:$R$26,3,FALSE)</f>
        <v>3.7499999999999999E-3</v>
      </c>
      <c r="X131" s="89" t="s">
        <v>1564</v>
      </c>
      <c r="Y131" s="89" t="s">
        <v>1564</v>
      </c>
      <c r="Z131" s="89"/>
      <c r="AA131" s="89"/>
      <c r="AB131" s="89"/>
      <c r="AC131" s="89"/>
      <c r="AD131" s="89"/>
      <c r="AF131" s="89" t="s">
        <v>98</v>
      </c>
      <c r="AG131" s="89" t="s">
        <v>103</v>
      </c>
      <c r="AH131" s="89" t="s">
        <v>1069</v>
      </c>
      <c r="AI131" s="89" t="s">
        <v>48</v>
      </c>
      <c r="AJ131" s="89"/>
      <c r="AK131" s="89"/>
      <c r="AL131" s="89"/>
      <c r="AM131" s="90" t="s">
        <v>1564</v>
      </c>
      <c r="AN131" s="93"/>
      <c r="AO131" s="93"/>
      <c r="AP131" s="93"/>
      <c r="AQ131" s="90" t="s">
        <v>1564</v>
      </c>
      <c r="AR131" s="93"/>
      <c r="AS131" s="93"/>
      <c r="AT131" s="94"/>
      <c r="AU131" s="91" t="s">
        <v>1564</v>
      </c>
      <c r="AV131" s="176" t="str">
        <f t="shared" si="3"/>
        <v>Resultado</v>
      </c>
    </row>
    <row r="132" spans="1:63" ht="39.75" customHeight="1" x14ac:dyDescent="0.25">
      <c r="A132" s="86">
        <v>6</v>
      </c>
      <c r="B132" s="86" t="s">
        <v>1592</v>
      </c>
      <c r="D132" s="86" t="s">
        <v>257</v>
      </c>
      <c r="E132" s="86" t="s">
        <v>258</v>
      </c>
      <c r="F132" s="86" t="s">
        <v>1602</v>
      </c>
      <c r="G132" s="86" t="s">
        <v>1550</v>
      </c>
      <c r="I132" s="86" t="s">
        <v>1718</v>
      </c>
      <c r="J132" s="86" t="s">
        <v>1595</v>
      </c>
      <c r="L132" s="86" t="s">
        <v>512</v>
      </c>
      <c r="M132" s="86" t="s">
        <v>512</v>
      </c>
      <c r="N132" s="86" t="s">
        <v>512</v>
      </c>
      <c r="O132" s="86" t="s">
        <v>512</v>
      </c>
      <c r="P132" s="176" t="s">
        <v>289</v>
      </c>
      <c r="Q132" s="86" t="s">
        <v>259</v>
      </c>
      <c r="R132" s="176" t="str">
        <f t="shared" si="7"/>
        <v>Director(a) Administrativa</v>
      </c>
      <c r="S132" s="87" t="s">
        <v>289</v>
      </c>
      <c r="T132" s="177" t="s">
        <v>290</v>
      </c>
      <c r="U132" s="92">
        <v>0.97</v>
      </c>
      <c r="V132" s="136">
        <f>+VLOOKUP(AV132,Hoja1!$P$6:$R$26,3,FALSE)</f>
        <v>3.7499999999999999E-3</v>
      </c>
      <c r="X132" s="89" t="s">
        <v>1564</v>
      </c>
      <c r="Y132" s="89" t="s">
        <v>1564</v>
      </c>
      <c r="Z132" s="89"/>
      <c r="AA132" s="89"/>
      <c r="AB132" s="89"/>
      <c r="AC132" s="89"/>
      <c r="AD132" s="89"/>
      <c r="AF132" s="89" t="s">
        <v>98</v>
      </c>
      <c r="AG132" s="89" t="s">
        <v>103</v>
      </c>
      <c r="AH132" s="89" t="s">
        <v>1069</v>
      </c>
      <c r="AI132" s="89" t="s">
        <v>48</v>
      </c>
      <c r="AJ132" s="89"/>
      <c r="AK132" s="89"/>
      <c r="AL132" s="89"/>
      <c r="AM132" s="90" t="s">
        <v>1564</v>
      </c>
      <c r="AN132" s="93"/>
      <c r="AO132" s="93"/>
      <c r="AP132" s="93"/>
      <c r="AQ132" s="90" t="s">
        <v>1564</v>
      </c>
      <c r="AR132" s="93"/>
      <c r="AS132" s="93"/>
      <c r="AT132" s="94"/>
      <c r="AU132" s="91" t="s">
        <v>1564</v>
      </c>
      <c r="AV132" s="176" t="str">
        <f t="shared" si="3"/>
        <v>Resultado</v>
      </c>
    </row>
    <row r="133" spans="1:63" ht="39.75" customHeight="1" x14ac:dyDescent="0.25">
      <c r="A133" s="86">
        <v>6</v>
      </c>
      <c r="B133" s="86" t="s">
        <v>1592</v>
      </c>
      <c r="D133" s="86" t="s">
        <v>257</v>
      </c>
      <c r="E133" s="86" t="s">
        <v>258</v>
      </c>
      <c r="F133" s="86" t="s">
        <v>1602</v>
      </c>
      <c r="G133" s="86" t="s">
        <v>1550</v>
      </c>
      <c r="I133" s="86" t="s">
        <v>1716</v>
      </c>
      <c r="J133" s="86" t="s">
        <v>1592</v>
      </c>
      <c r="L133" s="86" t="s">
        <v>512</v>
      </c>
      <c r="M133" s="86" t="s">
        <v>512</v>
      </c>
      <c r="N133" s="86" t="s">
        <v>512</v>
      </c>
      <c r="O133" s="86" t="s">
        <v>512</v>
      </c>
      <c r="P133" s="176" t="s">
        <v>1361</v>
      </c>
      <c r="Q133" s="86" t="s">
        <v>259</v>
      </c>
      <c r="R133" s="176" t="str">
        <f t="shared" si="7"/>
        <v>Director(a) Administrativa</v>
      </c>
      <c r="S133" s="87" t="s">
        <v>1361</v>
      </c>
      <c r="T133" s="177" t="s">
        <v>1355</v>
      </c>
      <c r="U133" s="92">
        <v>1</v>
      </c>
      <c r="V133" s="136">
        <f>+VLOOKUP(AV133,Hoja1!$P$6:$R$26,3,FALSE)</f>
        <v>1.276595744680851E-3</v>
      </c>
      <c r="X133" s="89" t="s">
        <v>1564</v>
      </c>
      <c r="Y133" s="89"/>
      <c r="Z133" s="89"/>
      <c r="AA133" s="89"/>
      <c r="AB133" s="89"/>
      <c r="AC133" s="89"/>
      <c r="AD133" s="89"/>
      <c r="AF133" s="89" t="s">
        <v>683</v>
      </c>
      <c r="AG133" s="89" t="s">
        <v>533</v>
      </c>
      <c r="AH133" s="89" t="s">
        <v>84</v>
      </c>
      <c r="AI133" s="89" t="s">
        <v>47</v>
      </c>
      <c r="AJ133" s="89"/>
      <c r="AK133" s="89"/>
      <c r="AL133" s="90" t="s">
        <v>1564</v>
      </c>
      <c r="AM133" s="90" t="s">
        <v>1564</v>
      </c>
      <c r="AN133" s="90" t="s">
        <v>1564</v>
      </c>
      <c r="AO133" s="90" t="s">
        <v>1564</v>
      </c>
      <c r="AP133" s="90" t="s">
        <v>1564</v>
      </c>
      <c r="AQ133" s="90" t="s">
        <v>1564</v>
      </c>
      <c r="AR133" s="90" t="s">
        <v>1564</v>
      </c>
      <c r="AS133" s="90" t="s">
        <v>1564</v>
      </c>
      <c r="AT133" s="91" t="s">
        <v>1564</v>
      </c>
      <c r="AU133" s="91" t="s">
        <v>1564</v>
      </c>
      <c r="AV133" s="176" t="str">
        <f t="shared" si="3"/>
        <v>Gestión</v>
      </c>
    </row>
    <row r="134" spans="1:63" ht="39.75" customHeight="1" x14ac:dyDescent="0.25">
      <c r="A134" s="86">
        <v>6</v>
      </c>
      <c r="B134" s="86" t="s">
        <v>1592</v>
      </c>
      <c r="D134" s="86" t="s">
        <v>257</v>
      </c>
      <c r="E134" s="86" t="s">
        <v>258</v>
      </c>
      <c r="F134" s="86" t="s">
        <v>1165</v>
      </c>
      <c r="G134" s="86" t="s">
        <v>1160</v>
      </c>
      <c r="I134" s="86" t="s">
        <v>1716</v>
      </c>
      <c r="J134" s="86" t="s">
        <v>1592</v>
      </c>
      <c r="L134" s="86" t="s">
        <v>501</v>
      </c>
      <c r="M134" s="86" t="s">
        <v>515</v>
      </c>
      <c r="N134" s="86" t="s">
        <v>503</v>
      </c>
      <c r="O134" s="86" t="s">
        <v>504</v>
      </c>
      <c r="P134" s="176" t="s">
        <v>304</v>
      </c>
      <c r="Q134" s="86" t="s">
        <v>303</v>
      </c>
      <c r="R134" s="176" t="str">
        <f t="shared" si="6"/>
        <v>Director(a) Contratación</v>
      </c>
      <c r="S134" s="87" t="s">
        <v>304</v>
      </c>
      <c r="T134" s="177" t="s">
        <v>305</v>
      </c>
      <c r="U134" s="92">
        <v>1</v>
      </c>
      <c r="V134" s="136">
        <f>+VLOOKUP(AV134,Hoja1!$P$6:$R$26,3,FALSE)</f>
        <v>9.3023255813953487E-3</v>
      </c>
      <c r="X134" s="89" t="s">
        <v>1564</v>
      </c>
      <c r="Y134" s="89"/>
      <c r="Z134" s="89"/>
      <c r="AA134" s="89" t="s">
        <v>1564</v>
      </c>
      <c r="AB134" s="89" t="s">
        <v>1564</v>
      </c>
      <c r="AC134" s="89"/>
      <c r="AD134" s="89"/>
      <c r="AF134" s="89" t="s">
        <v>98</v>
      </c>
      <c r="AG134" s="89" t="s">
        <v>103</v>
      </c>
      <c r="AH134" s="89" t="s">
        <v>71</v>
      </c>
      <c r="AI134" s="89" t="s">
        <v>47</v>
      </c>
      <c r="AJ134" s="89"/>
      <c r="AK134" s="89"/>
      <c r="AL134" s="90" t="s">
        <v>1564</v>
      </c>
      <c r="AM134" s="93"/>
      <c r="AN134" s="93"/>
      <c r="AO134" s="90" t="s">
        <v>1564</v>
      </c>
      <c r="AP134" s="93"/>
      <c r="AQ134" s="93"/>
      <c r="AR134" s="90" t="s">
        <v>1564</v>
      </c>
      <c r="AS134" s="93"/>
      <c r="AT134" s="94"/>
      <c r="AU134" s="91" t="s">
        <v>1564</v>
      </c>
      <c r="AV134" s="176" t="str">
        <f t="shared" si="3"/>
        <v>Resultadox</v>
      </c>
    </row>
    <row r="135" spans="1:63" ht="39.75" customHeight="1" x14ac:dyDescent="0.25">
      <c r="A135" s="86">
        <v>6</v>
      </c>
      <c r="B135" s="86" t="s">
        <v>1592</v>
      </c>
      <c r="D135" s="86" t="s">
        <v>257</v>
      </c>
      <c r="E135" s="86" t="s">
        <v>258</v>
      </c>
      <c r="F135" s="86" t="s">
        <v>1165</v>
      </c>
      <c r="G135" s="86" t="s">
        <v>1160</v>
      </c>
      <c r="I135" s="86" t="s">
        <v>1716</v>
      </c>
      <c r="J135" s="86" t="s">
        <v>1592</v>
      </c>
      <c r="L135" s="86" t="s">
        <v>501</v>
      </c>
      <c r="M135" s="86" t="s">
        <v>515</v>
      </c>
      <c r="N135" s="86" t="s">
        <v>503</v>
      </c>
      <c r="O135" s="86" t="s">
        <v>504</v>
      </c>
      <c r="P135" s="176" t="s">
        <v>306</v>
      </c>
      <c r="Q135" s="86" t="s">
        <v>303</v>
      </c>
      <c r="R135" s="176" t="str">
        <f t="shared" si="6"/>
        <v>Director(a) Contratación</v>
      </c>
      <c r="S135" s="87" t="s">
        <v>306</v>
      </c>
      <c r="T135" s="177" t="s">
        <v>307</v>
      </c>
      <c r="U135" s="92">
        <v>1</v>
      </c>
      <c r="V135" s="136">
        <f>+VLOOKUP(AV135,Hoja1!$P$6:$R$26,3,FALSE)</f>
        <v>9.3023255813953487E-3</v>
      </c>
      <c r="X135" s="89" t="s">
        <v>1564</v>
      </c>
      <c r="Y135" s="89" t="s">
        <v>1564</v>
      </c>
      <c r="Z135" s="89"/>
      <c r="AA135" s="89" t="s">
        <v>1564</v>
      </c>
      <c r="AB135" s="89"/>
      <c r="AC135" s="89"/>
      <c r="AD135" s="89"/>
      <c r="AF135" s="89" t="s">
        <v>98</v>
      </c>
      <c r="AG135" s="89" t="s">
        <v>103</v>
      </c>
      <c r="AH135" s="89" t="s">
        <v>513</v>
      </c>
      <c r="AI135" s="89" t="s">
        <v>40</v>
      </c>
      <c r="AJ135" s="89"/>
      <c r="AK135" s="90" t="s">
        <v>1564</v>
      </c>
      <c r="AL135" s="93"/>
      <c r="AM135" s="90" t="s">
        <v>1564</v>
      </c>
      <c r="AN135" s="93"/>
      <c r="AO135" s="90" t="s">
        <v>1564</v>
      </c>
      <c r="AP135" s="93"/>
      <c r="AQ135" s="90" t="s">
        <v>1564</v>
      </c>
      <c r="AR135" s="93"/>
      <c r="AS135" s="90" t="s">
        <v>1564</v>
      </c>
      <c r="AT135" s="94"/>
      <c r="AU135" s="91" t="s">
        <v>1564</v>
      </c>
      <c r="AV135" s="176" t="str">
        <f t="shared" ref="AV135:AV197" si="8">+AG135&amp;AA135</f>
        <v>Resultadox</v>
      </c>
    </row>
    <row r="136" spans="1:63" ht="39.75" customHeight="1" x14ac:dyDescent="0.25">
      <c r="A136" s="86">
        <v>6</v>
      </c>
      <c r="B136" s="86" t="s">
        <v>1592</v>
      </c>
      <c r="D136" s="86" t="s">
        <v>354</v>
      </c>
      <c r="E136" s="86" t="s">
        <v>355</v>
      </c>
      <c r="F136" s="86" t="s">
        <v>512</v>
      </c>
      <c r="G136" s="86" t="s">
        <v>512</v>
      </c>
      <c r="I136" s="86" t="s">
        <v>1716</v>
      </c>
      <c r="J136" s="86" t="s">
        <v>1592</v>
      </c>
      <c r="L136" s="86" t="s">
        <v>501</v>
      </c>
      <c r="M136" s="86" t="s">
        <v>515</v>
      </c>
      <c r="N136" s="86" t="s">
        <v>503</v>
      </c>
      <c r="O136" s="86" t="s">
        <v>504</v>
      </c>
      <c r="P136" s="176" t="s">
        <v>357</v>
      </c>
      <c r="Q136" s="86" t="s">
        <v>356</v>
      </c>
      <c r="R136" s="176" t="str">
        <f t="shared" ref="R136:R146" si="9">+"Jefe "&amp;Q136</f>
        <v>Jefe Oficina Asesora Jurídica</v>
      </c>
      <c r="S136" s="87" t="s">
        <v>357</v>
      </c>
      <c r="T136" s="177" t="s">
        <v>1185</v>
      </c>
      <c r="U136" s="92">
        <v>0.5</v>
      </c>
      <c r="V136" s="136">
        <f>+VLOOKUP(AV136,Hoja1!$P$6:$R$26,3,FALSE)</f>
        <v>5.5813953488372094E-3</v>
      </c>
      <c r="X136" s="89" t="s">
        <v>1564</v>
      </c>
      <c r="Y136" s="89"/>
      <c r="Z136" s="89"/>
      <c r="AA136" s="89" t="s">
        <v>1564</v>
      </c>
      <c r="AB136" s="89" t="s">
        <v>1564</v>
      </c>
      <c r="AC136" s="89"/>
      <c r="AD136" s="89"/>
      <c r="AF136" s="89" t="s">
        <v>98</v>
      </c>
      <c r="AG136" s="89" t="s">
        <v>533</v>
      </c>
      <c r="AH136" s="89" t="s">
        <v>1069</v>
      </c>
      <c r="AI136" s="89" t="s">
        <v>48</v>
      </c>
      <c r="AJ136" s="89"/>
      <c r="AK136" s="89"/>
      <c r="AL136" s="89"/>
      <c r="AM136" s="90" t="s">
        <v>1564</v>
      </c>
      <c r="AN136" s="93"/>
      <c r="AO136" s="93"/>
      <c r="AP136" s="93"/>
      <c r="AQ136" s="90" t="s">
        <v>1564</v>
      </c>
      <c r="AR136" s="93"/>
      <c r="AS136" s="93"/>
      <c r="AT136" s="94"/>
      <c r="AU136" s="91" t="s">
        <v>1564</v>
      </c>
      <c r="AV136" s="176" t="str">
        <f t="shared" si="8"/>
        <v>Gestiónx</v>
      </c>
    </row>
    <row r="137" spans="1:63" ht="39.75" customHeight="1" x14ac:dyDescent="0.25">
      <c r="A137" s="86">
        <v>6</v>
      </c>
      <c r="B137" s="86" t="s">
        <v>1592</v>
      </c>
      <c r="D137" s="86" t="s">
        <v>354</v>
      </c>
      <c r="E137" s="86" t="s">
        <v>355</v>
      </c>
      <c r="F137" s="86" t="s">
        <v>512</v>
      </c>
      <c r="G137" s="86" t="s">
        <v>512</v>
      </c>
      <c r="I137" s="86" t="s">
        <v>1716</v>
      </c>
      <c r="J137" s="86" t="s">
        <v>1592</v>
      </c>
      <c r="L137" s="86" t="s">
        <v>512</v>
      </c>
      <c r="M137" s="86" t="s">
        <v>512</v>
      </c>
      <c r="N137" s="86" t="s">
        <v>512</v>
      </c>
      <c r="O137" s="86" t="s">
        <v>512</v>
      </c>
      <c r="P137" s="176" t="s">
        <v>358</v>
      </c>
      <c r="Q137" s="86" t="s">
        <v>356</v>
      </c>
      <c r="R137" s="176" t="str">
        <f t="shared" si="9"/>
        <v>Jefe Oficina Asesora Jurídica</v>
      </c>
      <c r="S137" s="87" t="s">
        <v>358</v>
      </c>
      <c r="T137" s="177" t="s">
        <v>359</v>
      </c>
      <c r="U137" s="92">
        <v>1</v>
      </c>
      <c r="V137" s="136">
        <f>+VLOOKUP(AV137,Hoja1!$P$6:$R$26,3,FALSE)</f>
        <v>1.276595744680851E-3</v>
      </c>
      <c r="X137" s="89" t="s">
        <v>1564</v>
      </c>
      <c r="Y137" s="89" t="s">
        <v>1564</v>
      </c>
      <c r="Z137" s="89"/>
      <c r="AA137" s="89"/>
      <c r="AB137" s="89"/>
      <c r="AC137" s="89"/>
      <c r="AD137" s="89"/>
      <c r="AF137" s="89" t="s">
        <v>98</v>
      </c>
      <c r="AG137" s="89" t="s">
        <v>533</v>
      </c>
      <c r="AH137" s="89" t="s">
        <v>71</v>
      </c>
      <c r="AI137" s="89" t="s">
        <v>50</v>
      </c>
      <c r="AJ137" s="89"/>
      <c r="AK137" s="89"/>
      <c r="AL137" s="89"/>
      <c r="AM137" s="89"/>
      <c r="AN137" s="89"/>
      <c r="AO137" s="90" t="s">
        <v>1564</v>
      </c>
      <c r="AP137" s="93"/>
      <c r="AQ137" s="93"/>
      <c r="AR137" s="90" t="s">
        <v>1564</v>
      </c>
      <c r="AS137" s="93"/>
      <c r="AT137" s="94"/>
      <c r="AU137" s="91" t="s">
        <v>1564</v>
      </c>
      <c r="AV137" s="176" t="str">
        <f t="shared" si="8"/>
        <v>Gestión</v>
      </c>
    </row>
    <row r="138" spans="1:63" ht="39.75" customHeight="1" x14ac:dyDescent="0.25">
      <c r="A138" s="86">
        <v>6</v>
      </c>
      <c r="B138" s="86" t="s">
        <v>1592</v>
      </c>
      <c r="D138" s="86" t="s">
        <v>354</v>
      </c>
      <c r="E138" s="86" t="s">
        <v>355</v>
      </c>
      <c r="F138" s="86" t="s">
        <v>512</v>
      </c>
      <c r="G138" s="86" t="s">
        <v>512</v>
      </c>
      <c r="I138" s="86" t="s">
        <v>1716</v>
      </c>
      <c r="J138" s="86" t="s">
        <v>1592</v>
      </c>
      <c r="L138" s="86" t="s">
        <v>512</v>
      </c>
      <c r="M138" s="86" t="s">
        <v>512</v>
      </c>
      <c r="N138" s="86" t="s">
        <v>512</v>
      </c>
      <c r="O138" s="86" t="s">
        <v>512</v>
      </c>
      <c r="P138" s="176" t="s">
        <v>360</v>
      </c>
      <c r="Q138" s="86" t="s">
        <v>356</v>
      </c>
      <c r="R138" s="176" t="str">
        <f t="shared" si="9"/>
        <v>Jefe Oficina Asesora Jurídica</v>
      </c>
      <c r="S138" s="87" t="s">
        <v>360</v>
      </c>
      <c r="T138" s="177" t="s">
        <v>1197</v>
      </c>
      <c r="U138" s="92">
        <v>1</v>
      </c>
      <c r="V138" s="136">
        <f>+VLOOKUP(AV138,Hoja1!$P$6:$R$26,3,FALSE)</f>
        <v>1.276595744680851E-3</v>
      </c>
      <c r="X138" s="89" t="s">
        <v>1564</v>
      </c>
      <c r="Y138" s="89"/>
      <c r="Z138" s="89"/>
      <c r="AA138" s="89"/>
      <c r="AB138" s="89"/>
      <c r="AC138" s="89"/>
      <c r="AD138" s="89"/>
      <c r="AF138" s="89" t="s">
        <v>98</v>
      </c>
      <c r="AG138" s="89" t="s">
        <v>533</v>
      </c>
      <c r="AH138" s="89" t="s">
        <v>71</v>
      </c>
      <c r="AI138" s="89" t="s">
        <v>47</v>
      </c>
      <c r="AJ138" s="89"/>
      <c r="AK138" s="89"/>
      <c r="AL138" s="90" t="s">
        <v>1564</v>
      </c>
      <c r="AM138" s="93"/>
      <c r="AN138" s="93"/>
      <c r="AO138" s="90" t="s">
        <v>1564</v>
      </c>
      <c r="AP138" s="93"/>
      <c r="AQ138" s="93"/>
      <c r="AR138" s="90" t="s">
        <v>1564</v>
      </c>
      <c r="AS138" s="93"/>
      <c r="AT138" s="94"/>
      <c r="AU138" s="91" t="s">
        <v>1564</v>
      </c>
      <c r="AV138" s="176" t="str">
        <f t="shared" si="8"/>
        <v>Gestión</v>
      </c>
    </row>
    <row r="139" spans="1:63" ht="39.75" customHeight="1" x14ac:dyDescent="0.25">
      <c r="A139" s="86">
        <v>6</v>
      </c>
      <c r="B139" s="86" t="s">
        <v>1592</v>
      </c>
      <c r="D139" s="86" t="s">
        <v>354</v>
      </c>
      <c r="E139" s="86" t="s">
        <v>355</v>
      </c>
      <c r="F139" s="86" t="s">
        <v>512</v>
      </c>
      <c r="G139" s="86" t="s">
        <v>512</v>
      </c>
      <c r="I139" s="86" t="s">
        <v>1716</v>
      </c>
      <c r="J139" s="86" t="s">
        <v>1592</v>
      </c>
      <c r="L139" s="86" t="s">
        <v>512</v>
      </c>
      <c r="M139" s="86" t="s">
        <v>512</v>
      </c>
      <c r="N139" s="86" t="s">
        <v>512</v>
      </c>
      <c r="O139" s="86" t="s">
        <v>512</v>
      </c>
      <c r="P139" s="176" t="s">
        <v>361</v>
      </c>
      <c r="Q139" s="86" t="s">
        <v>356</v>
      </c>
      <c r="R139" s="176" t="str">
        <f t="shared" si="9"/>
        <v>Jefe Oficina Asesora Jurídica</v>
      </c>
      <c r="S139" s="87" t="s">
        <v>361</v>
      </c>
      <c r="T139" s="177" t="s">
        <v>362</v>
      </c>
      <c r="U139" s="92">
        <v>1</v>
      </c>
      <c r="V139" s="136">
        <f>+VLOOKUP(AV139,Hoja1!$P$6:$R$26,3,FALSE)</f>
        <v>1.276595744680851E-3</v>
      </c>
      <c r="X139" s="89" t="s">
        <v>1564</v>
      </c>
      <c r="Y139" s="89"/>
      <c r="Z139" s="89"/>
      <c r="AA139" s="89"/>
      <c r="AB139" s="89"/>
      <c r="AC139" s="89"/>
      <c r="AD139" s="89"/>
      <c r="AF139" s="89" t="s">
        <v>98</v>
      </c>
      <c r="AG139" s="89" t="s">
        <v>533</v>
      </c>
      <c r="AH139" s="89" t="s">
        <v>71</v>
      </c>
      <c r="AI139" s="89" t="s">
        <v>47</v>
      </c>
      <c r="AJ139" s="89"/>
      <c r="AK139" s="89"/>
      <c r="AL139" s="90" t="s">
        <v>1564</v>
      </c>
      <c r="AM139" s="93"/>
      <c r="AN139" s="93"/>
      <c r="AO139" s="90" t="s">
        <v>1564</v>
      </c>
      <c r="AP139" s="93"/>
      <c r="AQ139" s="93"/>
      <c r="AR139" s="90" t="s">
        <v>1564</v>
      </c>
      <c r="AS139" s="93"/>
      <c r="AT139" s="94"/>
      <c r="AU139" s="91" t="s">
        <v>1564</v>
      </c>
      <c r="AV139" s="176" t="str">
        <f t="shared" si="8"/>
        <v>Gestión</v>
      </c>
    </row>
    <row r="140" spans="1:63" ht="39.75" customHeight="1" x14ac:dyDescent="0.25">
      <c r="A140" s="86">
        <v>6</v>
      </c>
      <c r="B140" s="86" t="s">
        <v>1592</v>
      </c>
      <c r="D140" s="86" t="s">
        <v>363</v>
      </c>
      <c r="E140" s="86" t="s">
        <v>364</v>
      </c>
      <c r="F140" s="86" t="s">
        <v>512</v>
      </c>
      <c r="G140" s="86" t="s">
        <v>512</v>
      </c>
      <c r="I140" s="86" t="s">
        <v>1716</v>
      </c>
      <c r="J140" s="86" t="s">
        <v>1592</v>
      </c>
      <c r="L140" s="86" t="s">
        <v>501</v>
      </c>
      <c r="M140" s="86" t="s">
        <v>515</v>
      </c>
      <c r="N140" s="86" t="s">
        <v>503</v>
      </c>
      <c r="O140" s="86" t="s">
        <v>504</v>
      </c>
      <c r="P140" s="176" t="s">
        <v>366</v>
      </c>
      <c r="Q140" s="86" t="s">
        <v>365</v>
      </c>
      <c r="R140" s="176" t="str">
        <f t="shared" si="9"/>
        <v>Jefe Oficina de Gestión Regional</v>
      </c>
      <c r="S140" s="87" t="s">
        <v>366</v>
      </c>
      <c r="T140" s="177" t="s">
        <v>367</v>
      </c>
      <c r="U140" s="92">
        <v>0.25</v>
      </c>
      <c r="V140" s="136">
        <f>+VLOOKUP(AV140,Hoja1!$P$6:$R$26,3,FALSE)</f>
        <v>9.3023255813953487E-3</v>
      </c>
      <c r="X140" s="89" t="s">
        <v>1564</v>
      </c>
      <c r="Y140" s="89"/>
      <c r="Z140" s="89"/>
      <c r="AA140" s="89" t="s">
        <v>1564</v>
      </c>
      <c r="AB140" s="89" t="s">
        <v>1564</v>
      </c>
      <c r="AC140" s="89"/>
      <c r="AD140" s="89"/>
      <c r="AF140" s="89" t="s">
        <v>98</v>
      </c>
      <c r="AG140" s="89" t="s">
        <v>103</v>
      </c>
      <c r="AH140" s="89" t="s">
        <v>104</v>
      </c>
      <c r="AI140" s="89" t="s">
        <v>50</v>
      </c>
      <c r="AJ140" s="89"/>
      <c r="AK140" s="89"/>
      <c r="AL140" s="89"/>
      <c r="AM140" s="89"/>
      <c r="AN140" s="89"/>
      <c r="AO140" s="90" t="s">
        <v>1564</v>
      </c>
      <c r="AP140" s="93"/>
      <c r="AQ140" s="93"/>
      <c r="AR140" s="93"/>
      <c r="AS140" s="93"/>
      <c r="AT140" s="94"/>
      <c r="AU140" s="91" t="s">
        <v>1564</v>
      </c>
      <c r="AV140" s="176" t="str">
        <f t="shared" si="8"/>
        <v>Resultadox</v>
      </c>
    </row>
    <row r="141" spans="1:63" ht="39.75" customHeight="1" x14ac:dyDescent="0.25">
      <c r="A141" s="86">
        <v>6</v>
      </c>
      <c r="B141" s="86" t="s">
        <v>1592</v>
      </c>
      <c r="D141" s="86" t="s">
        <v>363</v>
      </c>
      <c r="E141" s="86" t="s">
        <v>364</v>
      </c>
      <c r="F141" s="86" t="s">
        <v>512</v>
      </c>
      <c r="G141" s="86" t="s">
        <v>512</v>
      </c>
      <c r="I141" s="86" t="s">
        <v>1716</v>
      </c>
      <c r="J141" s="86" t="s">
        <v>1592</v>
      </c>
      <c r="L141" s="86" t="s">
        <v>501</v>
      </c>
      <c r="M141" s="86" t="s">
        <v>515</v>
      </c>
      <c r="N141" s="86" t="s">
        <v>503</v>
      </c>
      <c r="O141" s="86" t="s">
        <v>504</v>
      </c>
      <c r="P141" s="176" t="s">
        <v>368</v>
      </c>
      <c r="Q141" s="86" t="s">
        <v>365</v>
      </c>
      <c r="R141" s="176" t="str">
        <f t="shared" si="9"/>
        <v>Jefe Oficina de Gestión Regional</v>
      </c>
      <c r="S141" s="87" t="s">
        <v>368</v>
      </c>
      <c r="T141" s="177" t="s">
        <v>369</v>
      </c>
      <c r="U141" s="92">
        <v>1</v>
      </c>
      <c r="V141" s="136">
        <f>+VLOOKUP(AV141,Hoja1!$P$6:$R$26,3,FALSE)</f>
        <v>9.3023255813953487E-3</v>
      </c>
      <c r="X141" s="89" t="s">
        <v>1564</v>
      </c>
      <c r="Y141" s="89"/>
      <c r="Z141" s="89"/>
      <c r="AA141" s="89" t="s">
        <v>1564</v>
      </c>
      <c r="AB141" s="89"/>
      <c r="AC141" s="89"/>
      <c r="AD141" s="89"/>
      <c r="AF141" s="89" t="s">
        <v>98</v>
      </c>
      <c r="AG141" s="89" t="s">
        <v>103</v>
      </c>
      <c r="AH141" s="89" t="s">
        <v>84</v>
      </c>
      <c r="AI141" s="89" t="s">
        <v>49</v>
      </c>
      <c r="AJ141" s="89"/>
      <c r="AK141" s="89"/>
      <c r="AL141" s="89"/>
      <c r="AM141" s="89"/>
      <c r="AN141" s="90" t="s">
        <v>1564</v>
      </c>
      <c r="AO141" s="90" t="s">
        <v>1564</v>
      </c>
      <c r="AP141" s="90" t="s">
        <v>1564</v>
      </c>
      <c r="AQ141" s="90" t="s">
        <v>1564</v>
      </c>
      <c r="AR141" s="90" t="s">
        <v>1564</v>
      </c>
      <c r="AS141" s="90" t="s">
        <v>1564</v>
      </c>
      <c r="AT141" s="91" t="s">
        <v>1564</v>
      </c>
      <c r="AU141" s="91" t="s">
        <v>1564</v>
      </c>
      <c r="AV141" s="176" t="str">
        <f t="shared" si="8"/>
        <v>Resultadox</v>
      </c>
    </row>
    <row r="142" spans="1:63" ht="39.75" customHeight="1" x14ac:dyDescent="0.25">
      <c r="A142" s="86">
        <v>6</v>
      </c>
      <c r="B142" s="86" t="s">
        <v>1592</v>
      </c>
      <c r="D142" s="86" t="s">
        <v>370</v>
      </c>
      <c r="E142" s="86" t="s">
        <v>371</v>
      </c>
      <c r="F142" s="86" t="s">
        <v>512</v>
      </c>
      <c r="G142" s="86" t="s">
        <v>512</v>
      </c>
      <c r="I142" s="86" t="s">
        <v>1716</v>
      </c>
      <c r="J142" s="86" t="s">
        <v>1592</v>
      </c>
      <c r="L142" s="86" t="s">
        <v>501</v>
      </c>
      <c r="M142" s="86" t="s">
        <v>515</v>
      </c>
      <c r="N142" s="86" t="s">
        <v>503</v>
      </c>
      <c r="O142" s="86" t="s">
        <v>504</v>
      </c>
      <c r="P142" s="176" t="s">
        <v>373</v>
      </c>
      <c r="Q142" s="86" t="s">
        <v>372</v>
      </c>
      <c r="R142" s="176" t="str">
        <f t="shared" si="9"/>
        <v xml:space="preserve">Jefe Oficina de Cooperación y Convenios </v>
      </c>
      <c r="S142" s="87" t="s">
        <v>373</v>
      </c>
      <c r="T142" s="177" t="s">
        <v>1576</v>
      </c>
      <c r="U142" s="88">
        <v>10</v>
      </c>
      <c r="V142" s="136">
        <f>+VLOOKUP(AV142,Hoja1!$P$6:$R$26,3,FALSE)</f>
        <v>5.5813953488372094E-3</v>
      </c>
      <c r="X142" s="89" t="s">
        <v>1564</v>
      </c>
      <c r="Y142" s="89"/>
      <c r="Z142" s="89"/>
      <c r="AA142" s="89" t="s">
        <v>1564</v>
      </c>
      <c r="AB142" s="89" t="s">
        <v>1564</v>
      </c>
      <c r="AC142" s="89"/>
      <c r="AD142" s="89"/>
      <c r="AF142" s="89" t="s">
        <v>98</v>
      </c>
      <c r="AG142" s="89" t="s">
        <v>533</v>
      </c>
      <c r="AH142" s="89" t="s">
        <v>71</v>
      </c>
      <c r="AI142" s="89" t="s">
        <v>50</v>
      </c>
      <c r="AJ142" s="89"/>
      <c r="AK142" s="89"/>
      <c r="AL142" s="89"/>
      <c r="AM142" s="89"/>
      <c r="AN142" s="89"/>
      <c r="AO142" s="90" t="s">
        <v>1564</v>
      </c>
      <c r="AP142" s="93"/>
      <c r="AQ142" s="93"/>
      <c r="AR142" s="90" t="s">
        <v>1564</v>
      </c>
      <c r="AS142" s="93"/>
      <c r="AT142" s="94"/>
      <c r="AU142" s="91" t="s">
        <v>1564</v>
      </c>
      <c r="AV142" s="176" t="str">
        <f t="shared" si="8"/>
        <v>Gestiónx</v>
      </c>
    </row>
    <row r="143" spans="1:63" ht="39.75" customHeight="1" x14ac:dyDescent="0.25">
      <c r="A143" s="86">
        <v>6</v>
      </c>
      <c r="B143" s="86" t="s">
        <v>1592</v>
      </c>
      <c r="D143" s="86" t="s">
        <v>370</v>
      </c>
      <c r="E143" s="86" t="s">
        <v>371</v>
      </c>
      <c r="F143" s="86" t="s">
        <v>512</v>
      </c>
      <c r="G143" s="86" t="s">
        <v>512</v>
      </c>
      <c r="I143" s="86" t="s">
        <v>1716</v>
      </c>
      <c r="J143" s="86" t="s">
        <v>1592</v>
      </c>
      <c r="L143" s="86" t="s">
        <v>501</v>
      </c>
      <c r="M143" s="86" t="s">
        <v>515</v>
      </c>
      <c r="N143" s="86" t="s">
        <v>503</v>
      </c>
      <c r="O143" s="86" t="s">
        <v>504</v>
      </c>
      <c r="P143" s="176" t="s">
        <v>374</v>
      </c>
      <c r="Q143" s="86" t="s">
        <v>372</v>
      </c>
      <c r="R143" s="176" t="str">
        <f t="shared" si="9"/>
        <v xml:space="preserve">Jefe Oficina de Cooperación y Convenios </v>
      </c>
      <c r="S143" s="87" t="s">
        <v>374</v>
      </c>
      <c r="T143" s="177" t="s">
        <v>1237</v>
      </c>
      <c r="U143" s="88">
        <v>50</v>
      </c>
      <c r="V143" s="136">
        <f>+VLOOKUP(AV143,Hoja1!$P$6:$R$26,3,FALSE)</f>
        <v>5.5813953488372094E-3</v>
      </c>
      <c r="X143" s="89" t="s">
        <v>1564</v>
      </c>
      <c r="Y143" s="89"/>
      <c r="Z143" s="89"/>
      <c r="AA143" s="89" t="s">
        <v>1564</v>
      </c>
      <c r="AB143" s="89" t="s">
        <v>1564</v>
      </c>
      <c r="AC143" s="89"/>
      <c r="AD143" s="89"/>
      <c r="AF143" s="89" t="s">
        <v>98</v>
      </c>
      <c r="AG143" s="89" t="s">
        <v>533</v>
      </c>
      <c r="AH143" s="89" t="s">
        <v>71</v>
      </c>
      <c r="AI143" s="89" t="s">
        <v>47</v>
      </c>
      <c r="AJ143" s="89"/>
      <c r="AK143" s="89"/>
      <c r="AL143" s="90" t="s">
        <v>1564</v>
      </c>
      <c r="AM143" s="93"/>
      <c r="AN143" s="93"/>
      <c r="AO143" s="90" t="s">
        <v>1564</v>
      </c>
      <c r="AP143" s="93"/>
      <c r="AQ143" s="93"/>
      <c r="AR143" s="90" t="s">
        <v>1564</v>
      </c>
      <c r="AS143" s="93"/>
      <c r="AT143" s="94"/>
      <c r="AU143" s="91" t="s">
        <v>1564</v>
      </c>
      <c r="AV143" s="176" t="str">
        <f t="shared" si="8"/>
        <v>Gestiónx</v>
      </c>
    </row>
    <row r="144" spans="1:63" ht="39.75" customHeight="1" x14ac:dyDescent="0.25">
      <c r="A144" s="86">
        <v>6</v>
      </c>
      <c r="B144" s="86" t="s">
        <v>1592</v>
      </c>
      <c r="D144" s="86" t="s">
        <v>370</v>
      </c>
      <c r="E144" s="86" t="s">
        <v>371</v>
      </c>
      <c r="F144" s="86" t="s">
        <v>512</v>
      </c>
      <c r="G144" s="86" t="s">
        <v>512</v>
      </c>
      <c r="I144" s="86" t="s">
        <v>1716</v>
      </c>
      <c r="J144" s="86" t="s">
        <v>1592</v>
      </c>
      <c r="L144" s="86" t="s">
        <v>501</v>
      </c>
      <c r="M144" s="86" t="s">
        <v>515</v>
      </c>
      <c r="N144" s="86" t="s">
        <v>503</v>
      </c>
      <c r="O144" s="86" t="s">
        <v>504</v>
      </c>
      <c r="P144" s="176" t="s">
        <v>375</v>
      </c>
      <c r="Q144" s="86" t="s">
        <v>372</v>
      </c>
      <c r="R144" s="176" t="str">
        <f t="shared" si="9"/>
        <v xml:space="preserve">Jefe Oficina de Cooperación y Convenios </v>
      </c>
      <c r="S144" s="87" t="s">
        <v>375</v>
      </c>
      <c r="T144" s="177" t="s">
        <v>1242</v>
      </c>
      <c r="U144" s="88">
        <v>100000</v>
      </c>
      <c r="V144" s="136">
        <f>+VLOOKUP(AV144,Hoja1!$P$6:$R$26,3,FALSE)</f>
        <v>8.4210526315789489E-3</v>
      </c>
      <c r="X144" s="89" t="s">
        <v>1564</v>
      </c>
      <c r="Y144" s="89"/>
      <c r="Z144" s="89"/>
      <c r="AA144" s="89" t="s">
        <v>1564</v>
      </c>
      <c r="AB144" s="89" t="s">
        <v>1564</v>
      </c>
      <c r="AC144" s="89"/>
      <c r="AD144" s="89"/>
      <c r="AF144" s="89" t="s">
        <v>98</v>
      </c>
      <c r="AG144" s="89" t="s">
        <v>519</v>
      </c>
      <c r="AH144" s="89" t="s">
        <v>71</v>
      </c>
      <c r="AI144" s="89" t="s">
        <v>47</v>
      </c>
      <c r="AJ144" s="89"/>
      <c r="AK144" s="89"/>
      <c r="AL144" s="90" t="s">
        <v>1564</v>
      </c>
      <c r="AM144" s="93"/>
      <c r="AN144" s="93"/>
      <c r="AO144" s="90" t="s">
        <v>1564</v>
      </c>
      <c r="AP144" s="93"/>
      <c r="AQ144" s="93"/>
      <c r="AR144" s="90" t="s">
        <v>1564</v>
      </c>
      <c r="AS144" s="93"/>
      <c r="AT144" s="94"/>
      <c r="AU144" s="91" t="s">
        <v>1564</v>
      </c>
      <c r="AV144" s="176" t="str">
        <f t="shared" si="8"/>
        <v>Productox</v>
      </c>
    </row>
    <row r="145" spans="1:63" ht="39.75" customHeight="1" x14ac:dyDescent="0.25">
      <c r="A145" s="86">
        <v>6</v>
      </c>
      <c r="B145" s="86" t="s">
        <v>1592</v>
      </c>
      <c r="D145" s="86" t="s">
        <v>370</v>
      </c>
      <c r="E145" s="86" t="s">
        <v>371</v>
      </c>
      <c r="F145" s="86" t="s">
        <v>512</v>
      </c>
      <c r="G145" s="86" t="s">
        <v>512</v>
      </c>
      <c r="I145" s="86" t="s">
        <v>1716</v>
      </c>
      <c r="J145" s="86" t="s">
        <v>1592</v>
      </c>
      <c r="L145" s="86" t="s">
        <v>501</v>
      </c>
      <c r="M145" s="86" t="s">
        <v>515</v>
      </c>
      <c r="N145" s="86" t="s">
        <v>503</v>
      </c>
      <c r="O145" s="86" t="s">
        <v>504</v>
      </c>
      <c r="P145" s="176" t="s">
        <v>377</v>
      </c>
      <c r="Q145" s="86" t="s">
        <v>372</v>
      </c>
      <c r="R145" s="176" t="str">
        <f t="shared" si="9"/>
        <v xml:space="preserve">Jefe Oficina de Cooperación y Convenios </v>
      </c>
      <c r="S145" s="87" t="s">
        <v>377</v>
      </c>
      <c r="T145" s="177" t="s">
        <v>378</v>
      </c>
      <c r="U145" s="88">
        <v>40000</v>
      </c>
      <c r="V145" s="136">
        <f>+VLOOKUP(AV145,Hoja1!$P$6:$R$26,3,FALSE)</f>
        <v>5.5813953488372094E-3</v>
      </c>
      <c r="X145" s="89" t="s">
        <v>1564</v>
      </c>
      <c r="Y145" s="89"/>
      <c r="Z145" s="89"/>
      <c r="AA145" s="89" t="s">
        <v>1564</v>
      </c>
      <c r="AB145" s="89" t="s">
        <v>1564</v>
      </c>
      <c r="AC145" s="89"/>
      <c r="AD145" s="89"/>
      <c r="AF145" s="89" t="s">
        <v>683</v>
      </c>
      <c r="AG145" s="89" t="s">
        <v>533</v>
      </c>
      <c r="AH145" s="89" t="s">
        <v>84</v>
      </c>
      <c r="AI145" s="89" t="s">
        <v>46</v>
      </c>
      <c r="AJ145" s="90" t="s">
        <v>1564</v>
      </c>
      <c r="AK145" s="90" t="s">
        <v>1564</v>
      </c>
      <c r="AL145" s="90" t="s">
        <v>1564</v>
      </c>
      <c r="AM145" s="90" t="s">
        <v>1564</v>
      </c>
      <c r="AN145" s="90" t="s">
        <v>1564</v>
      </c>
      <c r="AO145" s="90" t="s">
        <v>1564</v>
      </c>
      <c r="AP145" s="90" t="s">
        <v>1564</v>
      </c>
      <c r="AQ145" s="90" t="s">
        <v>1564</v>
      </c>
      <c r="AR145" s="90" t="s">
        <v>1564</v>
      </c>
      <c r="AS145" s="90" t="s">
        <v>1564</v>
      </c>
      <c r="AT145" s="91" t="s">
        <v>1564</v>
      </c>
      <c r="AU145" s="91" t="s">
        <v>1564</v>
      </c>
      <c r="AV145" s="176" t="str">
        <f t="shared" si="8"/>
        <v>Gestiónx</v>
      </c>
    </row>
    <row r="146" spans="1:63" ht="39.75" customHeight="1" x14ac:dyDescent="0.25">
      <c r="A146" s="86">
        <v>6</v>
      </c>
      <c r="B146" s="86" t="s">
        <v>1592</v>
      </c>
      <c r="D146" s="86" t="s">
        <v>370</v>
      </c>
      <c r="E146" s="86" t="s">
        <v>371</v>
      </c>
      <c r="F146" s="86" t="s">
        <v>512</v>
      </c>
      <c r="G146" s="86" t="s">
        <v>512</v>
      </c>
      <c r="I146" s="86" t="s">
        <v>1716</v>
      </c>
      <c r="J146" s="86" t="s">
        <v>1592</v>
      </c>
      <c r="L146" s="86" t="s">
        <v>512</v>
      </c>
      <c r="M146" s="86" t="s">
        <v>512</v>
      </c>
      <c r="N146" s="86" t="s">
        <v>512</v>
      </c>
      <c r="O146" s="86" t="s">
        <v>512</v>
      </c>
      <c r="P146" s="176" t="s">
        <v>1362</v>
      </c>
      <c r="Q146" s="86" t="s">
        <v>372</v>
      </c>
      <c r="R146" s="176" t="str">
        <f t="shared" si="9"/>
        <v xml:space="preserve">Jefe Oficina de Cooperación y Convenios </v>
      </c>
      <c r="S146" s="87" t="s">
        <v>1362</v>
      </c>
      <c r="T146" s="177" t="s">
        <v>1355</v>
      </c>
      <c r="U146" s="92">
        <v>1</v>
      </c>
      <c r="V146" s="136">
        <f>+VLOOKUP(AV146,Hoja1!$P$6:$R$26,3,FALSE)</f>
        <v>1.276595744680851E-3</v>
      </c>
      <c r="X146" s="89" t="s">
        <v>1564</v>
      </c>
      <c r="Y146" s="89"/>
      <c r="Z146" s="89"/>
      <c r="AA146" s="89"/>
      <c r="AB146" s="89"/>
      <c r="AC146" s="89"/>
      <c r="AD146" s="89"/>
      <c r="AF146" s="89" t="s">
        <v>683</v>
      </c>
      <c r="AG146" s="89" t="s">
        <v>533</v>
      </c>
      <c r="AH146" s="89" t="s">
        <v>84</v>
      </c>
      <c r="AI146" s="89" t="s">
        <v>47</v>
      </c>
      <c r="AJ146" s="89"/>
      <c r="AK146" s="89"/>
      <c r="AL146" s="90" t="s">
        <v>1564</v>
      </c>
      <c r="AM146" s="90" t="s">
        <v>1564</v>
      </c>
      <c r="AN146" s="90" t="s">
        <v>1564</v>
      </c>
      <c r="AO146" s="90" t="s">
        <v>1564</v>
      </c>
      <c r="AP146" s="90" t="s">
        <v>1564</v>
      </c>
      <c r="AQ146" s="90" t="s">
        <v>1564</v>
      </c>
      <c r="AR146" s="90" t="s">
        <v>1564</v>
      </c>
      <c r="AS146" s="90" t="s">
        <v>1564</v>
      </c>
      <c r="AT146" s="91" t="s">
        <v>1564</v>
      </c>
      <c r="AU146" s="91" t="s">
        <v>1564</v>
      </c>
      <c r="AV146" s="176" t="str">
        <f t="shared" si="8"/>
        <v>Gestión</v>
      </c>
    </row>
    <row r="147" spans="1:63" ht="39.75" customHeight="1" x14ac:dyDescent="0.25">
      <c r="A147" s="86">
        <v>6</v>
      </c>
      <c r="B147" s="86" t="s">
        <v>1592</v>
      </c>
      <c r="D147" s="86" t="s">
        <v>379</v>
      </c>
      <c r="E147" s="86" t="s">
        <v>380</v>
      </c>
      <c r="F147" s="86" t="s">
        <v>1606</v>
      </c>
      <c r="G147" s="86" t="s">
        <v>1607</v>
      </c>
      <c r="I147" s="86" t="s">
        <v>1719</v>
      </c>
      <c r="J147" s="86" t="s">
        <v>1596</v>
      </c>
      <c r="L147" s="86" t="s">
        <v>1250</v>
      </c>
      <c r="M147" s="86" t="s">
        <v>1251</v>
      </c>
      <c r="N147" s="86" t="s">
        <v>1626</v>
      </c>
      <c r="O147" s="86" t="s">
        <v>1608</v>
      </c>
      <c r="P147" s="176" t="s">
        <v>382</v>
      </c>
      <c r="Q147" s="86" t="s">
        <v>381</v>
      </c>
      <c r="R147" s="176" t="str">
        <f t="shared" ref="R147:R159" si="10">+"Director(a) "&amp;MID(Q147,14,100)</f>
        <v>Director(a) Servicio y Atención</v>
      </c>
      <c r="S147" s="87" t="s">
        <v>382</v>
      </c>
      <c r="T147" s="177" t="s">
        <v>1270</v>
      </c>
      <c r="U147" s="92">
        <v>0.9</v>
      </c>
      <c r="V147" s="136">
        <f>+VLOOKUP(AV147,Hoja1!$P$6:$R$26,3,FALSE)</f>
        <v>9.3023255813953487E-3</v>
      </c>
      <c r="X147" s="89" t="s">
        <v>1564</v>
      </c>
      <c r="Y147" s="89"/>
      <c r="Z147" s="89"/>
      <c r="AA147" s="89" t="s">
        <v>1564</v>
      </c>
      <c r="AB147" s="89"/>
      <c r="AC147" s="89"/>
      <c r="AD147" s="89"/>
      <c r="AF147" s="89" t="s">
        <v>98</v>
      </c>
      <c r="AG147" s="89" t="s">
        <v>103</v>
      </c>
      <c r="AH147" s="89" t="s">
        <v>1249</v>
      </c>
      <c r="AI147" s="89" t="s">
        <v>58</v>
      </c>
      <c r="AJ147" s="89"/>
      <c r="AK147" s="89"/>
      <c r="AL147" s="89"/>
      <c r="AM147" s="89"/>
      <c r="AN147" s="89"/>
      <c r="AO147" s="89"/>
      <c r="AP147" s="89"/>
      <c r="AQ147" s="89"/>
      <c r="AR147" s="89"/>
      <c r="AS147" s="89"/>
      <c r="AT147" s="95"/>
      <c r="AU147" s="91" t="s">
        <v>1564</v>
      </c>
      <c r="AV147" s="176" t="str">
        <f t="shared" si="8"/>
        <v>Resultadox</v>
      </c>
    </row>
    <row r="148" spans="1:63" ht="39.75" customHeight="1" x14ac:dyDescent="0.25">
      <c r="A148" s="86">
        <v>6</v>
      </c>
      <c r="B148" s="86" t="s">
        <v>1592</v>
      </c>
      <c r="D148" s="86" t="s">
        <v>379</v>
      </c>
      <c r="E148" s="86" t="s">
        <v>380</v>
      </c>
      <c r="F148" s="86" t="s">
        <v>1606</v>
      </c>
      <c r="G148" s="86" t="s">
        <v>1607</v>
      </c>
      <c r="I148" s="86" t="s">
        <v>1716</v>
      </c>
      <c r="J148" s="86" t="s">
        <v>1592</v>
      </c>
      <c r="L148" s="86" t="s">
        <v>1250</v>
      </c>
      <c r="M148" s="86" t="s">
        <v>1251</v>
      </c>
      <c r="N148" s="86" t="s">
        <v>1626</v>
      </c>
      <c r="O148" s="86" t="s">
        <v>1608</v>
      </c>
      <c r="P148" s="176" t="s">
        <v>383</v>
      </c>
      <c r="Q148" s="86" t="s">
        <v>381</v>
      </c>
      <c r="R148" s="176" t="str">
        <f t="shared" si="10"/>
        <v>Director(a) Servicio y Atención</v>
      </c>
      <c r="S148" s="87" t="s">
        <v>383</v>
      </c>
      <c r="T148" s="177" t="s">
        <v>384</v>
      </c>
      <c r="U148" s="92">
        <v>0.3</v>
      </c>
      <c r="V148" s="136">
        <f>+VLOOKUP(AV148,Hoja1!$P$6:$R$26,3,FALSE)</f>
        <v>5.5813953488372094E-3</v>
      </c>
      <c r="X148" s="89" t="s">
        <v>1564</v>
      </c>
      <c r="Y148" s="89"/>
      <c r="Z148" s="89"/>
      <c r="AA148" s="89" t="s">
        <v>1564</v>
      </c>
      <c r="AB148" s="89" t="s">
        <v>1564</v>
      </c>
      <c r="AC148" s="89"/>
      <c r="AD148" s="89"/>
      <c r="AF148" s="89" t="s">
        <v>98</v>
      </c>
      <c r="AG148" s="89" t="s">
        <v>533</v>
      </c>
      <c r="AH148" s="89" t="s">
        <v>71</v>
      </c>
      <c r="AI148" s="89" t="s">
        <v>50</v>
      </c>
      <c r="AJ148" s="89"/>
      <c r="AK148" s="89"/>
      <c r="AL148" s="89"/>
      <c r="AM148" s="89"/>
      <c r="AN148" s="89"/>
      <c r="AO148" s="90" t="s">
        <v>1564</v>
      </c>
      <c r="AP148" s="93"/>
      <c r="AQ148" s="93"/>
      <c r="AR148" s="90" t="s">
        <v>1564</v>
      </c>
      <c r="AS148" s="93"/>
      <c r="AT148" s="94"/>
      <c r="AU148" s="91" t="s">
        <v>1564</v>
      </c>
      <c r="AV148" s="176" t="str">
        <f t="shared" si="8"/>
        <v>Gestiónx</v>
      </c>
    </row>
    <row r="149" spans="1:63" ht="39.75" customHeight="1" x14ac:dyDescent="0.25">
      <c r="A149" s="86">
        <v>6</v>
      </c>
      <c r="B149" s="86" t="s">
        <v>1592</v>
      </c>
      <c r="D149" s="86" t="s">
        <v>379</v>
      </c>
      <c r="E149" s="86" t="s">
        <v>380</v>
      </c>
      <c r="F149" s="86" t="s">
        <v>1609</v>
      </c>
      <c r="G149" s="86" t="s">
        <v>1610</v>
      </c>
      <c r="I149" s="86" t="s">
        <v>1716</v>
      </c>
      <c r="J149" s="86" t="s">
        <v>1592</v>
      </c>
      <c r="L149" s="86" t="s">
        <v>1250</v>
      </c>
      <c r="M149" s="86" t="s">
        <v>1251</v>
      </c>
      <c r="N149" s="86" t="s">
        <v>1626</v>
      </c>
      <c r="O149" s="86" t="s">
        <v>1608</v>
      </c>
      <c r="P149" s="176" t="s">
        <v>385</v>
      </c>
      <c r="Q149" s="86" t="s">
        <v>381</v>
      </c>
      <c r="R149" s="176" t="str">
        <f t="shared" si="10"/>
        <v>Director(a) Servicio y Atención</v>
      </c>
      <c r="S149" s="87" t="s">
        <v>385</v>
      </c>
      <c r="T149" s="177" t="s">
        <v>386</v>
      </c>
      <c r="U149" s="92">
        <v>1</v>
      </c>
      <c r="V149" s="136">
        <f>+VLOOKUP(AV149,Hoja1!$P$6:$R$26,3,FALSE)</f>
        <v>9.3023255813953487E-3</v>
      </c>
      <c r="X149" s="89" t="s">
        <v>1564</v>
      </c>
      <c r="Y149" s="89" t="s">
        <v>1564</v>
      </c>
      <c r="Z149" s="89" t="s">
        <v>1564</v>
      </c>
      <c r="AA149" s="89" t="s">
        <v>1564</v>
      </c>
      <c r="AB149" s="89"/>
      <c r="AC149" s="89"/>
      <c r="AD149" s="89"/>
      <c r="AF149" s="89" t="s">
        <v>98</v>
      </c>
      <c r="AG149" s="89" t="s">
        <v>103</v>
      </c>
      <c r="AH149" s="89" t="s">
        <v>84</v>
      </c>
      <c r="AI149" s="89" t="s">
        <v>46</v>
      </c>
      <c r="AJ149" s="90" t="s">
        <v>1564</v>
      </c>
      <c r="AK149" s="90" t="s">
        <v>1564</v>
      </c>
      <c r="AL149" s="90" t="s">
        <v>1564</v>
      </c>
      <c r="AM149" s="90" t="s">
        <v>1564</v>
      </c>
      <c r="AN149" s="90" t="s">
        <v>1564</v>
      </c>
      <c r="AO149" s="90" t="s">
        <v>1564</v>
      </c>
      <c r="AP149" s="90" t="s">
        <v>1564</v>
      </c>
      <c r="AQ149" s="90" t="s">
        <v>1564</v>
      </c>
      <c r="AR149" s="90" t="s">
        <v>1564</v>
      </c>
      <c r="AS149" s="90" t="s">
        <v>1564</v>
      </c>
      <c r="AT149" s="91" t="s">
        <v>1564</v>
      </c>
      <c r="AU149" s="91" t="s">
        <v>1564</v>
      </c>
      <c r="AV149" s="176" t="str">
        <f t="shared" si="8"/>
        <v>Resultadox</v>
      </c>
    </row>
    <row r="150" spans="1:63" ht="39.75" customHeight="1" x14ac:dyDescent="0.25">
      <c r="A150" s="86">
        <v>6</v>
      </c>
      <c r="B150" s="86" t="s">
        <v>1592</v>
      </c>
      <c r="D150" s="86" t="s">
        <v>379</v>
      </c>
      <c r="E150" s="86" t="s">
        <v>380</v>
      </c>
      <c r="F150" s="86" t="s">
        <v>1609</v>
      </c>
      <c r="G150" s="86" t="s">
        <v>1610</v>
      </c>
      <c r="I150" s="86" t="s">
        <v>1716</v>
      </c>
      <c r="J150" s="86" t="s">
        <v>1592</v>
      </c>
      <c r="L150" s="86" t="s">
        <v>512</v>
      </c>
      <c r="M150" s="86" t="s">
        <v>512</v>
      </c>
      <c r="N150" s="86" t="s">
        <v>512</v>
      </c>
      <c r="O150" s="86" t="s">
        <v>512</v>
      </c>
      <c r="P150" s="176" t="s">
        <v>387</v>
      </c>
      <c r="Q150" s="86" t="s">
        <v>381</v>
      </c>
      <c r="R150" s="176" t="str">
        <f t="shared" si="10"/>
        <v>Director(a) Servicio y Atención</v>
      </c>
      <c r="S150" s="87" t="s">
        <v>387</v>
      </c>
      <c r="T150" s="177" t="s">
        <v>388</v>
      </c>
      <c r="U150" s="92">
        <v>1</v>
      </c>
      <c r="V150" s="136">
        <f>+VLOOKUP(AV150,Hoja1!$P$6:$R$26,3,FALSE)</f>
        <v>3.7499999999999999E-3</v>
      </c>
      <c r="X150" s="89" t="s">
        <v>1564</v>
      </c>
      <c r="Y150" s="89" t="s">
        <v>1564</v>
      </c>
      <c r="Z150" s="89" t="s">
        <v>1564</v>
      </c>
      <c r="AA150" s="89"/>
      <c r="AB150" s="89"/>
      <c r="AC150" s="89"/>
      <c r="AD150" s="89"/>
      <c r="AF150" s="89" t="s">
        <v>98</v>
      </c>
      <c r="AG150" s="89" t="s">
        <v>103</v>
      </c>
      <c r="AH150" s="89" t="s">
        <v>84</v>
      </c>
      <c r="AI150" s="89" t="s">
        <v>46</v>
      </c>
      <c r="AJ150" s="90" t="s">
        <v>1564</v>
      </c>
      <c r="AK150" s="90" t="s">
        <v>1564</v>
      </c>
      <c r="AL150" s="90" t="s">
        <v>1564</v>
      </c>
      <c r="AM150" s="90" t="s">
        <v>1564</v>
      </c>
      <c r="AN150" s="90" t="s">
        <v>1564</v>
      </c>
      <c r="AO150" s="90" t="s">
        <v>1564</v>
      </c>
      <c r="AP150" s="90" t="s">
        <v>1564</v>
      </c>
      <c r="AQ150" s="90" t="s">
        <v>1564</v>
      </c>
      <c r="AR150" s="90" t="s">
        <v>1564</v>
      </c>
      <c r="AS150" s="90" t="s">
        <v>1564</v>
      </c>
      <c r="AT150" s="91" t="s">
        <v>1564</v>
      </c>
      <c r="AU150" s="91" t="s">
        <v>1564</v>
      </c>
      <c r="AV150" s="176" t="str">
        <f t="shared" si="8"/>
        <v>Resultado</v>
      </c>
    </row>
    <row r="151" spans="1:63" s="489" customFormat="1" ht="39.75" customHeight="1" x14ac:dyDescent="0.25">
      <c r="A151" s="488">
        <v>6</v>
      </c>
      <c r="B151" s="488" t="s">
        <v>1592</v>
      </c>
      <c r="D151" s="488" t="s">
        <v>379</v>
      </c>
      <c r="E151" s="488" t="s">
        <v>380</v>
      </c>
      <c r="F151" s="488" t="s">
        <v>1609</v>
      </c>
      <c r="G151" s="488" t="s">
        <v>1610</v>
      </c>
      <c r="I151" s="488" t="s">
        <v>1716</v>
      </c>
      <c r="J151" s="488" t="s">
        <v>1592</v>
      </c>
      <c r="L151" s="488" t="s">
        <v>512</v>
      </c>
      <c r="M151" s="488" t="s">
        <v>512</v>
      </c>
      <c r="N151" s="488" t="s">
        <v>512</v>
      </c>
      <c r="O151" s="488" t="s">
        <v>512</v>
      </c>
      <c r="P151" s="490" t="s">
        <v>389</v>
      </c>
      <c r="Q151" s="488" t="s">
        <v>381</v>
      </c>
      <c r="R151" s="490" t="str">
        <f t="shared" si="10"/>
        <v>Director(a) Servicio y Atención</v>
      </c>
      <c r="S151" s="488" t="s">
        <v>389</v>
      </c>
      <c r="T151" s="491" t="s">
        <v>390</v>
      </c>
      <c r="U151" s="492">
        <v>1</v>
      </c>
      <c r="V151" s="487">
        <f>+VLOOKUP(AV151,Hoja1!$P$6:$R$26,3,FALSE)</f>
        <v>3.7499999999999999E-3</v>
      </c>
      <c r="X151" s="493" t="s">
        <v>1564</v>
      </c>
      <c r="Y151" s="493" t="s">
        <v>1564</v>
      </c>
      <c r="Z151" s="493" t="s">
        <v>1564</v>
      </c>
      <c r="AA151" s="493"/>
      <c r="AB151" s="493"/>
      <c r="AC151" s="493"/>
      <c r="AD151" s="493"/>
      <c r="AF151" s="493" t="s">
        <v>683</v>
      </c>
      <c r="AG151" s="493" t="s">
        <v>103</v>
      </c>
      <c r="AH151" s="493" t="s">
        <v>84</v>
      </c>
      <c r="AI151" s="493" t="s">
        <v>46</v>
      </c>
      <c r="AJ151" s="493" t="s">
        <v>1564</v>
      </c>
      <c r="AK151" s="493" t="s">
        <v>1564</v>
      </c>
      <c r="AL151" s="493" t="s">
        <v>1564</v>
      </c>
      <c r="AM151" s="493" t="s">
        <v>1564</v>
      </c>
      <c r="AN151" s="493" t="s">
        <v>1564</v>
      </c>
      <c r="AO151" s="493" t="s">
        <v>1564</v>
      </c>
      <c r="AP151" s="493" t="s">
        <v>1564</v>
      </c>
      <c r="AQ151" s="493" t="s">
        <v>1564</v>
      </c>
      <c r="AR151" s="493" t="s">
        <v>1564</v>
      </c>
      <c r="AS151" s="493" t="s">
        <v>1564</v>
      </c>
      <c r="AT151" s="494" t="s">
        <v>1564</v>
      </c>
      <c r="AU151" s="494" t="s">
        <v>1564</v>
      </c>
      <c r="AV151" s="490" t="str">
        <f t="shared" si="8"/>
        <v>Resultado</v>
      </c>
      <c r="AW151" s="495"/>
      <c r="AX151" s="495"/>
      <c r="AY151" s="495"/>
      <c r="AZ151" s="495"/>
      <c r="BA151" s="495"/>
      <c r="BB151" s="495"/>
      <c r="BC151" s="495"/>
      <c r="BD151" s="495"/>
      <c r="BE151" s="495"/>
      <c r="BF151" s="495"/>
      <c r="BG151" s="495"/>
      <c r="BH151" s="495"/>
      <c r="BI151" s="495"/>
      <c r="BJ151" s="495"/>
      <c r="BK151" s="495"/>
    </row>
    <row r="152" spans="1:63" ht="39.75" customHeight="1" x14ac:dyDescent="0.25">
      <c r="A152" s="86">
        <v>6</v>
      </c>
      <c r="B152" s="86" t="s">
        <v>1592</v>
      </c>
      <c r="D152" s="86" t="s">
        <v>379</v>
      </c>
      <c r="E152" s="86" t="s">
        <v>380</v>
      </c>
      <c r="F152" s="86" t="s">
        <v>1609</v>
      </c>
      <c r="G152" s="86" t="s">
        <v>1610</v>
      </c>
      <c r="I152" s="86" t="s">
        <v>1716</v>
      </c>
      <c r="J152" s="86" t="s">
        <v>1592</v>
      </c>
      <c r="L152" s="86" t="s">
        <v>512</v>
      </c>
      <c r="M152" s="86" t="s">
        <v>512</v>
      </c>
      <c r="N152" s="86" t="s">
        <v>512</v>
      </c>
      <c r="O152" s="86" t="s">
        <v>512</v>
      </c>
      <c r="P152" s="176" t="s">
        <v>1363</v>
      </c>
      <c r="Q152" s="86" t="s">
        <v>381</v>
      </c>
      <c r="R152" s="176" t="str">
        <f t="shared" si="10"/>
        <v>Director(a) Servicio y Atención</v>
      </c>
      <c r="S152" s="87" t="s">
        <v>1363</v>
      </c>
      <c r="T152" s="177" t="s">
        <v>1355</v>
      </c>
      <c r="U152" s="92">
        <v>1</v>
      </c>
      <c r="V152" s="136">
        <f>+VLOOKUP(AV152,Hoja1!$P$6:$R$26,3,FALSE)</f>
        <v>1.276595744680851E-3</v>
      </c>
      <c r="X152" s="89" t="s">
        <v>1564</v>
      </c>
      <c r="Y152" s="89"/>
      <c r="Z152" s="89"/>
      <c r="AA152" s="89"/>
      <c r="AB152" s="89"/>
      <c r="AC152" s="89"/>
      <c r="AD152" s="89"/>
      <c r="AF152" s="89" t="s">
        <v>683</v>
      </c>
      <c r="AG152" s="89" t="s">
        <v>533</v>
      </c>
      <c r="AH152" s="89" t="s">
        <v>84</v>
      </c>
      <c r="AI152" s="89" t="s">
        <v>47</v>
      </c>
      <c r="AJ152" s="89"/>
      <c r="AK152" s="89"/>
      <c r="AL152" s="90" t="s">
        <v>1564</v>
      </c>
      <c r="AM152" s="90" t="s">
        <v>1564</v>
      </c>
      <c r="AN152" s="90" t="s">
        <v>1564</v>
      </c>
      <c r="AO152" s="90" t="s">
        <v>1564</v>
      </c>
      <c r="AP152" s="90" t="s">
        <v>1564</v>
      </c>
      <c r="AQ152" s="90" t="s">
        <v>1564</v>
      </c>
      <c r="AR152" s="90" t="s">
        <v>1564</v>
      </c>
      <c r="AS152" s="90" t="s">
        <v>1564</v>
      </c>
      <c r="AT152" s="91" t="s">
        <v>1564</v>
      </c>
      <c r="AU152" s="91" t="s">
        <v>1564</v>
      </c>
      <c r="AV152" s="176" t="str">
        <f t="shared" si="8"/>
        <v>Gestión</v>
      </c>
    </row>
    <row r="153" spans="1:63" ht="39.75" customHeight="1" x14ac:dyDescent="0.25">
      <c r="A153" s="86">
        <v>6</v>
      </c>
      <c r="B153" s="86" t="s">
        <v>1592</v>
      </c>
      <c r="D153" s="86" t="s">
        <v>391</v>
      </c>
      <c r="E153" s="86" t="s">
        <v>392</v>
      </c>
      <c r="F153" s="86" t="s">
        <v>512</v>
      </c>
      <c r="G153" s="86" t="s">
        <v>512</v>
      </c>
      <c r="I153" s="86" t="s">
        <v>1716</v>
      </c>
      <c r="J153" s="86" t="s">
        <v>1592</v>
      </c>
      <c r="L153" s="86" t="s">
        <v>1126</v>
      </c>
      <c r="M153" s="86" t="s">
        <v>1127</v>
      </c>
      <c r="N153" s="86" t="s">
        <v>1288</v>
      </c>
      <c r="O153" s="86" t="s">
        <v>1273</v>
      </c>
      <c r="P153" s="176" t="s">
        <v>394</v>
      </c>
      <c r="Q153" s="86" t="s">
        <v>393</v>
      </c>
      <c r="R153" s="176" t="str">
        <f t="shared" si="10"/>
        <v xml:space="preserve">Director(a) Información y Tecnología </v>
      </c>
      <c r="S153" s="87" t="s">
        <v>394</v>
      </c>
      <c r="T153" s="177" t="s">
        <v>2078</v>
      </c>
      <c r="U153" s="92">
        <v>0.2</v>
      </c>
      <c r="V153" s="136">
        <f>+VLOOKUP(AV153,Hoja1!$P$6:$R$26,3,FALSE)</f>
        <v>9.3023255813953487E-3</v>
      </c>
      <c r="X153" s="89" t="s">
        <v>1564</v>
      </c>
      <c r="Y153" s="89"/>
      <c r="Z153" s="89"/>
      <c r="AA153" s="89" t="s">
        <v>1564</v>
      </c>
      <c r="AB153" s="89" t="s">
        <v>1564</v>
      </c>
      <c r="AC153" s="89"/>
      <c r="AD153" s="89"/>
      <c r="AF153" s="89" t="s">
        <v>98</v>
      </c>
      <c r="AG153" s="89" t="s">
        <v>103</v>
      </c>
      <c r="AH153" s="89" t="s">
        <v>1069</v>
      </c>
      <c r="AI153" s="89" t="s">
        <v>54</v>
      </c>
      <c r="AJ153" s="89"/>
      <c r="AK153" s="89"/>
      <c r="AL153" s="89"/>
      <c r="AM153" s="89"/>
      <c r="AN153" s="89"/>
      <c r="AO153" s="89"/>
      <c r="AP153" s="89"/>
      <c r="AQ153" s="90" t="s">
        <v>1564</v>
      </c>
      <c r="AR153" s="93"/>
      <c r="AS153" s="93"/>
      <c r="AT153" s="94"/>
      <c r="AU153" s="91" t="s">
        <v>1564</v>
      </c>
      <c r="AV153" s="176" t="str">
        <f t="shared" si="8"/>
        <v>Resultadox</v>
      </c>
    </row>
    <row r="154" spans="1:63" ht="39.75" customHeight="1" x14ac:dyDescent="0.25">
      <c r="A154" s="86">
        <v>6</v>
      </c>
      <c r="B154" s="86" t="s">
        <v>1592</v>
      </c>
      <c r="D154" s="86" t="s">
        <v>391</v>
      </c>
      <c r="E154" s="86" t="s">
        <v>392</v>
      </c>
      <c r="F154" s="86" t="s">
        <v>512</v>
      </c>
      <c r="G154" s="86" t="s">
        <v>512</v>
      </c>
      <c r="I154" s="86" t="s">
        <v>1716</v>
      </c>
      <c r="J154" s="86" t="s">
        <v>1592</v>
      </c>
      <c r="L154" s="86" t="s">
        <v>1126</v>
      </c>
      <c r="M154" s="86" t="s">
        <v>1127</v>
      </c>
      <c r="N154" s="86" t="s">
        <v>1288</v>
      </c>
      <c r="O154" s="86" t="s">
        <v>1273</v>
      </c>
      <c r="P154" s="176" t="s">
        <v>395</v>
      </c>
      <c r="Q154" s="86" t="s">
        <v>393</v>
      </c>
      <c r="R154" s="176" t="str">
        <f t="shared" si="10"/>
        <v xml:space="preserve">Director(a) Información y Tecnología </v>
      </c>
      <c r="S154" s="87" t="s">
        <v>395</v>
      </c>
      <c r="T154" s="177" t="s">
        <v>396</v>
      </c>
      <c r="U154" s="92">
        <v>1</v>
      </c>
      <c r="V154" s="136">
        <f>+VLOOKUP(AV154,Hoja1!$P$6:$R$26,3,FALSE)</f>
        <v>9.3023255813953487E-3</v>
      </c>
      <c r="X154" s="89" t="s">
        <v>1564</v>
      </c>
      <c r="Y154" s="89"/>
      <c r="Z154" s="89"/>
      <c r="AA154" s="89" t="s">
        <v>1564</v>
      </c>
      <c r="AB154" s="89"/>
      <c r="AC154" s="89"/>
      <c r="AD154" s="89"/>
      <c r="AF154" s="89" t="s">
        <v>98</v>
      </c>
      <c r="AG154" s="89" t="s">
        <v>103</v>
      </c>
      <c r="AH154" s="89" t="s">
        <v>1249</v>
      </c>
      <c r="AI154" s="89" t="s">
        <v>58</v>
      </c>
      <c r="AJ154" s="89"/>
      <c r="AK154" s="89"/>
      <c r="AL154" s="89"/>
      <c r="AM154" s="89"/>
      <c r="AN154" s="89"/>
      <c r="AO154" s="89"/>
      <c r="AP154" s="89"/>
      <c r="AQ154" s="89"/>
      <c r="AR154" s="89"/>
      <c r="AS154" s="89"/>
      <c r="AT154" s="95"/>
      <c r="AU154" s="91" t="s">
        <v>1564</v>
      </c>
      <c r="AV154" s="176" t="str">
        <f t="shared" si="8"/>
        <v>Resultadox</v>
      </c>
    </row>
    <row r="155" spans="1:63" ht="39.75" customHeight="1" x14ac:dyDescent="0.25">
      <c r="A155" s="86">
        <v>6</v>
      </c>
      <c r="B155" s="86" t="s">
        <v>1592</v>
      </c>
      <c r="D155" s="86" t="s">
        <v>391</v>
      </c>
      <c r="E155" s="86" t="s">
        <v>392</v>
      </c>
      <c r="F155" s="86" t="s">
        <v>512</v>
      </c>
      <c r="G155" s="86" t="s">
        <v>512</v>
      </c>
      <c r="I155" s="86" t="s">
        <v>1720</v>
      </c>
      <c r="J155" s="86" t="s">
        <v>1597</v>
      </c>
      <c r="L155" s="86" t="s">
        <v>512</v>
      </c>
      <c r="M155" s="86" t="s">
        <v>512</v>
      </c>
      <c r="N155" s="86" t="s">
        <v>512</v>
      </c>
      <c r="O155" s="86" t="s">
        <v>512</v>
      </c>
      <c r="P155" s="176" t="s">
        <v>397</v>
      </c>
      <c r="Q155" s="86" t="s">
        <v>393</v>
      </c>
      <c r="R155" s="176" t="str">
        <f t="shared" si="10"/>
        <v xml:space="preserve">Director(a) Información y Tecnología </v>
      </c>
      <c r="S155" s="87" t="s">
        <v>397</v>
      </c>
      <c r="T155" s="177" t="s">
        <v>398</v>
      </c>
      <c r="U155" s="92">
        <v>0.75</v>
      </c>
      <c r="V155" s="136">
        <f>+VLOOKUP(AV155,Hoja1!$P$6:$R$26,3,FALSE)</f>
        <v>3.7499999999999999E-3</v>
      </c>
      <c r="X155" s="89" t="s">
        <v>1564</v>
      </c>
      <c r="Y155" s="89" t="s">
        <v>1564</v>
      </c>
      <c r="Z155" s="89"/>
      <c r="AA155" s="89"/>
      <c r="AB155" s="89"/>
      <c r="AC155" s="89"/>
      <c r="AD155" s="89"/>
      <c r="AF155" s="89" t="s">
        <v>98</v>
      </c>
      <c r="AG155" s="89" t="s">
        <v>103</v>
      </c>
      <c r="AH155" s="89" t="s">
        <v>84</v>
      </c>
      <c r="AI155" s="89" t="s">
        <v>46</v>
      </c>
      <c r="AJ155" s="90" t="s">
        <v>1564</v>
      </c>
      <c r="AK155" s="90" t="s">
        <v>1564</v>
      </c>
      <c r="AL155" s="90" t="s">
        <v>1564</v>
      </c>
      <c r="AM155" s="90" t="s">
        <v>1564</v>
      </c>
      <c r="AN155" s="90" t="s">
        <v>1564</v>
      </c>
      <c r="AO155" s="90" t="s">
        <v>1564</v>
      </c>
      <c r="AP155" s="90" t="s">
        <v>1564</v>
      </c>
      <c r="AQ155" s="90" t="s">
        <v>1564</v>
      </c>
      <c r="AR155" s="90" t="s">
        <v>1564</v>
      </c>
      <c r="AS155" s="90" t="s">
        <v>1564</v>
      </c>
      <c r="AT155" s="91" t="s">
        <v>1564</v>
      </c>
      <c r="AU155" s="91" t="s">
        <v>1564</v>
      </c>
      <c r="AV155" s="176" t="str">
        <f t="shared" si="8"/>
        <v>Resultado</v>
      </c>
    </row>
    <row r="156" spans="1:63" ht="39.75" customHeight="1" x14ac:dyDescent="0.25">
      <c r="A156" s="86">
        <v>6</v>
      </c>
      <c r="B156" s="86" t="s">
        <v>1592</v>
      </c>
      <c r="D156" s="86" t="s">
        <v>391</v>
      </c>
      <c r="E156" s="86" t="s">
        <v>392</v>
      </c>
      <c r="F156" s="86" t="s">
        <v>512</v>
      </c>
      <c r="G156" s="86" t="s">
        <v>512</v>
      </c>
      <c r="I156" s="86" t="s">
        <v>1716</v>
      </c>
      <c r="J156" s="86" t="s">
        <v>1592</v>
      </c>
      <c r="L156" s="86" t="s">
        <v>512</v>
      </c>
      <c r="M156" s="86" t="s">
        <v>512</v>
      </c>
      <c r="N156" s="86" t="s">
        <v>512</v>
      </c>
      <c r="O156" s="86" t="s">
        <v>512</v>
      </c>
      <c r="P156" s="176" t="s">
        <v>399</v>
      </c>
      <c r="Q156" s="86" t="s">
        <v>393</v>
      </c>
      <c r="R156" s="176" t="str">
        <f t="shared" si="10"/>
        <v xml:space="preserve">Director(a) Información y Tecnología </v>
      </c>
      <c r="S156" s="87" t="s">
        <v>399</v>
      </c>
      <c r="T156" s="177" t="s">
        <v>400</v>
      </c>
      <c r="U156" s="92">
        <v>0.8</v>
      </c>
      <c r="V156" s="136">
        <f>+VLOOKUP(AV156,Hoja1!$P$6:$R$26,3,FALSE)</f>
        <v>3.7499999999999999E-3</v>
      </c>
      <c r="X156" s="89" t="s">
        <v>1564</v>
      </c>
      <c r="Y156" s="89"/>
      <c r="Z156" s="89"/>
      <c r="AA156" s="89"/>
      <c r="AB156" s="89"/>
      <c r="AC156" s="89"/>
      <c r="AD156" s="89"/>
      <c r="AF156" s="89" t="s">
        <v>98</v>
      </c>
      <c r="AG156" s="89" t="s">
        <v>103</v>
      </c>
      <c r="AH156" s="89" t="s">
        <v>71</v>
      </c>
      <c r="AI156" s="89" t="s">
        <v>47</v>
      </c>
      <c r="AJ156" s="89"/>
      <c r="AK156" s="89"/>
      <c r="AL156" s="90" t="s">
        <v>1564</v>
      </c>
      <c r="AM156" s="93"/>
      <c r="AN156" s="93"/>
      <c r="AO156" s="90" t="s">
        <v>1564</v>
      </c>
      <c r="AP156" s="93"/>
      <c r="AQ156" s="93"/>
      <c r="AR156" s="90" t="s">
        <v>1564</v>
      </c>
      <c r="AS156" s="93"/>
      <c r="AT156" s="94"/>
      <c r="AU156" s="91" t="s">
        <v>1564</v>
      </c>
      <c r="AV156" s="176" t="str">
        <f t="shared" si="8"/>
        <v>Resultado</v>
      </c>
    </row>
    <row r="157" spans="1:63" ht="39.75" customHeight="1" x14ac:dyDescent="0.25">
      <c r="A157" s="86">
        <v>6</v>
      </c>
      <c r="B157" s="86" t="s">
        <v>1592</v>
      </c>
      <c r="D157" s="86" t="s">
        <v>391</v>
      </c>
      <c r="E157" s="86" t="s">
        <v>392</v>
      </c>
      <c r="F157" s="86" t="s">
        <v>512</v>
      </c>
      <c r="G157" s="86" t="s">
        <v>512</v>
      </c>
      <c r="I157" s="86" t="s">
        <v>1716</v>
      </c>
      <c r="J157" s="86" t="s">
        <v>1592</v>
      </c>
      <c r="L157" s="86" t="s">
        <v>512</v>
      </c>
      <c r="M157" s="86" t="s">
        <v>512</v>
      </c>
      <c r="N157" s="86" t="s">
        <v>512</v>
      </c>
      <c r="O157" s="86" t="s">
        <v>512</v>
      </c>
      <c r="P157" s="176" t="s">
        <v>401</v>
      </c>
      <c r="Q157" s="86" t="s">
        <v>393</v>
      </c>
      <c r="R157" s="176" t="str">
        <f t="shared" si="10"/>
        <v xml:space="preserve">Director(a) Información y Tecnología </v>
      </c>
      <c r="S157" s="87" t="s">
        <v>401</v>
      </c>
      <c r="T157" s="177" t="s">
        <v>402</v>
      </c>
      <c r="U157" s="92">
        <v>0.8</v>
      </c>
      <c r="V157" s="136">
        <f>+VLOOKUP(AV157,Hoja1!$P$6:$R$26,3,FALSE)</f>
        <v>3.7499999999999999E-3</v>
      </c>
      <c r="X157" s="89" t="s">
        <v>1564</v>
      </c>
      <c r="Y157" s="89"/>
      <c r="Z157" s="89"/>
      <c r="AA157" s="89"/>
      <c r="AB157" s="89"/>
      <c r="AC157" s="89"/>
      <c r="AD157" s="89"/>
      <c r="AF157" s="89" t="s">
        <v>98</v>
      </c>
      <c r="AG157" s="89" t="s">
        <v>103</v>
      </c>
      <c r="AH157" s="89" t="s">
        <v>71</v>
      </c>
      <c r="AI157" s="89" t="s">
        <v>47</v>
      </c>
      <c r="AJ157" s="89"/>
      <c r="AK157" s="89"/>
      <c r="AL157" s="90" t="s">
        <v>1564</v>
      </c>
      <c r="AM157" s="93"/>
      <c r="AN157" s="93"/>
      <c r="AO157" s="90" t="s">
        <v>1564</v>
      </c>
      <c r="AP157" s="93"/>
      <c r="AQ157" s="93"/>
      <c r="AR157" s="90" t="s">
        <v>1564</v>
      </c>
      <c r="AS157" s="93"/>
      <c r="AT157" s="94"/>
      <c r="AU157" s="91" t="s">
        <v>1564</v>
      </c>
      <c r="AV157" s="176" t="str">
        <f t="shared" si="8"/>
        <v>Resultado</v>
      </c>
    </row>
    <row r="158" spans="1:63" ht="39.75" customHeight="1" x14ac:dyDescent="0.25">
      <c r="A158" s="86">
        <v>6</v>
      </c>
      <c r="B158" s="86" t="s">
        <v>1592</v>
      </c>
      <c r="D158" s="86" t="s">
        <v>391</v>
      </c>
      <c r="E158" s="86" t="s">
        <v>392</v>
      </c>
      <c r="F158" s="86" t="s">
        <v>512</v>
      </c>
      <c r="G158" s="86" t="s">
        <v>512</v>
      </c>
      <c r="I158" s="86" t="s">
        <v>1716</v>
      </c>
      <c r="J158" s="86" t="s">
        <v>1592</v>
      </c>
      <c r="L158" s="86" t="s">
        <v>512</v>
      </c>
      <c r="M158" s="86" t="s">
        <v>512</v>
      </c>
      <c r="N158" s="86" t="s">
        <v>512</v>
      </c>
      <c r="O158" s="86" t="s">
        <v>512</v>
      </c>
      <c r="P158" s="176" t="s">
        <v>403</v>
      </c>
      <c r="Q158" s="86" t="s">
        <v>393</v>
      </c>
      <c r="R158" s="176" t="str">
        <f t="shared" si="10"/>
        <v xml:space="preserve">Director(a) Información y Tecnología </v>
      </c>
      <c r="S158" s="87" t="s">
        <v>403</v>
      </c>
      <c r="T158" s="177" t="s">
        <v>404</v>
      </c>
      <c r="U158" s="92">
        <v>0.85</v>
      </c>
      <c r="V158" s="136">
        <f>+VLOOKUP(AV158,Hoja1!$P$6:$R$26,3,FALSE)</f>
        <v>3.7499999999999999E-3</v>
      </c>
      <c r="X158" s="89" t="s">
        <v>1564</v>
      </c>
      <c r="Y158" s="89" t="s">
        <v>1564</v>
      </c>
      <c r="Z158" s="89"/>
      <c r="AA158" s="89"/>
      <c r="AB158" s="89"/>
      <c r="AC158" s="89"/>
      <c r="AD158" s="89"/>
      <c r="AF158" s="89" t="s">
        <v>98</v>
      </c>
      <c r="AG158" s="89" t="s">
        <v>103</v>
      </c>
      <c r="AH158" s="89" t="s">
        <v>71</v>
      </c>
      <c r="AI158" s="89" t="s">
        <v>47</v>
      </c>
      <c r="AJ158" s="89"/>
      <c r="AK158" s="89"/>
      <c r="AL158" s="90" t="s">
        <v>1564</v>
      </c>
      <c r="AM158" s="93"/>
      <c r="AN158" s="93"/>
      <c r="AO158" s="90" t="s">
        <v>1564</v>
      </c>
      <c r="AP158" s="93"/>
      <c r="AQ158" s="93"/>
      <c r="AR158" s="90" t="s">
        <v>1564</v>
      </c>
      <c r="AS158" s="93"/>
      <c r="AT158" s="94"/>
      <c r="AU158" s="91" t="s">
        <v>1564</v>
      </c>
      <c r="AV158" s="176" t="str">
        <f t="shared" si="8"/>
        <v>Resultado</v>
      </c>
    </row>
    <row r="159" spans="1:63" ht="39.75" customHeight="1" x14ac:dyDescent="0.25">
      <c r="A159" s="86">
        <v>6</v>
      </c>
      <c r="B159" s="86" t="s">
        <v>1592</v>
      </c>
      <c r="D159" s="86" t="s">
        <v>391</v>
      </c>
      <c r="E159" s="86" t="s">
        <v>392</v>
      </c>
      <c r="F159" s="86" t="s">
        <v>512</v>
      </c>
      <c r="G159" s="86" t="s">
        <v>512</v>
      </c>
      <c r="I159" s="86" t="s">
        <v>1716</v>
      </c>
      <c r="J159" s="86" t="s">
        <v>1592</v>
      </c>
      <c r="L159" s="86" t="s">
        <v>512</v>
      </c>
      <c r="M159" s="86" t="s">
        <v>512</v>
      </c>
      <c r="N159" s="86" t="s">
        <v>512</v>
      </c>
      <c r="O159" s="86" t="s">
        <v>512</v>
      </c>
      <c r="P159" s="176" t="s">
        <v>1364</v>
      </c>
      <c r="Q159" s="86" t="s">
        <v>393</v>
      </c>
      <c r="R159" s="176" t="str">
        <f t="shared" si="10"/>
        <v xml:space="preserve">Director(a) Información y Tecnología </v>
      </c>
      <c r="S159" s="87" t="s">
        <v>1364</v>
      </c>
      <c r="T159" s="177" t="s">
        <v>1355</v>
      </c>
      <c r="U159" s="92">
        <v>1</v>
      </c>
      <c r="V159" s="136">
        <f>+VLOOKUP(AV159,Hoja1!$P$6:$R$26,3,FALSE)</f>
        <v>1.276595744680851E-3</v>
      </c>
      <c r="X159" s="89" t="s">
        <v>1564</v>
      </c>
      <c r="Y159" s="89"/>
      <c r="Z159" s="89"/>
      <c r="AA159" s="89"/>
      <c r="AB159" s="89"/>
      <c r="AC159" s="89"/>
      <c r="AD159" s="89"/>
      <c r="AF159" s="89" t="s">
        <v>683</v>
      </c>
      <c r="AG159" s="89" t="s">
        <v>533</v>
      </c>
      <c r="AH159" s="89" t="s">
        <v>84</v>
      </c>
      <c r="AI159" s="89" t="s">
        <v>47</v>
      </c>
      <c r="AJ159" s="89"/>
      <c r="AK159" s="89"/>
      <c r="AL159" s="90" t="s">
        <v>1564</v>
      </c>
      <c r="AM159" s="90" t="s">
        <v>1564</v>
      </c>
      <c r="AN159" s="90" t="s">
        <v>1564</v>
      </c>
      <c r="AO159" s="90" t="s">
        <v>1564</v>
      </c>
      <c r="AP159" s="90" t="s">
        <v>1564</v>
      </c>
      <c r="AQ159" s="90" t="s">
        <v>1564</v>
      </c>
      <c r="AR159" s="90" t="s">
        <v>1564</v>
      </c>
      <c r="AS159" s="90" t="s">
        <v>1564</v>
      </c>
      <c r="AT159" s="91" t="s">
        <v>1564</v>
      </c>
      <c r="AU159" s="91" t="s">
        <v>1564</v>
      </c>
      <c r="AV159" s="176" t="str">
        <f t="shared" si="8"/>
        <v>Gestión</v>
      </c>
    </row>
    <row r="160" spans="1:63" ht="39.75" customHeight="1" x14ac:dyDescent="0.25">
      <c r="A160" s="86">
        <v>6</v>
      </c>
      <c r="B160" s="86" t="s">
        <v>1592</v>
      </c>
      <c r="D160" s="86" t="s">
        <v>405</v>
      </c>
      <c r="E160" s="86" t="s">
        <v>406</v>
      </c>
      <c r="F160" s="86" t="s">
        <v>512</v>
      </c>
      <c r="G160" s="86" t="s">
        <v>512</v>
      </c>
      <c r="I160" s="86" t="s">
        <v>1716</v>
      </c>
      <c r="J160" s="86" t="s">
        <v>1592</v>
      </c>
      <c r="L160" s="86" t="s">
        <v>501</v>
      </c>
      <c r="M160" s="86" t="s">
        <v>515</v>
      </c>
      <c r="N160" s="86" t="s">
        <v>503</v>
      </c>
      <c r="O160" s="86" t="s">
        <v>504</v>
      </c>
      <c r="P160" s="176" t="s">
        <v>408</v>
      </c>
      <c r="Q160" s="86" t="s">
        <v>407</v>
      </c>
      <c r="R160" s="176" t="str">
        <f t="shared" ref="R160:R163" si="11">+"Jefe "&amp;Q160</f>
        <v>Jefe Oficina Asesora de Comunicaciones</v>
      </c>
      <c r="S160" s="87" t="s">
        <v>408</v>
      </c>
      <c r="T160" s="177" t="s">
        <v>1307</v>
      </c>
      <c r="U160" s="88">
        <v>4</v>
      </c>
      <c r="V160" s="136">
        <f>+VLOOKUP(AV160,Hoja1!$P$6:$R$26,3,FALSE)</f>
        <v>9.3023255813953487E-3</v>
      </c>
      <c r="X160" s="89" t="s">
        <v>1564</v>
      </c>
      <c r="Y160" s="89"/>
      <c r="Z160" s="89"/>
      <c r="AA160" s="89" t="s">
        <v>1564</v>
      </c>
      <c r="AB160" s="89" t="s">
        <v>1564</v>
      </c>
      <c r="AC160" s="89"/>
      <c r="AD160" s="89"/>
      <c r="AF160" s="89" t="s">
        <v>98</v>
      </c>
      <c r="AG160" s="89" t="s">
        <v>103</v>
      </c>
      <c r="AH160" s="89" t="s">
        <v>71</v>
      </c>
      <c r="AI160" s="89" t="s">
        <v>47</v>
      </c>
      <c r="AJ160" s="89"/>
      <c r="AK160" s="89"/>
      <c r="AL160" s="90" t="s">
        <v>1564</v>
      </c>
      <c r="AM160" s="93"/>
      <c r="AN160" s="93"/>
      <c r="AO160" s="90" t="s">
        <v>1564</v>
      </c>
      <c r="AP160" s="93"/>
      <c r="AQ160" s="93"/>
      <c r="AR160" s="90" t="s">
        <v>1564</v>
      </c>
      <c r="AS160" s="93"/>
      <c r="AT160" s="94"/>
      <c r="AU160" s="91" t="s">
        <v>1564</v>
      </c>
      <c r="AV160" s="176" t="str">
        <f t="shared" si="8"/>
        <v>Resultadox</v>
      </c>
    </row>
    <row r="161" spans="1:48" ht="39.75" customHeight="1" x14ac:dyDescent="0.25">
      <c r="A161" s="86">
        <v>6</v>
      </c>
      <c r="B161" s="86" t="s">
        <v>1592</v>
      </c>
      <c r="D161" s="86" t="s">
        <v>405</v>
      </c>
      <c r="E161" s="86" t="s">
        <v>406</v>
      </c>
      <c r="F161" s="86" t="s">
        <v>512</v>
      </c>
      <c r="G161" s="86" t="s">
        <v>512</v>
      </c>
      <c r="I161" s="86" t="s">
        <v>1716</v>
      </c>
      <c r="J161" s="86" t="s">
        <v>1592</v>
      </c>
      <c r="L161" s="86" t="s">
        <v>1250</v>
      </c>
      <c r="M161" s="86" t="s">
        <v>1251</v>
      </c>
      <c r="N161" s="86" t="s">
        <v>1627</v>
      </c>
      <c r="O161" s="86" t="s">
        <v>1611</v>
      </c>
      <c r="P161" s="176" t="s">
        <v>409</v>
      </c>
      <c r="Q161" s="86" t="s">
        <v>407</v>
      </c>
      <c r="R161" s="176" t="str">
        <f t="shared" si="11"/>
        <v>Jefe Oficina Asesora de Comunicaciones</v>
      </c>
      <c r="S161" s="87" t="s">
        <v>409</v>
      </c>
      <c r="T161" s="177" t="s">
        <v>1319</v>
      </c>
      <c r="U161" s="88">
        <v>3698145</v>
      </c>
      <c r="V161" s="136">
        <f>+VLOOKUP(AV161,Hoja1!$P$6:$R$26,3,FALSE)</f>
        <v>9.3023255813953487E-3</v>
      </c>
      <c r="X161" s="89" t="s">
        <v>1564</v>
      </c>
      <c r="Y161" s="89"/>
      <c r="Z161" s="89"/>
      <c r="AA161" s="89" t="s">
        <v>1564</v>
      </c>
      <c r="AB161" s="89" t="s">
        <v>1564</v>
      </c>
      <c r="AC161" s="89"/>
      <c r="AD161" s="89"/>
      <c r="AF161" s="89" t="s">
        <v>98</v>
      </c>
      <c r="AG161" s="89" t="s">
        <v>103</v>
      </c>
      <c r="AH161" s="89" t="s">
        <v>71</v>
      </c>
      <c r="AI161" s="89" t="s">
        <v>47</v>
      </c>
      <c r="AJ161" s="89"/>
      <c r="AK161" s="89"/>
      <c r="AL161" s="90" t="s">
        <v>1564</v>
      </c>
      <c r="AM161" s="93"/>
      <c r="AN161" s="93"/>
      <c r="AO161" s="90" t="s">
        <v>1564</v>
      </c>
      <c r="AP161" s="93"/>
      <c r="AQ161" s="93"/>
      <c r="AR161" s="90" t="s">
        <v>1564</v>
      </c>
      <c r="AS161" s="93"/>
      <c r="AT161" s="94"/>
      <c r="AU161" s="91" t="s">
        <v>1564</v>
      </c>
      <c r="AV161" s="176" t="str">
        <f t="shared" si="8"/>
        <v>Resultadox</v>
      </c>
    </row>
    <row r="162" spans="1:48" ht="39.75" customHeight="1" x14ac:dyDescent="0.25">
      <c r="A162" s="86">
        <v>6</v>
      </c>
      <c r="B162" s="86" t="s">
        <v>1592</v>
      </c>
      <c r="D162" s="86" t="s">
        <v>405</v>
      </c>
      <c r="E162" s="86" t="s">
        <v>406</v>
      </c>
      <c r="F162" s="86" t="s">
        <v>512</v>
      </c>
      <c r="G162" s="86" t="s">
        <v>512</v>
      </c>
      <c r="I162" s="86" t="s">
        <v>1716</v>
      </c>
      <c r="J162" s="86" t="s">
        <v>1592</v>
      </c>
      <c r="L162" s="86" t="s">
        <v>501</v>
      </c>
      <c r="M162" s="86" t="s">
        <v>515</v>
      </c>
      <c r="N162" s="86" t="s">
        <v>503</v>
      </c>
      <c r="O162" s="86" t="s">
        <v>504</v>
      </c>
      <c r="P162" s="176" t="s">
        <v>410</v>
      </c>
      <c r="Q162" s="86" t="s">
        <v>407</v>
      </c>
      <c r="R162" s="176" t="str">
        <f t="shared" si="11"/>
        <v>Jefe Oficina Asesora de Comunicaciones</v>
      </c>
      <c r="S162" s="87" t="s">
        <v>410</v>
      </c>
      <c r="T162" s="177" t="s">
        <v>1314</v>
      </c>
      <c r="U162" s="88">
        <v>620</v>
      </c>
      <c r="V162" s="136">
        <f>+VLOOKUP(AV162,Hoja1!$P$6:$R$26,3,FALSE)</f>
        <v>8.4210526315789489E-3</v>
      </c>
      <c r="X162" s="89" t="s">
        <v>1564</v>
      </c>
      <c r="Y162" s="89"/>
      <c r="Z162" s="89"/>
      <c r="AA162" s="89" t="s">
        <v>1564</v>
      </c>
      <c r="AB162" s="89"/>
      <c r="AC162" s="89"/>
      <c r="AD162" s="89"/>
      <c r="AF162" s="89" t="s">
        <v>98</v>
      </c>
      <c r="AG162" s="89" t="s">
        <v>519</v>
      </c>
      <c r="AH162" s="89" t="s">
        <v>71</v>
      </c>
      <c r="AI162" s="89" t="s">
        <v>47</v>
      </c>
      <c r="AJ162" s="89"/>
      <c r="AK162" s="89"/>
      <c r="AL162" s="90" t="s">
        <v>1564</v>
      </c>
      <c r="AM162" s="93"/>
      <c r="AN162" s="93"/>
      <c r="AO162" s="90" t="s">
        <v>1564</v>
      </c>
      <c r="AP162" s="93"/>
      <c r="AQ162" s="93"/>
      <c r="AR162" s="90" t="s">
        <v>1564</v>
      </c>
      <c r="AS162" s="93"/>
      <c r="AT162" s="94"/>
      <c r="AU162" s="91" t="s">
        <v>1564</v>
      </c>
      <c r="AV162" s="176" t="str">
        <f t="shared" si="8"/>
        <v>Productox</v>
      </c>
    </row>
    <row r="163" spans="1:48" ht="39.75" customHeight="1" x14ac:dyDescent="0.25">
      <c r="A163" s="86">
        <v>6</v>
      </c>
      <c r="B163" s="86" t="s">
        <v>1592</v>
      </c>
      <c r="D163" s="86" t="s">
        <v>405</v>
      </c>
      <c r="E163" s="86" t="s">
        <v>406</v>
      </c>
      <c r="F163" s="86" t="s">
        <v>512</v>
      </c>
      <c r="G163" s="86" t="s">
        <v>512</v>
      </c>
      <c r="I163" s="86" t="s">
        <v>1716</v>
      </c>
      <c r="J163" s="86" t="s">
        <v>1592</v>
      </c>
      <c r="L163" s="86" t="s">
        <v>512</v>
      </c>
      <c r="M163" s="86" t="s">
        <v>512</v>
      </c>
      <c r="N163" s="86" t="s">
        <v>512</v>
      </c>
      <c r="O163" s="86" t="s">
        <v>512</v>
      </c>
      <c r="P163" s="176" t="s">
        <v>1366</v>
      </c>
      <c r="Q163" s="86" t="s">
        <v>407</v>
      </c>
      <c r="R163" s="176" t="str">
        <f t="shared" si="11"/>
        <v>Jefe Oficina Asesora de Comunicaciones</v>
      </c>
      <c r="S163" s="87" t="s">
        <v>1366</v>
      </c>
      <c r="T163" s="177" t="s">
        <v>1355</v>
      </c>
      <c r="U163" s="92">
        <v>1</v>
      </c>
      <c r="V163" s="136">
        <f>+VLOOKUP(AV163,Hoja1!$P$6:$R$26,3,FALSE)</f>
        <v>1.276595744680851E-3</v>
      </c>
      <c r="X163" s="89" t="s">
        <v>1564</v>
      </c>
      <c r="Y163" s="89"/>
      <c r="Z163" s="89"/>
      <c r="AA163" s="89"/>
      <c r="AB163" s="89"/>
      <c r="AC163" s="89"/>
      <c r="AD163" s="89"/>
      <c r="AF163" s="89" t="s">
        <v>683</v>
      </c>
      <c r="AG163" s="89" t="s">
        <v>533</v>
      </c>
      <c r="AH163" s="89" t="s">
        <v>84</v>
      </c>
      <c r="AI163" s="89" t="s">
        <v>47</v>
      </c>
      <c r="AJ163" s="89"/>
      <c r="AK163" s="89"/>
      <c r="AL163" s="90" t="s">
        <v>1564</v>
      </c>
      <c r="AM163" s="90" t="s">
        <v>1564</v>
      </c>
      <c r="AN163" s="90" t="s">
        <v>1564</v>
      </c>
      <c r="AO163" s="90" t="s">
        <v>1564</v>
      </c>
      <c r="AP163" s="90" t="s">
        <v>1564</v>
      </c>
      <c r="AQ163" s="90" t="s">
        <v>1564</v>
      </c>
      <c r="AR163" s="90" t="s">
        <v>1564</v>
      </c>
      <c r="AS163" s="90" t="s">
        <v>1564</v>
      </c>
      <c r="AT163" s="91" t="s">
        <v>1564</v>
      </c>
      <c r="AU163" s="91" t="s">
        <v>1564</v>
      </c>
      <c r="AV163" s="176" t="str">
        <f t="shared" si="8"/>
        <v>Gestión</v>
      </c>
    </row>
    <row r="164" spans="1:48" ht="39.75" customHeight="1" x14ac:dyDescent="0.25">
      <c r="A164" s="86">
        <v>6</v>
      </c>
      <c r="B164" s="86" t="s">
        <v>1592</v>
      </c>
      <c r="D164" s="86" t="s">
        <v>411</v>
      </c>
      <c r="E164" s="86" t="s">
        <v>412</v>
      </c>
      <c r="F164" s="86" t="s">
        <v>512</v>
      </c>
      <c r="G164" s="86" t="s">
        <v>512</v>
      </c>
      <c r="I164" s="86" t="s">
        <v>1716</v>
      </c>
      <c r="J164" s="86" t="s">
        <v>1592</v>
      </c>
      <c r="L164" s="86" t="s">
        <v>1328</v>
      </c>
      <c r="M164" s="86" t="s">
        <v>991</v>
      </c>
      <c r="N164" s="86" t="s">
        <v>1628</v>
      </c>
      <c r="O164" s="86" t="s">
        <v>1612</v>
      </c>
      <c r="P164" s="176" t="s">
        <v>414</v>
      </c>
      <c r="Q164" s="86" t="s">
        <v>413</v>
      </c>
      <c r="R164" s="176" t="str">
        <f t="shared" ref="R164:R181" si="12">+"Subdirector(a) "&amp;MID(Q164,17,100)</f>
        <v>Subdirector(a) Programación</v>
      </c>
      <c r="S164" s="87" t="s">
        <v>414</v>
      </c>
      <c r="T164" s="177" t="s">
        <v>415</v>
      </c>
      <c r="U164" s="92">
        <v>1</v>
      </c>
      <c r="V164" s="136">
        <f>+VLOOKUP(AV164,Hoja1!$P$6:$R$26,3,FALSE)</f>
        <v>5.5813953488372094E-3</v>
      </c>
      <c r="X164" s="89" t="s">
        <v>1564</v>
      </c>
      <c r="Y164" s="89"/>
      <c r="Z164" s="89"/>
      <c r="AA164" s="89" t="s">
        <v>1564</v>
      </c>
      <c r="AB164" s="89"/>
      <c r="AC164" s="89"/>
      <c r="AD164" s="89"/>
      <c r="AF164" s="89" t="s">
        <v>683</v>
      </c>
      <c r="AG164" s="89" t="s">
        <v>533</v>
      </c>
      <c r="AH164" s="89" t="s">
        <v>84</v>
      </c>
      <c r="AI164" s="89" t="s">
        <v>46</v>
      </c>
      <c r="AJ164" s="90" t="s">
        <v>1564</v>
      </c>
      <c r="AK164" s="90" t="s">
        <v>1564</v>
      </c>
      <c r="AL164" s="90" t="s">
        <v>1564</v>
      </c>
      <c r="AM164" s="90" t="s">
        <v>1564</v>
      </c>
      <c r="AN164" s="90" t="s">
        <v>1564</v>
      </c>
      <c r="AO164" s="90" t="s">
        <v>1564</v>
      </c>
      <c r="AP164" s="90" t="s">
        <v>1564</v>
      </c>
      <c r="AQ164" s="90" t="s">
        <v>1564</v>
      </c>
      <c r="AR164" s="90" t="s">
        <v>1564</v>
      </c>
      <c r="AS164" s="90" t="s">
        <v>1564</v>
      </c>
      <c r="AT164" s="91" t="s">
        <v>1564</v>
      </c>
      <c r="AU164" s="91" t="s">
        <v>1564</v>
      </c>
      <c r="AV164" s="176" t="str">
        <f t="shared" si="8"/>
        <v>Gestiónx</v>
      </c>
    </row>
    <row r="165" spans="1:48" ht="39.75" customHeight="1" x14ac:dyDescent="0.25">
      <c r="A165" s="86">
        <v>6</v>
      </c>
      <c r="B165" s="86" t="s">
        <v>1592</v>
      </c>
      <c r="D165" s="86" t="s">
        <v>411</v>
      </c>
      <c r="E165" s="86" t="s">
        <v>412</v>
      </c>
      <c r="F165" s="86" t="s">
        <v>512</v>
      </c>
      <c r="G165" s="86" t="s">
        <v>512</v>
      </c>
      <c r="I165" s="86" t="s">
        <v>1716</v>
      </c>
      <c r="J165" s="86" t="s">
        <v>1592</v>
      </c>
      <c r="L165" s="86" t="s">
        <v>1328</v>
      </c>
      <c r="M165" s="86" t="s">
        <v>991</v>
      </c>
      <c r="N165" s="86" t="s">
        <v>1628</v>
      </c>
      <c r="O165" s="86" t="s">
        <v>1612</v>
      </c>
      <c r="P165" s="176" t="s">
        <v>416</v>
      </c>
      <c r="Q165" s="86" t="s">
        <v>413</v>
      </c>
      <c r="R165" s="176" t="str">
        <f t="shared" si="12"/>
        <v>Subdirector(a) Programación</v>
      </c>
      <c r="S165" s="87" t="s">
        <v>416</v>
      </c>
      <c r="T165" s="177" t="s">
        <v>417</v>
      </c>
      <c r="U165" s="92">
        <v>1</v>
      </c>
      <c r="V165" s="136">
        <f>+VLOOKUP(AV165,Hoja1!$P$6:$R$26,3,FALSE)</f>
        <v>5.5813953488372094E-3</v>
      </c>
      <c r="X165" s="89" t="s">
        <v>1564</v>
      </c>
      <c r="Y165" s="89"/>
      <c r="Z165" s="89"/>
      <c r="AA165" s="89" t="s">
        <v>1564</v>
      </c>
      <c r="AB165" s="89"/>
      <c r="AC165" s="89"/>
      <c r="AD165" s="89"/>
      <c r="AF165" s="89" t="s">
        <v>683</v>
      </c>
      <c r="AG165" s="89" t="s">
        <v>533</v>
      </c>
      <c r="AH165" s="89" t="s">
        <v>84</v>
      </c>
      <c r="AI165" s="89" t="s">
        <v>46</v>
      </c>
      <c r="AJ165" s="90" t="s">
        <v>1564</v>
      </c>
      <c r="AK165" s="90" t="s">
        <v>1564</v>
      </c>
      <c r="AL165" s="90" t="s">
        <v>1564</v>
      </c>
      <c r="AM165" s="90" t="s">
        <v>1564</v>
      </c>
      <c r="AN165" s="90" t="s">
        <v>1564</v>
      </c>
      <c r="AO165" s="90" t="s">
        <v>1564</v>
      </c>
      <c r="AP165" s="90" t="s">
        <v>1564</v>
      </c>
      <c r="AQ165" s="90" t="s">
        <v>1564</v>
      </c>
      <c r="AR165" s="90" t="s">
        <v>1564</v>
      </c>
      <c r="AS165" s="90" t="s">
        <v>1564</v>
      </c>
      <c r="AT165" s="91" t="s">
        <v>1564</v>
      </c>
      <c r="AU165" s="91" t="s">
        <v>1564</v>
      </c>
      <c r="AV165" s="176" t="str">
        <f t="shared" si="8"/>
        <v>Gestiónx</v>
      </c>
    </row>
    <row r="166" spans="1:48" ht="39.75" customHeight="1" x14ac:dyDescent="0.25">
      <c r="A166" s="86">
        <v>6</v>
      </c>
      <c r="B166" s="86" t="s">
        <v>1592</v>
      </c>
      <c r="D166" s="86" t="s">
        <v>411</v>
      </c>
      <c r="E166" s="86" t="s">
        <v>412</v>
      </c>
      <c r="F166" s="86" t="s">
        <v>512</v>
      </c>
      <c r="G166" s="86" t="s">
        <v>512</v>
      </c>
      <c r="I166" s="86" t="s">
        <v>1716</v>
      </c>
      <c r="J166" s="86" t="s">
        <v>1592</v>
      </c>
      <c r="L166" s="86" t="s">
        <v>501</v>
      </c>
      <c r="M166" s="86" t="s">
        <v>515</v>
      </c>
      <c r="N166" s="86" t="s">
        <v>503</v>
      </c>
      <c r="O166" s="86" t="s">
        <v>504</v>
      </c>
      <c r="P166" s="176" t="s">
        <v>418</v>
      </c>
      <c r="Q166" s="86" t="s">
        <v>413</v>
      </c>
      <c r="R166" s="176" t="str">
        <f t="shared" si="12"/>
        <v>Subdirector(a) Programación</v>
      </c>
      <c r="S166" s="87" t="s">
        <v>418</v>
      </c>
      <c r="T166" s="177" t="s">
        <v>419</v>
      </c>
      <c r="U166" s="92">
        <v>0.6</v>
      </c>
      <c r="V166" s="136">
        <f>+VLOOKUP(AV166,Hoja1!$P$6:$R$26,3,FALSE)</f>
        <v>5.5813953488372094E-3</v>
      </c>
      <c r="X166" s="89" t="s">
        <v>1564</v>
      </c>
      <c r="Y166" s="89"/>
      <c r="Z166" s="89"/>
      <c r="AA166" s="89" t="s">
        <v>1564</v>
      </c>
      <c r="AB166" s="89" t="s">
        <v>1564</v>
      </c>
      <c r="AC166" s="89"/>
      <c r="AD166" s="89"/>
      <c r="AF166" s="89" t="s">
        <v>683</v>
      </c>
      <c r="AG166" s="89" t="s">
        <v>533</v>
      </c>
      <c r="AH166" s="89" t="s">
        <v>71</v>
      </c>
      <c r="AI166" s="89" t="s">
        <v>47</v>
      </c>
      <c r="AJ166" s="89"/>
      <c r="AK166" s="89"/>
      <c r="AL166" s="90" t="s">
        <v>1564</v>
      </c>
      <c r="AM166" s="93"/>
      <c r="AN166" s="93"/>
      <c r="AO166" s="90" t="s">
        <v>1564</v>
      </c>
      <c r="AP166" s="93"/>
      <c r="AQ166" s="93"/>
      <c r="AR166" s="90" t="s">
        <v>1564</v>
      </c>
      <c r="AS166" s="93"/>
      <c r="AT166" s="94"/>
      <c r="AU166" s="91" t="s">
        <v>1564</v>
      </c>
      <c r="AV166" s="176" t="str">
        <f t="shared" si="8"/>
        <v>Gestiónx</v>
      </c>
    </row>
    <row r="167" spans="1:48" ht="39.75" customHeight="1" x14ac:dyDescent="0.25">
      <c r="A167" s="86">
        <v>6</v>
      </c>
      <c r="B167" s="86" t="s">
        <v>1592</v>
      </c>
      <c r="D167" s="86" t="s">
        <v>411</v>
      </c>
      <c r="E167" s="86" t="s">
        <v>412</v>
      </c>
      <c r="F167" s="86" t="s">
        <v>512</v>
      </c>
      <c r="G167" s="86" t="s">
        <v>512</v>
      </c>
      <c r="I167" s="86" t="s">
        <v>1716</v>
      </c>
      <c r="J167" s="86" t="s">
        <v>1592</v>
      </c>
      <c r="L167" s="86" t="s">
        <v>1328</v>
      </c>
      <c r="M167" s="86" t="s">
        <v>991</v>
      </c>
      <c r="N167" s="86" t="s">
        <v>1628</v>
      </c>
      <c r="O167" s="86" t="s">
        <v>1612</v>
      </c>
      <c r="P167" s="176" t="s">
        <v>420</v>
      </c>
      <c r="Q167" s="86" t="s">
        <v>413</v>
      </c>
      <c r="R167" s="176" t="str">
        <f t="shared" si="12"/>
        <v>Subdirector(a) Programación</v>
      </c>
      <c r="S167" s="87" t="s">
        <v>420</v>
      </c>
      <c r="T167" s="177" t="s">
        <v>1857</v>
      </c>
      <c r="U167" s="92">
        <v>1</v>
      </c>
      <c r="V167" s="136">
        <f>+VLOOKUP(AV167,Hoja1!$P$6:$R$26,3,FALSE)</f>
        <v>5.5813953488372094E-3</v>
      </c>
      <c r="X167" s="89" t="s">
        <v>1564</v>
      </c>
      <c r="Y167" s="89"/>
      <c r="Z167" s="89"/>
      <c r="AA167" s="89" t="s">
        <v>1564</v>
      </c>
      <c r="AB167" s="89"/>
      <c r="AC167" s="89"/>
      <c r="AD167" s="89"/>
      <c r="AF167" s="89" t="s">
        <v>98</v>
      </c>
      <c r="AG167" s="89" t="s">
        <v>533</v>
      </c>
      <c r="AH167" s="89" t="s">
        <v>1249</v>
      </c>
      <c r="AI167" s="89" t="s">
        <v>58</v>
      </c>
      <c r="AJ167" s="89"/>
      <c r="AK167" s="89"/>
      <c r="AL167" s="89"/>
      <c r="AM167" s="89"/>
      <c r="AN167" s="89"/>
      <c r="AO167" s="89"/>
      <c r="AP167" s="89"/>
      <c r="AQ167" s="89"/>
      <c r="AR167" s="89"/>
      <c r="AS167" s="89"/>
      <c r="AT167" s="95"/>
      <c r="AU167" s="91" t="s">
        <v>1564</v>
      </c>
      <c r="AV167" s="176" t="str">
        <f t="shared" si="8"/>
        <v>Gestiónx</v>
      </c>
    </row>
    <row r="168" spans="1:48" ht="39.75" customHeight="1" x14ac:dyDescent="0.25">
      <c r="A168" s="86">
        <v>6</v>
      </c>
      <c r="B168" s="86" t="s">
        <v>1592</v>
      </c>
      <c r="D168" s="86" t="s">
        <v>411</v>
      </c>
      <c r="E168" s="86" t="s">
        <v>412</v>
      </c>
      <c r="F168" s="86" t="s">
        <v>512</v>
      </c>
      <c r="G168" s="86" t="s">
        <v>512</v>
      </c>
      <c r="I168" s="86" t="s">
        <v>1716</v>
      </c>
      <c r="J168" s="86" t="s">
        <v>1592</v>
      </c>
      <c r="L168" s="86" t="s">
        <v>1328</v>
      </c>
      <c r="M168" s="86" t="s">
        <v>991</v>
      </c>
      <c r="N168" s="86" t="s">
        <v>1629</v>
      </c>
      <c r="O168" s="86" t="s">
        <v>1619</v>
      </c>
      <c r="P168" s="176" t="s">
        <v>421</v>
      </c>
      <c r="Q168" s="86" t="s">
        <v>413</v>
      </c>
      <c r="R168" s="176" t="str">
        <f t="shared" si="12"/>
        <v>Subdirector(a) Programación</v>
      </c>
      <c r="S168" s="87" t="s">
        <v>421</v>
      </c>
      <c r="T168" s="177" t="s">
        <v>422</v>
      </c>
      <c r="U168" s="92">
        <v>0.15</v>
      </c>
      <c r="V168" s="136">
        <f>+VLOOKUP(AV168,Hoja1!$P$6:$R$26,3,FALSE)</f>
        <v>9.3023255813953487E-3</v>
      </c>
      <c r="X168" s="89" t="s">
        <v>1564</v>
      </c>
      <c r="Y168" s="89"/>
      <c r="Z168" s="89"/>
      <c r="AA168" s="89" t="s">
        <v>1564</v>
      </c>
      <c r="AB168" s="89"/>
      <c r="AC168" s="89"/>
      <c r="AD168" s="89"/>
      <c r="AF168" s="89" t="s">
        <v>98</v>
      </c>
      <c r="AG168" s="89" t="s">
        <v>103</v>
      </c>
      <c r="AH168" s="89" t="s">
        <v>71</v>
      </c>
      <c r="AI168" s="89" t="s">
        <v>47</v>
      </c>
      <c r="AJ168" s="89"/>
      <c r="AK168" s="89"/>
      <c r="AL168" s="90" t="s">
        <v>1564</v>
      </c>
      <c r="AM168" s="93"/>
      <c r="AN168" s="93"/>
      <c r="AO168" s="90" t="s">
        <v>1564</v>
      </c>
      <c r="AP168" s="93"/>
      <c r="AQ168" s="93"/>
      <c r="AR168" s="90" t="s">
        <v>1564</v>
      </c>
      <c r="AS168" s="93"/>
      <c r="AT168" s="94"/>
      <c r="AU168" s="91" t="s">
        <v>1564</v>
      </c>
      <c r="AV168" s="176" t="str">
        <f t="shared" si="8"/>
        <v>Resultadox</v>
      </c>
    </row>
    <row r="169" spans="1:48" ht="39.75" customHeight="1" x14ac:dyDescent="0.25">
      <c r="A169" s="86">
        <v>6</v>
      </c>
      <c r="B169" s="86" t="s">
        <v>1592</v>
      </c>
      <c r="D169" s="86" t="s">
        <v>411</v>
      </c>
      <c r="E169" s="86" t="s">
        <v>412</v>
      </c>
      <c r="F169" s="86" t="s">
        <v>512</v>
      </c>
      <c r="G169" s="86" t="s">
        <v>512</v>
      </c>
      <c r="I169" s="86" t="s">
        <v>1716</v>
      </c>
      <c r="J169" s="86" t="s">
        <v>1592</v>
      </c>
      <c r="L169" s="86" t="s">
        <v>501</v>
      </c>
      <c r="M169" s="86" t="s">
        <v>515</v>
      </c>
      <c r="N169" s="86" t="s">
        <v>503</v>
      </c>
      <c r="O169" s="86" t="s">
        <v>504</v>
      </c>
      <c r="P169" s="176" t="s">
        <v>423</v>
      </c>
      <c r="Q169" s="86" t="s">
        <v>413</v>
      </c>
      <c r="R169" s="176" t="str">
        <f t="shared" si="12"/>
        <v>Subdirector(a) Programación</v>
      </c>
      <c r="S169" s="87" t="s">
        <v>423</v>
      </c>
      <c r="T169" s="177" t="s">
        <v>424</v>
      </c>
      <c r="U169" s="92">
        <v>0.6</v>
      </c>
      <c r="V169" s="136">
        <f>+VLOOKUP(AV169,Hoja1!$P$6:$R$26,3,FALSE)</f>
        <v>5.5813953488372094E-3</v>
      </c>
      <c r="X169" s="89" t="s">
        <v>1564</v>
      </c>
      <c r="Y169" s="89"/>
      <c r="Z169" s="89"/>
      <c r="AA169" s="89" t="s">
        <v>1564</v>
      </c>
      <c r="AB169" s="89" t="s">
        <v>1564</v>
      </c>
      <c r="AC169" s="89"/>
      <c r="AD169" s="89"/>
      <c r="AF169" s="89" t="s">
        <v>683</v>
      </c>
      <c r="AG169" s="89" t="s">
        <v>533</v>
      </c>
      <c r="AH169" s="89" t="s">
        <v>71</v>
      </c>
      <c r="AI169" s="89" t="s">
        <v>47</v>
      </c>
      <c r="AJ169" s="89"/>
      <c r="AK169" s="89"/>
      <c r="AL169" s="90" t="s">
        <v>1564</v>
      </c>
      <c r="AM169" s="93"/>
      <c r="AN169" s="93"/>
      <c r="AO169" s="90" t="s">
        <v>1564</v>
      </c>
      <c r="AP169" s="93"/>
      <c r="AQ169" s="93"/>
      <c r="AR169" s="90" t="s">
        <v>1564</v>
      </c>
      <c r="AS169" s="93"/>
      <c r="AT169" s="94"/>
      <c r="AU169" s="91" t="s">
        <v>1564</v>
      </c>
      <c r="AV169" s="176" t="str">
        <f t="shared" si="8"/>
        <v>Gestiónx</v>
      </c>
    </row>
    <row r="170" spans="1:48" ht="39.75" customHeight="1" x14ac:dyDescent="0.25">
      <c r="A170" s="86">
        <v>6</v>
      </c>
      <c r="B170" s="86" t="s">
        <v>1592</v>
      </c>
      <c r="D170" s="86" t="s">
        <v>411</v>
      </c>
      <c r="E170" s="86" t="s">
        <v>412</v>
      </c>
      <c r="F170" s="86" t="s">
        <v>512</v>
      </c>
      <c r="G170" s="86" t="s">
        <v>512</v>
      </c>
      <c r="I170" s="86" t="s">
        <v>1716</v>
      </c>
      <c r="J170" s="86" t="s">
        <v>1592</v>
      </c>
      <c r="L170" s="86" t="s">
        <v>512</v>
      </c>
      <c r="M170" s="86" t="s">
        <v>512</v>
      </c>
      <c r="N170" s="86" t="s">
        <v>512</v>
      </c>
      <c r="O170" s="86" t="s">
        <v>512</v>
      </c>
      <c r="P170" s="176" t="s">
        <v>1367</v>
      </c>
      <c r="Q170" s="86" t="s">
        <v>413</v>
      </c>
      <c r="R170" s="176" t="str">
        <f t="shared" si="12"/>
        <v>Subdirector(a) Programación</v>
      </c>
      <c r="S170" s="87" t="s">
        <v>1367</v>
      </c>
      <c r="T170" s="177" t="s">
        <v>1355</v>
      </c>
      <c r="U170" s="92">
        <v>1</v>
      </c>
      <c r="V170" s="136">
        <f>+VLOOKUP(AV170,Hoja1!$P$6:$R$26,3,FALSE)</f>
        <v>1.276595744680851E-3</v>
      </c>
      <c r="X170" s="89" t="s">
        <v>1564</v>
      </c>
      <c r="Y170" s="89"/>
      <c r="Z170" s="89"/>
      <c r="AA170" s="89"/>
      <c r="AB170" s="89"/>
      <c r="AC170" s="89"/>
      <c r="AD170" s="89"/>
      <c r="AF170" s="89" t="s">
        <v>683</v>
      </c>
      <c r="AG170" s="89" t="s">
        <v>533</v>
      </c>
      <c r="AH170" s="89" t="s">
        <v>84</v>
      </c>
      <c r="AI170" s="89" t="s">
        <v>47</v>
      </c>
      <c r="AJ170" s="89"/>
      <c r="AK170" s="89"/>
      <c r="AL170" s="90" t="s">
        <v>1564</v>
      </c>
      <c r="AM170" s="90" t="s">
        <v>1564</v>
      </c>
      <c r="AN170" s="90" t="s">
        <v>1564</v>
      </c>
      <c r="AO170" s="90" t="s">
        <v>1564</v>
      </c>
      <c r="AP170" s="90" t="s">
        <v>1564</v>
      </c>
      <c r="AQ170" s="90" t="s">
        <v>1564</v>
      </c>
      <c r="AR170" s="90" t="s">
        <v>1564</v>
      </c>
      <c r="AS170" s="90" t="s">
        <v>1564</v>
      </c>
      <c r="AT170" s="91" t="s">
        <v>1564</v>
      </c>
      <c r="AU170" s="91" t="s">
        <v>1564</v>
      </c>
      <c r="AV170" s="176" t="str">
        <f t="shared" si="8"/>
        <v>Gestión</v>
      </c>
    </row>
    <row r="171" spans="1:48" ht="39.75" customHeight="1" x14ac:dyDescent="0.25">
      <c r="A171" s="86">
        <v>6</v>
      </c>
      <c r="B171" s="86" t="s">
        <v>1592</v>
      </c>
      <c r="D171" s="86" t="s">
        <v>411</v>
      </c>
      <c r="E171" s="86" t="s">
        <v>412</v>
      </c>
      <c r="F171" s="86" t="s">
        <v>512</v>
      </c>
      <c r="G171" s="86" t="s">
        <v>512</v>
      </c>
      <c r="I171" s="86" t="s">
        <v>1716</v>
      </c>
      <c r="J171" s="86" t="s">
        <v>1592</v>
      </c>
      <c r="L171" s="86" t="s">
        <v>512</v>
      </c>
      <c r="M171" s="86" t="s">
        <v>512</v>
      </c>
      <c r="N171" s="86" t="s">
        <v>512</v>
      </c>
      <c r="O171" s="86" t="s">
        <v>512</v>
      </c>
      <c r="P171" s="176" t="s">
        <v>1552</v>
      </c>
      <c r="Q171" s="86" t="s">
        <v>1551</v>
      </c>
      <c r="R171" s="176" t="str">
        <f>+"Subdirector(a) "&amp;MID(Q171,13,100)</f>
        <v>Subdirector(a)  General</v>
      </c>
      <c r="S171" s="87" t="s">
        <v>1552</v>
      </c>
      <c r="T171" s="177" t="s">
        <v>1553</v>
      </c>
      <c r="U171" s="88">
        <v>16</v>
      </c>
      <c r="V171" s="136">
        <f>+VLOOKUP(AV171,Hoja1!$P$6:$R$26,3,FALSE)</f>
        <v>1.8181818181818186E-3</v>
      </c>
      <c r="X171" s="89" t="s">
        <v>1564</v>
      </c>
      <c r="Y171" s="89"/>
      <c r="Z171" s="89"/>
      <c r="AA171" s="89"/>
      <c r="AB171" s="89"/>
      <c r="AC171" s="89"/>
      <c r="AD171" s="89"/>
      <c r="AF171" s="89" t="s">
        <v>98</v>
      </c>
      <c r="AG171" s="89" t="s">
        <v>519</v>
      </c>
      <c r="AH171" s="89" t="s">
        <v>71</v>
      </c>
      <c r="AI171" s="89" t="s">
        <v>47</v>
      </c>
      <c r="AJ171" s="89"/>
      <c r="AK171" s="89"/>
      <c r="AL171" s="90" t="s">
        <v>1564</v>
      </c>
      <c r="AM171" s="93"/>
      <c r="AN171" s="93"/>
      <c r="AO171" s="90" t="s">
        <v>1564</v>
      </c>
      <c r="AP171" s="93"/>
      <c r="AQ171" s="93"/>
      <c r="AR171" s="90" t="s">
        <v>1564</v>
      </c>
      <c r="AS171" s="93"/>
      <c r="AT171" s="94"/>
      <c r="AU171" s="91" t="s">
        <v>1564</v>
      </c>
      <c r="AV171" s="176" t="str">
        <f t="shared" si="8"/>
        <v>Producto</v>
      </c>
    </row>
    <row r="172" spans="1:48" ht="39.75" customHeight="1" x14ac:dyDescent="0.25">
      <c r="A172" s="86">
        <v>6</v>
      </c>
      <c r="B172" s="86" t="s">
        <v>1592</v>
      </c>
      <c r="D172" s="86" t="s">
        <v>425</v>
      </c>
      <c r="E172" s="86" t="s">
        <v>426</v>
      </c>
      <c r="F172" s="86" t="s">
        <v>512</v>
      </c>
      <c r="G172" s="86" t="s">
        <v>512</v>
      </c>
      <c r="I172" s="86" t="s">
        <v>1716</v>
      </c>
      <c r="J172" s="86" t="s">
        <v>1592</v>
      </c>
      <c r="L172" s="86" t="s">
        <v>1126</v>
      </c>
      <c r="M172" s="86" t="s">
        <v>1127</v>
      </c>
      <c r="N172" s="86" t="s">
        <v>1630</v>
      </c>
      <c r="O172" s="86" t="s">
        <v>1613</v>
      </c>
      <c r="P172" s="176" t="s">
        <v>428</v>
      </c>
      <c r="Q172" s="86" t="s">
        <v>427</v>
      </c>
      <c r="R172" s="176" t="str">
        <f t="shared" si="12"/>
        <v>Subdirector(a) Mejoramiento Organizacional</v>
      </c>
      <c r="S172" s="87" t="s">
        <v>428</v>
      </c>
      <c r="T172" s="177" t="s">
        <v>1423</v>
      </c>
      <c r="U172" s="88">
        <v>66</v>
      </c>
      <c r="V172" s="136">
        <f>+VLOOKUP(AV172,Hoja1!$P$6:$R$26,3,FALSE)</f>
        <v>9.3023255813953487E-3</v>
      </c>
      <c r="X172" s="89" t="s">
        <v>1564</v>
      </c>
      <c r="Y172" s="89"/>
      <c r="Z172" s="89"/>
      <c r="AA172" s="89" t="s">
        <v>1564</v>
      </c>
      <c r="AB172" s="89" t="s">
        <v>1564</v>
      </c>
      <c r="AC172" s="89"/>
      <c r="AD172" s="89"/>
      <c r="AF172" s="89" t="s">
        <v>98</v>
      </c>
      <c r="AG172" s="89" t="s">
        <v>103</v>
      </c>
      <c r="AH172" s="89" t="s">
        <v>1249</v>
      </c>
      <c r="AI172" s="89" t="s">
        <v>58</v>
      </c>
      <c r="AJ172" s="89"/>
      <c r="AK172" s="89"/>
      <c r="AL172" s="89"/>
      <c r="AM172" s="89"/>
      <c r="AN172" s="89"/>
      <c r="AO172" s="89"/>
      <c r="AP172" s="89"/>
      <c r="AQ172" s="89"/>
      <c r="AR172" s="89"/>
      <c r="AS172" s="89"/>
      <c r="AT172" s="95"/>
      <c r="AU172" s="91" t="s">
        <v>1564</v>
      </c>
      <c r="AV172" s="176" t="str">
        <f t="shared" si="8"/>
        <v>Resultadox</v>
      </c>
    </row>
    <row r="173" spans="1:48" ht="39.75" customHeight="1" x14ac:dyDescent="0.25">
      <c r="A173" s="86">
        <v>6</v>
      </c>
      <c r="B173" s="86" t="s">
        <v>1592</v>
      </c>
      <c r="D173" s="86" t="s">
        <v>425</v>
      </c>
      <c r="E173" s="86" t="s">
        <v>426</v>
      </c>
      <c r="F173" s="86" t="s">
        <v>512</v>
      </c>
      <c r="G173" s="86" t="s">
        <v>512</v>
      </c>
      <c r="I173" s="86" t="s">
        <v>1716</v>
      </c>
      <c r="J173" s="86" t="s">
        <v>1592</v>
      </c>
      <c r="L173" s="86" t="s">
        <v>1126</v>
      </c>
      <c r="M173" s="86" t="s">
        <v>1127</v>
      </c>
      <c r="N173" s="86" t="s">
        <v>1623</v>
      </c>
      <c r="O173" s="86" t="s">
        <v>1603</v>
      </c>
      <c r="P173" s="176" t="s">
        <v>429</v>
      </c>
      <c r="Q173" s="86" t="s">
        <v>427</v>
      </c>
      <c r="R173" s="176" t="str">
        <f t="shared" si="12"/>
        <v>Subdirector(a) Mejoramiento Organizacional</v>
      </c>
      <c r="S173" s="87" t="s">
        <v>429</v>
      </c>
      <c r="T173" s="177" t="s">
        <v>1586</v>
      </c>
      <c r="U173" s="92">
        <v>1</v>
      </c>
      <c r="V173" s="136">
        <f>+VLOOKUP(AV173,Hoja1!$P$6:$R$26,3,FALSE)</f>
        <v>9.3023255813953487E-3</v>
      </c>
      <c r="X173" s="89" t="s">
        <v>1564</v>
      </c>
      <c r="Y173" s="89"/>
      <c r="Z173" s="89"/>
      <c r="AA173" s="89" t="s">
        <v>1564</v>
      </c>
      <c r="AB173" s="89"/>
      <c r="AC173" s="89"/>
      <c r="AD173" s="89"/>
      <c r="AF173" s="89" t="s">
        <v>98</v>
      </c>
      <c r="AG173" s="89" t="s">
        <v>103</v>
      </c>
      <c r="AH173" s="89" t="s">
        <v>71</v>
      </c>
      <c r="AI173" s="89" t="s">
        <v>47</v>
      </c>
      <c r="AJ173" s="89"/>
      <c r="AK173" s="89"/>
      <c r="AL173" s="90" t="s">
        <v>1564</v>
      </c>
      <c r="AM173" s="93"/>
      <c r="AN173" s="93"/>
      <c r="AO173" s="90" t="s">
        <v>1564</v>
      </c>
      <c r="AP173" s="93"/>
      <c r="AQ173" s="93"/>
      <c r="AR173" s="90" t="s">
        <v>1564</v>
      </c>
      <c r="AS173" s="93"/>
      <c r="AT173" s="94"/>
      <c r="AU173" s="91" t="s">
        <v>1564</v>
      </c>
      <c r="AV173" s="176" t="str">
        <f t="shared" si="8"/>
        <v>Resultadox</v>
      </c>
    </row>
    <row r="174" spans="1:48" ht="39.75" customHeight="1" x14ac:dyDescent="0.25">
      <c r="A174" s="86">
        <v>6</v>
      </c>
      <c r="B174" s="86" t="s">
        <v>1592</v>
      </c>
      <c r="D174" s="86" t="s">
        <v>425</v>
      </c>
      <c r="E174" s="86" t="s">
        <v>426</v>
      </c>
      <c r="F174" s="86" t="s">
        <v>512</v>
      </c>
      <c r="G174" s="86" t="s">
        <v>512</v>
      </c>
      <c r="I174" s="86" t="s">
        <v>1716</v>
      </c>
      <c r="J174" s="86" t="s">
        <v>1592</v>
      </c>
      <c r="L174" s="86" t="s">
        <v>1126</v>
      </c>
      <c r="M174" s="86" t="s">
        <v>1127</v>
      </c>
      <c r="N174" s="86" t="s">
        <v>1630</v>
      </c>
      <c r="O174" s="86" t="s">
        <v>1613</v>
      </c>
      <c r="P174" s="176" t="s">
        <v>430</v>
      </c>
      <c r="Q174" s="86" t="s">
        <v>427</v>
      </c>
      <c r="R174" s="176" t="str">
        <f t="shared" si="12"/>
        <v>Subdirector(a) Mejoramiento Organizacional</v>
      </c>
      <c r="S174" s="87" t="s">
        <v>430</v>
      </c>
      <c r="T174" s="177" t="s">
        <v>431</v>
      </c>
      <c r="U174" s="92">
        <v>1</v>
      </c>
      <c r="V174" s="136">
        <f>+VLOOKUP(AV174,Hoja1!$P$6:$R$26,3,FALSE)</f>
        <v>5.5813953488372094E-3</v>
      </c>
      <c r="X174" s="89" t="s">
        <v>1564</v>
      </c>
      <c r="Y174" s="89"/>
      <c r="Z174" s="89"/>
      <c r="AA174" s="89" t="s">
        <v>1564</v>
      </c>
      <c r="AB174" s="89" t="s">
        <v>1564</v>
      </c>
      <c r="AC174" s="89"/>
      <c r="AD174" s="89"/>
      <c r="AF174" s="89" t="s">
        <v>98</v>
      </c>
      <c r="AG174" s="89" t="s">
        <v>533</v>
      </c>
      <c r="AH174" s="89" t="s">
        <v>71</v>
      </c>
      <c r="AI174" s="89" t="s">
        <v>47</v>
      </c>
      <c r="AJ174" s="89"/>
      <c r="AK174" s="89"/>
      <c r="AL174" s="90" t="s">
        <v>1564</v>
      </c>
      <c r="AM174" s="93"/>
      <c r="AN174" s="93"/>
      <c r="AO174" s="90" t="s">
        <v>1564</v>
      </c>
      <c r="AP174" s="93"/>
      <c r="AQ174" s="93"/>
      <c r="AR174" s="90" t="s">
        <v>1564</v>
      </c>
      <c r="AS174" s="93"/>
      <c r="AT174" s="94"/>
      <c r="AU174" s="91" t="s">
        <v>1564</v>
      </c>
      <c r="AV174" s="176" t="str">
        <f t="shared" si="8"/>
        <v>Gestiónx</v>
      </c>
    </row>
    <row r="175" spans="1:48" ht="39.75" customHeight="1" x14ac:dyDescent="0.25">
      <c r="A175" s="86">
        <v>6</v>
      </c>
      <c r="B175" s="86" t="s">
        <v>1592</v>
      </c>
      <c r="D175" s="86" t="s">
        <v>425</v>
      </c>
      <c r="E175" s="86" t="s">
        <v>426</v>
      </c>
      <c r="F175" s="86" t="s">
        <v>512</v>
      </c>
      <c r="G175" s="86" t="s">
        <v>512</v>
      </c>
      <c r="I175" s="86" t="s">
        <v>1716</v>
      </c>
      <c r="J175" s="86" t="s">
        <v>1592</v>
      </c>
      <c r="L175" s="86" t="s">
        <v>1126</v>
      </c>
      <c r="M175" s="86" t="s">
        <v>1127</v>
      </c>
      <c r="N175" s="86" t="s">
        <v>1631</v>
      </c>
      <c r="O175" s="86" t="s">
        <v>1614</v>
      </c>
      <c r="P175" s="176" t="s">
        <v>432</v>
      </c>
      <c r="Q175" s="86" t="s">
        <v>427</v>
      </c>
      <c r="R175" s="176" t="str">
        <f t="shared" si="12"/>
        <v>Subdirector(a) Mejoramiento Organizacional</v>
      </c>
      <c r="S175" s="87" t="s">
        <v>432</v>
      </c>
      <c r="T175" s="177" t="s">
        <v>433</v>
      </c>
      <c r="U175" s="88">
        <v>3</v>
      </c>
      <c r="V175" s="136">
        <f>+VLOOKUP(AV175,Hoja1!$P$6:$R$26,3,FALSE)</f>
        <v>5.5813953488372094E-3</v>
      </c>
      <c r="X175" s="89" t="s">
        <v>1564</v>
      </c>
      <c r="Y175" s="89"/>
      <c r="Z175" s="89"/>
      <c r="AA175" s="89" t="s">
        <v>1564</v>
      </c>
      <c r="AB175" s="89" t="s">
        <v>1564</v>
      </c>
      <c r="AC175" s="89"/>
      <c r="AD175" s="89"/>
      <c r="AF175" s="89" t="s">
        <v>98</v>
      </c>
      <c r="AG175" s="89" t="s">
        <v>533</v>
      </c>
      <c r="AH175" s="89" t="s">
        <v>1249</v>
      </c>
      <c r="AI175" s="89" t="s">
        <v>58</v>
      </c>
      <c r="AJ175" s="89"/>
      <c r="AK175" s="89"/>
      <c r="AL175" s="89"/>
      <c r="AM175" s="89"/>
      <c r="AN175" s="89"/>
      <c r="AO175" s="89"/>
      <c r="AP175" s="89"/>
      <c r="AQ175" s="89"/>
      <c r="AR175" s="89"/>
      <c r="AS175" s="89"/>
      <c r="AT175" s="95"/>
      <c r="AU175" s="91" t="s">
        <v>1564</v>
      </c>
      <c r="AV175" s="176" t="str">
        <f t="shared" si="8"/>
        <v>Gestiónx</v>
      </c>
    </row>
    <row r="176" spans="1:48" ht="39.75" customHeight="1" x14ac:dyDescent="0.25">
      <c r="A176" s="86">
        <v>6</v>
      </c>
      <c r="B176" s="86" t="s">
        <v>1592</v>
      </c>
      <c r="D176" s="86" t="s">
        <v>425</v>
      </c>
      <c r="E176" s="86" t="s">
        <v>426</v>
      </c>
      <c r="F176" s="86" t="s">
        <v>512</v>
      </c>
      <c r="G176" s="86" t="s">
        <v>512</v>
      </c>
      <c r="I176" s="86" t="s">
        <v>1716</v>
      </c>
      <c r="J176" s="86" t="s">
        <v>1592</v>
      </c>
      <c r="L176" s="86" t="s">
        <v>512</v>
      </c>
      <c r="M176" s="86" t="s">
        <v>512</v>
      </c>
      <c r="N176" s="86" t="s">
        <v>512</v>
      </c>
      <c r="O176" s="86" t="s">
        <v>512</v>
      </c>
      <c r="P176" s="176" t="s">
        <v>434</v>
      </c>
      <c r="Q176" s="86" t="s">
        <v>427</v>
      </c>
      <c r="R176" s="176" t="str">
        <f t="shared" si="12"/>
        <v>Subdirector(a) Mejoramiento Organizacional</v>
      </c>
      <c r="S176" s="87" t="s">
        <v>434</v>
      </c>
      <c r="T176" s="177" t="s">
        <v>1427</v>
      </c>
      <c r="U176" s="92">
        <v>0.85</v>
      </c>
      <c r="V176" s="136">
        <f>+VLOOKUP(AV176,Hoja1!$P$6:$R$26,3,FALSE)</f>
        <v>3.7499999999999999E-3</v>
      </c>
      <c r="X176" s="89" t="s">
        <v>1564</v>
      </c>
      <c r="Y176" s="89" t="s">
        <v>1564</v>
      </c>
      <c r="Z176" s="89"/>
      <c r="AA176" s="89"/>
      <c r="AB176" s="89"/>
      <c r="AC176" s="89"/>
      <c r="AD176" s="89"/>
      <c r="AF176" s="89" t="s">
        <v>98</v>
      </c>
      <c r="AG176" s="89" t="s">
        <v>103</v>
      </c>
      <c r="AH176" s="89" t="s">
        <v>84</v>
      </c>
      <c r="AI176" s="89" t="s">
        <v>46</v>
      </c>
      <c r="AJ176" s="90" t="s">
        <v>1564</v>
      </c>
      <c r="AK176" s="90" t="s">
        <v>1564</v>
      </c>
      <c r="AL176" s="90" t="s">
        <v>1564</v>
      </c>
      <c r="AM176" s="90" t="s">
        <v>1564</v>
      </c>
      <c r="AN176" s="90" t="s">
        <v>1564</v>
      </c>
      <c r="AO176" s="90" t="s">
        <v>1564</v>
      </c>
      <c r="AP176" s="90" t="s">
        <v>1564</v>
      </c>
      <c r="AQ176" s="90" t="s">
        <v>1564</v>
      </c>
      <c r="AR176" s="90" t="s">
        <v>1564</v>
      </c>
      <c r="AS176" s="90" t="s">
        <v>1564</v>
      </c>
      <c r="AT176" s="91" t="s">
        <v>1564</v>
      </c>
      <c r="AU176" s="91" t="s">
        <v>1564</v>
      </c>
      <c r="AV176" s="176" t="str">
        <f t="shared" si="8"/>
        <v>Resultado</v>
      </c>
    </row>
    <row r="177" spans="1:48" ht="39.75" customHeight="1" x14ac:dyDescent="0.25">
      <c r="A177" s="86">
        <v>6</v>
      </c>
      <c r="B177" s="86" t="s">
        <v>1592</v>
      </c>
      <c r="D177" s="86" t="s">
        <v>425</v>
      </c>
      <c r="E177" s="86" t="s">
        <v>426</v>
      </c>
      <c r="F177" s="86" t="s">
        <v>512</v>
      </c>
      <c r="G177" s="86" t="s">
        <v>512</v>
      </c>
      <c r="I177" s="86" t="s">
        <v>1716</v>
      </c>
      <c r="J177" s="86" t="s">
        <v>1592</v>
      </c>
      <c r="L177" s="86" t="s">
        <v>512</v>
      </c>
      <c r="M177" s="86" t="s">
        <v>512</v>
      </c>
      <c r="N177" s="86" t="s">
        <v>512</v>
      </c>
      <c r="O177" s="86" t="s">
        <v>512</v>
      </c>
      <c r="P177" s="176" t="s">
        <v>435</v>
      </c>
      <c r="Q177" s="86" t="s">
        <v>427</v>
      </c>
      <c r="R177" s="176" t="str">
        <f t="shared" si="12"/>
        <v>Subdirector(a) Mejoramiento Organizacional</v>
      </c>
      <c r="S177" s="87" t="s">
        <v>435</v>
      </c>
      <c r="T177" s="177" t="s">
        <v>1429</v>
      </c>
      <c r="U177" s="92">
        <v>0.85</v>
      </c>
      <c r="V177" s="136">
        <f>+VLOOKUP(AV177,Hoja1!$P$6:$R$26,3,FALSE)</f>
        <v>1.276595744680851E-3</v>
      </c>
      <c r="X177" s="89" t="s">
        <v>1564</v>
      </c>
      <c r="Y177" s="89" t="s">
        <v>1564</v>
      </c>
      <c r="Z177" s="89" t="s">
        <v>1564</v>
      </c>
      <c r="AA177" s="89"/>
      <c r="AB177" s="89"/>
      <c r="AC177" s="89"/>
      <c r="AD177" s="89"/>
      <c r="AF177" s="89" t="s">
        <v>98</v>
      </c>
      <c r="AG177" s="89" t="s">
        <v>533</v>
      </c>
      <c r="AH177" s="89" t="s">
        <v>84</v>
      </c>
      <c r="AI177" s="89" t="s">
        <v>46</v>
      </c>
      <c r="AJ177" s="90" t="s">
        <v>1564</v>
      </c>
      <c r="AK177" s="90" t="s">
        <v>1564</v>
      </c>
      <c r="AL177" s="90" t="s">
        <v>1564</v>
      </c>
      <c r="AM177" s="90" t="s">
        <v>1564</v>
      </c>
      <c r="AN177" s="90" t="s">
        <v>1564</v>
      </c>
      <c r="AO177" s="90" t="s">
        <v>1564</v>
      </c>
      <c r="AP177" s="90" t="s">
        <v>1564</v>
      </c>
      <c r="AQ177" s="90" t="s">
        <v>1564</v>
      </c>
      <c r="AR177" s="90" t="s">
        <v>1564</v>
      </c>
      <c r="AS177" s="90" t="s">
        <v>1564</v>
      </c>
      <c r="AT177" s="91" t="s">
        <v>1564</v>
      </c>
      <c r="AU177" s="91" t="s">
        <v>1564</v>
      </c>
      <c r="AV177" s="176" t="str">
        <f t="shared" si="8"/>
        <v>Gestión</v>
      </c>
    </row>
    <row r="178" spans="1:48" ht="39.75" customHeight="1" x14ac:dyDescent="0.25">
      <c r="A178" s="86">
        <v>6</v>
      </c>
      <c r="B178" s="86" t="s">
        <v>1592</v>
      </c>
      <c r="D178" s="86" t="s">
        <v>425</v>
      </c>
      <c r="E178" s="86" t="s">
        <v>426</v>
      </c>
      <c r="F178" s="86" t="s">
        <v>512</v>
      </c>
      <c r="G178" s="86" t="s">
        <v>512</v>
      </c>
      <c r="I178" s="86" t="s">
        <v>1716</v>
      </c>
      <c r="J178" s="86" t="s">
        <v>1592</v>
      </c>
      <c r="L178" s="86" t="s">
        <v>512</v>
      </c>
      <c r="M178" s="86" t="s">
        <v>512</v>
      </c>
      <c r="N178" s="86" t="s">
        <v>512</v>
      </c>
      <c r="O178" s="86" t="s">
        <v>512</v>
      </c>
      <c r="P178" s="176" t="s">
        <v>436</v>
      </c>
      <c r="Q178" s="86" t="s">
        <v>427</v>
      </c>
      <c r="R178" s="176" t="str">
        <f t="shared" si="12"/>
        <v>Subdirector(a) Mejoramiento Organizacional</v>
      </c>
      <c r="S178" s="87" t="s">
        <v>436</v>
      </c>
      <c r="T178" s="177" t="s">
        <v>437</v>
      </c>
      <c r="U178" s="92">
        <v>0.95</v>
      </c>
      <c r="V178" s="136">
        <f>+VLOOKUP(AV178,Hoja1!$P$6:$R$26,3,FALSE)</f>
        <v>3.7499999999999999E-3</v>
      </c>
      <c r="X178" s="89" t="s">
        <v>1564</v>
      </c>
      <c r="Y178" s="89" t="s">
        <v>1564</v>
      </c>
      <c r="Z178" s="89" t="s">
        <v>1564</v>
      </c>
      <c r="AA178" s="89"/>
      <c r="AB178" s="89"/>
      <c r="AC178" s="89"/>
      <c r="AD178" s="89"/>
      <c r="AF178" s="89" t="s">
        <v>683</v>
      </c>
      <c r="AG178" s="89" t="s">
        <v>103</v>
      </c>
      <c r="AH178" s="89" t="s">
        <v>71</v>
      </c>
      <c r="AI178" s="89" t="s">
        <v>47</v>
      </c>
      <c r="AJ178" s="89"/>
      <c r="AK178" s="89"/>
      <c r="AL178" s="90" t="s">
        <v>1564</v>
      </c>
      <c r="AM178" s="93"/>
      <c r="AN178" s="93"/>
      <c r="AO178" s="90" t="s">
        <v>1564</v>
      </c>
      <c r="AP178" s="93"/>
      <c r="AQ178" s="93"/>
      <c r="AR178" s="90" t="s">
        <v>1564</v>
      </c>
      <c r="AS178" s="93"/>
      <c r="AT178" s="94"/>
      <c r="AU178" s="91" t="s">
        <v>1564</v>
      </c>
      <c r="AV178" s="176" t="str">
        <f t="shared" si="8"/>
        <v>Resultado</v>
      </c>
    </row>
    <row r="179" spans="1:48" ht="39.75" customHeight="1" x14ac:dyDescent="0.25">
      <c r="A179" s="86">
        <v>6</v>
      </c>
      <c r="B179" s="86" t="s">
        <v>1592</v>
      </c>
      <c r="D179" s="86" t="s">
        <v>425</v>
      </c>
      <c r="E179" s="86" t="s">
        <v>426</v>
      </c>
      <c r="F179" s="86" t="s">
        <v>512</v>
      </c>
      <c r="G179" s="86" t="s">
        <v>512</v>
      </c>
      <c r="I179" s="86" t="s">
        <v>1716</v>
      </c>
      <c r="J179" s="86" t="s">
        <v>1592</v>
      </c>
      <c r="L179" s="86" t="s">
        <v>512</v>
      </c>
      <c r="M179" s="86" t="s">
        <v>512</v>
      </c>
      <c r="N179" s="86" t="s">
        <v>512</v>
      </c>
      <c r="O179" s="86" t="s">
        <v>512</v>
      </c>
      <c r="P179" s="176" t="s">
        <v>438</v>
      </c>
      <c r="Q179" s="86" t="s">
        <v>427</v>
      </c>
      <c r="R179" s="176" t="str">
        <f t="shared" si="12"/>
        <v>Subdirector(a) Mejoramiento Organizacional</v>
      </c>
      <c r="S179" s="87" t="s">
        <v>438</v>
      </c>
      <c r="T179" s="177" t="s">
        <v>1430</v>
      </c>
      <c r="U179" s="92">
        <v>1</v>
      </c>
      <c r="V179" s="136">
        <f>+VLOOKUP(AV179,Hoja1!$P$6:$R$26,3,FALSE)</f>
        <v>3.7499999999999999E-3</v>
      </c>
      <c r="X179" s="89" t="s">
        <v>1564</v>
      </c>
      <c r="Y179" s="89"/>
      <c r="Z179" s="89"/>
      <c r="AA179" s="89"/>
      <c r="AB179" s="89"/>
      <c r="AC179" s="89"/>
      <c r="AD179" s="89"/>
      <c r="AF179" s="89" t="s">
        <v>98</v>
      </c>
      <c r="AG179" s="89" t="s">
        <v>103</v>
      </c>
      <c r="AH179" s="89" t="s">
        <v>1069</v>
      </c>
      <c r="AI179" s="89" t="s">
        <v>48</v>
      </c>
      <c r="AJ179" s="89"/>
      <c r="AK179" s="89"/>
      <c r="AL179" s="89"/>
      <c r="AM179" s="90" t="s">
        <v>1564</v>
      </c>
      <c r="AN179" s="93"/>
      <c r="AO179" s="93"/>
      <c r="AP179" s="93"/>
      <c r="AQ179" s="90" t="s">
        <v>1564</v>
      </c>
      <c r="AR179" s="93"/>
      <c r="AS179" s="93"/>
      <c r="AT179" s="94"/>
      <c r="AU179" s="91" t="s">
        <v>1564</v>
      </c>
      <c r="AV179" s="176" t="str">
        <f t="shared" si="8"/>
        <v>Resultado</v>
      </c>
    </row>
    <row r="180" spans="1:48" ht="39.75" customHeight="1" x14ac:dyDescent="0.25">
      <c r="A180" s="86">
        <v>6</v>
      </c>
      <c r="B180" s="86" t="s">
        <v>1592</v>
      </c>
      <c r="D180" s="86" t="s">
        <v>425</v>
      </c>
      <c r="E180" s="86" t="s">
        <v>426</v>
      </c>
      <c r="F180" s="86" t="s">
        <v>512</v>
      </c>
      <c r="G180" s="86" t="s">
        <v>512</v>
      </c>
      <c r="I180" s="86" t="s">
        <v>1716</v>
      </c>
      <c r="J180" s="86" t="s">
        <v>1592</v>
      </c>
      <c r="L180" s="86" t="s">
        <v>512</v>
      </c>
      <c r="M180" s="86" t="s">
        <v>512</v>
      </c>
      <c r="N180" s="86" t="s">
        <v>512</v>
      </c>
      <c r="O180" s="86" t="s">
        <v>512</v>
      </c>
      <c r="P180" s="176" t="s">
        <v>439</v>
      </c>
      <c r="Q180" s="86" t="s">
        <v>427</v>
      </c>
      <c r="R180" s="176" t="str">
        <f t="shared" si="12"/>
        <v>Subdirector(a) Mejoramiento Organizacional</v>
      </c>
      <c r="S180" s="87" t="s">
        <v>439</v>
      </c>
      <c r="T180" s="177" t="s">
        <v>440</v>
      </c>
      <c r="U180" s="92">
        <v>0.85</v>
      </c>
      <c r="V180" s="136">
        <f>+VLOOKUP(AV180,Hoja1!$P$6:$R$26,3,FALSE)</f>
        <v>3.7499999999999999E-3</v>
      </c>
      <c r="X180" s="89" t="s">
        <v>1564</v>
      </c>
      <c r="Y180" s="89" t="s">
        <v>1564</v>
      </c>
      <c r="Z180" s="89" t="s">
        <v>1564</v>
      </c>
      <c r="AA180" s="89"/>
      <c r="AB180" s="89"/>
      <c r="AC180" s="89"/>
      <c r="AD180" s="89"/>
      <c r="AF180" s="89" t="s">
        <v>98</v>
      </c>
      <c r="AG180" s="89" t="s">
        <v>103</v>
      </c>
      <c r="AH180" s="89" t="s">
        <v>84</v>
      </c>
      <c r="AI180" s="89" t="s">
        <v>46</v>
      </c>
      <c r="AJ180" s="90" t="s">
        <v>1564</v>
      </c>
      <c r="AK180" s="90" t="s">
        <v>1564</v>
      </c>
      <c r="AL180" s="90" t="s">
        <v>1564</v>
      </c>
      <c r="AM180" s="90" t="s">
        <v>1564</v>
      </c>
      <c r="AN180" s="90" t="s">
        <v>1564</v>
      </c>
      <c r="AO180" s="90" t="s">
        <v>1564</v>
      </c>
      <c r="AP180" s="90" t="s">
        <v>1564</v>
      </c>
      <c r="AQ180" s="90" t="s">
        <v>1564</v>
      </c>
      <c r="AR180" s="90" t="s">
        <v>1564</v>
      </c>
      <c r="AS180" s="90" t="s">
        <v>1564</v>
      </c>
      <c r="AT180" s="91" t="s">
        <v>1564</v>
      </c>
      <c r="AU180" s="91" t="s">
        <v>1564</v>
      </c>
      <c r="AV180" s="176" t="str">
        <f t="shared" si="8"/>
        <v>Resultado</v>
      </c>
    </row>
    <row r="181" spans="1:48" ht="39.75" customHeight="1" x14ac:dyDescent="0.25">
      <c r="A181" s="86">
        <v>6</v>
      </c>
      <c r="B181" s="86" t="s">
        <v>1592</v>
      </c>
      <c r="D181" s="86" t="s">
        <v>425</v>
      </c>
      <c r="E181" s="86" t="s">
        <v>426</v>
      </c>
      <c r="F181" s="86" t="s">
        <v>512</v>
      </c>
      <c r="G181" s="86" t="s">
        <v>512</v>
      </c>
      <c r="I181" s="86" t="s">
        <v>1716</v>
      </c>
      <c r="J181" s="86" t="s">
        <v>1592</v>
      </c>
      <c r="L181" s="86" t="s">
        <v>512</v>
      </c>
      <c r="M181" s="86" t="s">
        <v>512</v>
      </c>
      <c r="N181" s="86" t="s">
        <v>512</v>
      </c>
      <c r="O181" s="86" t="s">
        <v>512</v>
      </c>
      <c r="P181" s="176" t="s">
        <v>1878</v>
      </c>
      <c r="Q181" s="86" t="s">
        <v>427</v>
      </c>
      <c r="R181" s="176" t="str">
        <f t="shared" si="12"/>
        <v>Subdirector(a) Mejoramiento Organizacional</v>
      </c>
      <c r="S181" s="87" t="s">
        <v>1878</v>
      </c>
      <c r="T181" s="177" t="s">
        <v>2008</v>
      </c>
      <c r="U181" s="92">
        <v>0.75</v>
      </c>
      <c r="V181" s="136">
        <f>+VLOOKUP(AV181,Hoja1!$P$6:$R$26,3,FALSE)</f>
        <v>3.7499999999999999E-3</v>
      </c>
      <c r="X181" s="89" t="s">
        <v>1564</v>
      </c>
      <c r="Y181" s="89"/>
      <c r="Z181" s="89"/>
      <c r="AA181" s="89"/>
      <c r="AB181" s="89"/>
      <c r="AC181" s="89"/>
      <c r="AD181" s="89"/>
      <c r="AF181" s="89" t="s">
        <v>98</v>
      </c>
      <c r="AG181" s="89" t="s">
        <v>103</v>
      </c>
      <c r="AH181" s="89" t="s">
        <v>1069</v>
      </c>
      <c r="AI181" s="89" t="s">
        <v>48</v>
      </c>
      <c r="AJ181" s="89"/>
      <c r="AK181" s="89"/>
      <c r="AL181" s="89"/>
      <c r="AM181" s="90" t="s">
        <v>1564</v>
      </c>
      <c r="AN181" s="93"/>
      <c r="AO181" s="93"/>
      <c r="AP181" s="93"/>
      <c r="AQ181" s="90" t="s">
        <v>1564</v>
      </c>
      <c r="AR181" s="93"/>
      <c r="AS181" s="93"/>
      <c r="AT181" s="94"/>
      <c r="AU181" s="91" t="s">
        <v>1564</v>
      </c>
      <c r="AV181" s="176" t="str">
        <f t="shared" si="8"/>
        <v>Resultado</v>
      </c>
    </row>
    <row r="182" spans="1:48" ht="39.75" customHeight="1" x14ac:dyDescent="0.25">
      <c r="A182" s="86">
        <v>6</v>
      </c>
      <c r="B182" s="86" t="s">
        <v>1592</v>
      </c>
      <c r="D182" s="86" t="s">
        <v>441</v>
      </c>
      <c r="E182" s="86" t="s">
        <v>442</v>
      </c>
      <c r="F182" s="86" t="s">
        <v>512</v>
      </c>
      <c r="G182" s="86" t="s">
        <v>512</v>
      </c>
      <c r="I182" s="86" t="s">
        <v>1716</v>
      </c>
      <c r="J182" s="86" t="s">
        <v>1592</v>
      </c>
      <c r="L182" s="86" t="s">
        <v>501</v>
      </c>
      <c r="M182" s="86" t="s">
        <v>515</v>
      </c>
      <c r="N182" s="86" t="s">
        <v>503</v>
      </c>
      <c r="O182" s="86" t="s">
        <v>504</v>
      </c>
      <c r="P182" s="176" t="s">
        <v>444</v>
      </c>
      <c r="Q182" s="86" t="s">
        <v>443</v>
      </c>
      <c r="R182" s="176" t="str">
        <f t="shared" ref="R182:R188" si="13">+"Director(a) "&amp;MID(Q182,14,100)</f>
        <v>Director(a)  Sistema Nacional de Bienestar Familiar</v>
      </c>
      <c r="S182" s="87" t="s">
        <v>444</v>
      </c>
      <c r="T182" s="177" t="s">
        <v>445</v>
      </c>
      <c r="U182" s="88">
        <v>1134</v>
      </c>
      <c r="V182" s="136">
        <f>+VLOOKUP(AV182,Hoja1!$P$6:$R$26,3,FALSE)</f>
        <v>9.3023255813953487E-3</v>
      </c>
      <c r="X182" s="89" t="s">
        <v>1564</v>
      </c>
      <c r="Y182" s="89" t="s">
        <v>1564</v>
      </c>
      <c r="Z182" s="89"/>
      <c r="AA182" s="89" t="s">
        <v>1564</v>
      </c>
      <c r="AB182" s="89" t="s">
        <v>1564</v>
      </c>
      <c r="AC182" s="89"/>
      <c r="AD182" s="89"/>
      <c r="AF182" s="89" t="s">
        <v>98</v>
      </c>
      <c r="AG182" s="89" t="s">
        <v>103</v>
      </c>
      <c r="AH182" s="89" t="s">
        <v>71</v>
      </c>
      <c r="AI182" s="89" t="s">
        <v>50</v>
      </c>
      <c r="AJ182" s="89"/>
      <c r="AK182" s="89"/>
      <c r="AL182" s="89"/>
      <c r="AM182" s="89"/>
      <c r="AN182" s="89"/>
      <c r="AO182" s="90" t="s">
        <v>1564</v>
      </c>
      <c r="AP182" s="93"/>
      <c r="AQ182" s="93"/>
      <c r="AR182" s="90" t="s">
        <v>1564</v>
      </c>
      <c r="AS182" s="93"/>
      <c r="AT182" s="94"/>
      <c r="AU182" s="91" t="s">
        <v>1564</v>
      </c>
      <c r="AV182" s="176" t="str">
        <f t="shared" si="8"/>
        <v>Resultadox</v>
      </c>
    </row>
    <row r="183" spans="1:48" ht="39.75" customHeight="1" x14ac:dyDescent="0.25">
      <c r="A183" s="86">
        <v>6</v>
      </c>
      <c r="B183" s="86" t="s">
        <v>1592</v>
      </c>
      <c r="D183" s="86" t="s">
        <v>441</v>
      </c>
      <c r="E183" s="86" t="s">
        <v>442</v>
      </c>
      <c r="F183" s="86" t="s">
        <v>512</v>
      </c>
      <c r="G183" s="86" t="s">
        <v>512</v>
      </c>
      <c r="I183" s="86" t="s">
        <v>1716</v>
      </c>
      <c r="J183" s="86" t="s">
        <v>1592</v>
      </c>
      <c r="L183" s="86" t="s">
        <v>501</v>
      </c>
      <c r="M183" s="86" t="s">
        <v>515</v>
      </c>
      <c r="N183" s="86" t="s">
        <v>503</v>
      </c>
      <c r="O183" s="86" t="s">
        <v>504</v>
      </c>
      <c r="P183" s="176" t="s">
        <v>446</v>
      </c>
      <c r="Q183" s="86" t="s">
        <v>443</v>
      </c>
      <c r="R183" s="176" t="str">
        <f t="shared" si="13"/>
        <v>Director(a)  Sistema Nacional de Bienestar Familiar</v>
      </c>
      <c r="S183" s="87" t="s">
        <v>446</v>
      </c>
      <c r="T183" s="177" t="s">
        <v>2168</v>
      </c>
      <c r="U183" s="88">
        <v>150</v>
      </c>
      <c r="V183" s="136">
        <f>+VLOOKUP(AV183,Hoja1!$P$6:$R$26,3,FALSE)</f>
        <v>9.3023255813953487E-3</v>
      </c>
      <c r="X183" s="89" t="s">
        <v>1564</v>
      </c>
      <c r="Y183" s="89" t="s">
        <v>1564</v>
      </c>
      <c r="Z183" s="89"/>
      <c r="AA183" s="89" t="s">
        <v>1564</v>
      </c>
      <c r="AB183" s="89" t="s">
        <v>1564</v>
      </c>
      <c r="AC183" s="89"/>
      <c r="AD183" s="89"/>
      <c r="AF183" s="89" t="s">
        <v>98</v>
      </c>
      <c r="AG183" s="89" t="s">
        <v>103</v>
      </c>
      <c r="AH183" s="89" t="s">
        <v>513</v>
      </c>
      <c r="AI183" s="89" t="s">
        <v>53</v>
      </c>
      <c r="AJ183" s="89"/>
      <c r="AK183" s="89"/>
      <c r="AL183" s="89"/>
      <c r="AM183" s="89"/>
      <c r="AN183" s="89"/>
      <c r="AO183" s="89"/>
      <c r="AP183" s="90" t="s">
        <v>1564</v>
      </c>
      <c r="AQ183" s="93"/>
      <c r="AR183" s="90" t="s">
        <v>1564</v>
      </c>
      <c r="AS183" s="93"/>
      <c r="AT183" s="90" t="s">
        <v>1564</v>
      </c>
      <c r="AU183" s="94"/>
      <c r="AV183" s="176" t="str">
        <f t="shared" si="8"/>
        <v>Resultadox</v>
      </c>
    </row>
    <row r="184" spans="1:48" ht="39.75" customHeight="1" x14ac:dyDescent="0.25">
      <c r="A184" s="86">
        <v>6</v>
      </c>
      <c r="B184" s="86" t="s">
        <v>1592</v>
      </c>
      <c r="D184" s="86" t="s">
        <v>441</v>
      </c>
      <c r="E184" s="86" t="s">
        <v>442</v>
      </c>
      <c r="F184" s="86" t="s">
        <v>512</v>
      </c>
      <c r="G184" s="86" t="s">
        <v>512</v>
      </c>
      <c r="I184" s="86" t="s">
        <v>1716</v>
      </c>
      <c r="J184" s="86" t="s">
        <v>1592</v>
      </c>
      <c r="L184" s="86" t="s">
        <v>1250</v>
      </c>
      <c r="M184" s="86" t="s">
        <v>1251</v>
      </c>
      <c r="N184" s="86" t="s">
        <v>1632</v>
      </c>
      <c r="O184" s="86" t="s">
        <v>1620</v>
      </c>
      <c r="P184" s="176" t="s">
        <v>447</v>
      </c>
      <c r="Q184" s="86" t="s">
        <v>443</v>
      </c>
      <c r="R184" s="176" t="str">
        <f t="shared" si="13"/>
        <v>Director(a)  Sistema Nacional de Bienestar Familiar</v>
      </c>
      <c r="S184" s="87" t="s">
        <v>447</v>
      </c>
      <c r="T184" s="177" t="s">
        <v>448</v>
      </c>
      <c r="U184" s="88">
        <v>1134</v>
      </c>
      <c r="V184" s="136">
        <f>+VLOOKUP(AV184,Hoja1!$P$6:$R$26,3,FALSE)</f>
        <v>9.3023255813953487E-3</v>
      </c>
      <c r="X184" s="89" t="s">
        <v>1564</v>
      </c>
      <c r="Y184" s="89" t="s">
        <v>1564</v>
      </c>
      <c r="Z184" s="89"/>
      <c r="AA184" s="89" t="s">
        <v>1564</v>
      </c>
      <c r="AB184" s="89" t="s">
        <v>1564</v>
      </c>
      <c r="AC184" s="89"/>
      <c r="AD184" s="89"/>
      <c r="AF184" s="89" t="s">
        <v>98</v>
      </c>
      <c r="AG184" s="89" t="s">
        <v>103</v>
      </c>
      <c r="AH184" s="89" t="s">
        <v>71</v>
      </c>
      <c r="AI184" s="89" t="s">
        <v>50</v>
      </c>
      <c r="AJ184" s="89"/>
      <c r="AK184" s="89"/>
      <c r="AL184" s="89"/>
      <c r="AM184" s="89"/>
      <c r="AN184" s="89"/>
      <c r="AO184" s="90" t="s">
        <v>1564</v>
      </c>
      <c r="AP184" s="93"/>
      <c r="AQ184" s="93"/>
      <c r="AR184" s="90" t="s">
        <v>1564</v>
      </c>
      <c r="AS184" s="93"/>
      <c r="AT184" s="94"/>
      <c r="AU184" s="91" t="s">
        <v>1564</v>
      </c>
      <c r="AV184" s="176" t="str">
        <f t="shared" si="8"/>
        <v>Resultadox</v>
      </c>
    </row>
    <row r="185" spans="1:48" ht="39.75" customHeight="1" x14ac:dyDescent="0.25">
      <c r="A185" s="86">
        <v>6</v>
      </c>
      <c r="B185" s="86" t="s">
        <v>1592</v>
      </c>
      <c r="D185" s="86" t="s">
        <v>441</v>
      </c>
      <c r="E185" s="86" t="s">
        <v>442</v>
      </c>
      <c r="F185" s="86" t="s">
        <v>512</v>
      </c>
      <c r="G185" s="86" t="s">
        <v>512</v>
      </c>
      <c r="I185" s="86" t="s">
        <v>1716</v>
      </c>
      <c r="J185" s="86" t="s">
        <v>1592</v>
      </c>
      <c r="L185" s="86" t="s">
        <v>501</v>
      </c>
      <c r="M185" s="86" t="s">
        <v>515</v>
      </c>
      <c r="N185" s="86" t="s">
        <v>503</v>
      </c>
      <c r="O185" s="86" t="s">
        <v>504</v>
      </c>
      <c r="P185" s="176" t="s">
        <v>449</v>
      </c>
      <c r="Q185" s="86" t="s">
        <v>443</v>
      </c>
      <c r="R185" s="176" t="str">
        <f t="shared" si="13"/>
        <v>Director(a)  Sistema Nacional de Bienestar Familiar</v>
      </c>
      <c r="S185" s="87" t="s">
        <v>449</v>
      </c>
      <c r="T185" s="177" t="s">
        <v>450</v>
      </c>
      <c r="U185" s="92">
        <v>0.4</v>
      </c>
      <c r="V185" s="136">
        <f>+VLOOKUP(AV185,Hoja1!$P$6:$R$26,3,FALSE)</f>
        <v>9.3023255813953487E-3</v>
      </c>
      <c r="X185" s="89" t="s">
        <v>1564</v>
      </c>
      <c r="Y185" s="89"/>
      <c r="Z185" s="89"/>
      <c r="AA185" s="89" t="s">
        <v>1564</v>
      </c>
      <c r="AB185" s="89" t="s">
        <v>1564</v>
      </c>
      <c r="AC185" s="89"/>
      <c r="AD185" s="89"/>
      <c r="AF185" s="89" t="s">
        <v>98</v>
      </c>
      <c r="AG185" s="89" t="s">
        <v>103</v>
      </c>
      <c r="AH185" s="89" t="s">
        <v>104</v>
      </c>
      <c r="AI185" s="89" t="s">
        <v>50</v>
      </c>
      <c r="AJ185" s="89"/>
      <c r="AK185" s="89"/>
      <c r="AL185" s="89"/>
      <c r="AM185" s="89"/>
      <c r="AN185" s="89"/>
      <c r="AO185" s="90" t="s">
        <v>1564</v>
      </c>
      <c r="AP185" s="93"/>
      <c r="AQ185" s="93"/>
      <c r="AR185" s="93"/>
      <c r="AS185" s="93"/>
      <c r="AT185" s="94"/>
      <c r="AU185" s="91" t="s">
        <v>1564</v>
      </c>
      <c r="AV185" s="176" t="str">
        <f t="shared" si="8"/>
        <v>Resultadox</v>
      </c>
    </row>
    <row r="186" spans="1:48" ht="39.75" customHeight="1" x14ac:dyDescent="0.25">
      <c r="A186" s="86">
        <v>6</v>
      </c>
      <c r="B186" s="86" t="s">
        <v>1592</v>
      </c>
      <c r="D186" s="86" t="s">
        <v>441</v>
      </c>
      <c r="E186" s="86" t="s">
        <v>442</v>
      </c>
      <c r="F186" s="86" t="s">
        <v>512</v>
      </c>
      <c r="G186" s="86" t="s">
        <v>512</v>
      </c>
      <c r="I186" s="86" t="s">
        <v>1716</v>
      </c>
      <c r="J186" s="86" t="s">
        <v>1592</v>
      </c>
      <c r="L186" s="86" t="s">
        <v>501</v>
      </c>
      <c r="M186" s="86" t="s">
        <v>515</v>
      </c>
      <c r="N186" s="86" t="s">
        <v>503</v>
      </c>
      <c r="O186" s="86" t="s">
        <v>504</v>
      </c>
      <c r="P186" s="176" t="s">
        <v>451</v>
      </c>
      <c r="Q186" s="86" t="s">
        <v>443</v>
      </c>
      <c r="R186" s="176" t="str">
        <f t="shared" si="13"/>
        <v>Director(a)  Sistema Nacional de Bienestar Familiar</v>
      </c>
      <c r="S186" s="87" t="s">
        <v>451</v>
      </c>
      <c r="T186" s="177" t="s">
        <v>1885</v>
      </c>
      <c r="U186" s="92">
        <v>1</v>
      </c>
      <c r="V186" s="136">
        <f>+VLOOKUP(AV186,Hoja1!$P$6:$R$26,3,FALSE)</f>
        <v>9.3023255813953487E-3</v>
      </c>
      <c r="X186" s="89" t="s">
        <v>1564</v>
      </c>
      <c r="Y186" s="89"/>
      <c r="Z186" s="89"/>
      <c r="AA186" s="89" t="s">
        <v>1564</v>
      </c>
      <c r="AB186" s="89" t="s">
        <v>1564</v>
      </c>
      <c r="AC186" s="89"/>
      <c r="AD186" s="89"/>
      <c r="AF186" s="89" t="s">
        <v>98</v>
      </c>
      <c r="AG186" s="89" t="s">
        <v>103</v>
      </c>
      <c r="AH186" s="89" t="s">
        <v>104</v>
      </c>
      <c r="AI186" s="89" t="s">
        <v>50</v>
      </c>
      <c r="AJ186" s="89"/>
      <c r="AK186" s="89"/>
      <c r="AL186" s="89"/>
      <c r="AM186" s="89"/>
      <c r="AN186" s="89"/>
      <c r="AO186" s="90" t="s">
        <v>1564</v>
      </c>
      <c r="AP186" s="93"/>
      <c r="AQ186" s="93"/>
      <c r="AR186" s="93"/>
      <c r="AS186" s="93"/>
      <c r="AT186" s="94"/>
      <c r="AU186" s="91" t="s">
        <v>1564</v>
      </c>
      <c r="AV186" s="176" t="str">
        <f t="shared" si="8"/>
        <v>Resultadox</v>
      </c>
    </row>
    <row r="187" spans="1:48" ht="39.75" customHeight="1" x14ac:dyDescent="0.25">
      <c r="A187" s="86">
        <v>6</v>
      </c>
      <c r="B187" s="86" t="s">
        <v>1592</v>
      </c>
      <c r="D187" s="86" t="s">
        <v>441</v>
      </c>
      <c r="E187" s="86" t="s">
        <v>442</v>
      </c>
      <c r="F187" s="86" t="s">
        <v>512</v>
      </c>
      <c r="G187" s="86" t="s">
        <v>512</v>
      </c>
      <c r="I187" s="86" t="s">
        <v>1716</v>
      </c>
      <c r="J187" s="86" t="s">
        <v>1592</v>
      </c>
      <c r="L187" s="86" t="s">
        <v>501</v>
      </c>
      <c r="M187" s="86" t="s">
        <v>515</v>
      </c>
      <c r="N187" s="86" t="s">
        <v>503</v>
      </c>
      <c r="O187" s="86" t="s">
        <v>504</v>
      </c>
      <c r="P187" s="176" t="s">
        <v>452</v>
      </c>
      <c r="Q187" s="86" t="s">
        <v>443</v>
      </c>
      <c r="R187" s="176" t="str">
        <f t="shared" si="13"/>
        <v>Director(a)  Sistema Nacional de Bienestar Familiar</v>
      </c>
      <c r="S187" s="87" t="s">
        <v>452</v>
      </c>
      <c r="T187" s="177" t="s">
        <v>453</v>
      </c>
      <c r="U187" s="88">
        <v>2</v>
      </c>
      <c r="V187" s="136">
        <f>+VLOOKUP(AV187,Hoja1!$P$6:$R$26,3,FALSE)</f>
        <v>9.3023255813953487E-3</v>
      </c>
      <c r="X187" s="89" t="s">
        <v>1564</v>
      </c>
      <c r="Y187" s="89"/>
      <c r="Z187" s="89"/>
      <c r="AA187" s="89" t="s">
        <v>1564</v>
      </c>
      <c r="AB187" s="89" t="s">
        <v>1564</v>
      </c>
      <c r="AC187" s="89"/>
      <c r="AD187" s="89"/>
      <c r="AF187" s="89" t="s">
        <v>98</v>
      </c>
      <c r="AG187" s="89" t="s">
        <v>103</v>
      </c>
      <c r="AH187" s="89" t="s">
        <v>104</v>
      </c>
      <c r="AI187" s="89" t="s">
        <v>50</v>
      </c>
      <c r="AJ187" s="89"/>
      <c r="AK187" s="89"/>
      <c r="AL187" s="89"/>
      <c r="AM187" s="89"/>
      <c r="AN187" s="89"/>
      <c r="AO187" s="90" t="s">
        <v>1564</v>
      </c>
      <c r="AP187" s="93"/>
      <c r="AQ187" s="93"/>
      <c r="AR187" s="93"/>
      <c r="AS187" s="93"/>
      <c r="AT187" s="94"/>
      <c r="AU187" s="91" t="s">
        <v>1564</v>
      </c>
      <c r="AV187" s="176" t="str">
        <f t="shared" si="8"/>
        <v>Resultadox</v>
      </c>
    </row>
    <row r="188" spans="1:48" ht="39.75" customHeight="1" x14ac:dyDescent="0.25">
      <c r="A188" s="86">
        <v>6</v>
      </c>
      <c r="B188" s="86" t="s">
        <v>1592</v>
      </c>
      <c r="D188" s="86" t="s">
        <v>441</v>
      </c>
      <c r="E188" s="86" t="s">
        <v>442</v>
      </c>
      <c r="F188" s="86" t="s">
        <v>512</v>
      </c>
      <c r="G188" s="86" t="s">
        <v>512</v>
      </c>
      <c r="I188" s="86" t="s">
        <v>1716</v>
      </c>
      <c r="J188" s="86" t="s">
        <v>1592</v>
      </c>
      <c r="L188" s="86" t="s">
        <v>512</v>
      </c>
      <c r="M188" s="86" t="s">
        <v>512</v>
      </c>
      <c r="N188" s="86" t="s">
        <v>512</v>
      </c>
      <c r="O188" s="86" t="s">
        <v>512</v>
      </c>
      <c r="P188" s="176" t="s">
        <v>1365</v>
      </c>
      <c r="Q188" s="86" t="s">
        <v>443</v>
      </c>
      <c r="R188" s="176" t="str">
        <f t="shared" si="13"/>
        <v>Director(a)  Sistema Nacional de Bienestar Familiar</v>
      </c>
      <c r="S188" s="87" t="s">
        <v>1365</v>
      </c>
      <c r="T188" s="177" t="s">
        <v>1355</v>
      </c>
      <c r="U188" s="92">
        <v>1</v>
      </c>
      <c r="V188" s="136">
        <f>+VLOOKUP(AV188,Hoja1!$P$6:$R$26,3,FALSE)</f>
        <v>1.276595744680851E-3</v>
      </c>
      <c r="X188" s="89" t="s">
        <v>1564</v>
      </c>
      <c r="Y188" s="89"/>
      <c r="Z188" s="89"/>
      <c r="AA188" s="89"/>
      <c r="AB188" s="89"/>
      <c r="AC188" s="89"/>
      <c r="AD188" s="89"/>
      <c r="AF188" s="89" t="s">
        <v>683</v>
      </c>
      <c r="AG188" s="89" t="s">
        <v>533</v>
      </c>
      <c r="AH188" s="89" t="s">
        <v>84</v>
      </c>
      <c r="AI188" s="89" t="s">
        <v>47</v>
      </c>
      <c r="AJ188" s="89"/>
      <c r="AK188" s="89"/>
      <c r="AL188" s="90" t="s">
        <v>1564</v>
      </c>
      <c r="AM188" s="90" t="s">
        <v>1564</v>
      </c>
      <c r="AN188" s="90" t="s">
        <v>1564</v>
      </c>
      <c r="AO188" s="90" t="s">
        <v>1564</v>
      </c>
      <c r="AP188" s="90" t="s">
        <v>1564</v>
      </c>
      <c r="AQ188" s="90" t="s">
        <v>1564</v>
      </c>
      <c r="AR188" s="90" t="s">
        <v>1564</v>
      </c>
      <c r="AS188" s="90" t="s">
        <v>1564</v>
      </c>
      <c r="AT188" s="91" t="s">
        <v>1564</v>
      </c>
      <c r="AU188" s="91" t="s">
        <v>1564</v>
      </c>
      <c r="AV188" s="176" t="str">
        <f t="shared" si="8"/>
        <v>Gestión</v>
      </c>
    </row>
    <row r="189" spans="1:48" ht="39.75" customHeight="1" x14ac:dyDescent="0.25">
      <c r="A189" s="86">
        <v>6</v>
      </c>
      <c r="B189" s="86" t="s">
        <v>1592</v>
      </c>
      <c r="D189" s="86" t="s">
        <v>454</v>
      </c>
      <c r="E189" s="86" t="s">
        <v>455</v>
      </c>
      <c r="F189" s="86" t="s">
        <v>1615</v>
      </c>
      <c r="G189" s="86" t="s">
        <v>1616</v>
      </c>
      <c r="I189" s="86" t="s">
        <v>1716</v>
      </c>
      <c r="J189" s="86" t="s">
        <v>1592</v>
      </c>
      <c r="L189" s="86" t="s">
        <v>501</v>
      </c>
      <c r="M189" s="86" t="s">
        <v>515</v>
      </c>
      <c r="N189" s="86" t="s">
        <v>503</v>
      </c>
      <c r="O189" s="86" t="s">
        <v>504</v>
      </c>
      <c r="P189" s="176" t="s">
        <v>457</v>
      </c>
      <c r="Q189" s="86" t="s">
        <v>456</v>
      </c>
      <c r="R189" s="176" t="str">
        <f t="shared" ref="R189:R193" si="14">+"Subdirector(a) "&amp;MID(Q189,17,100)</f>
        <v xml:space="preserve">Subdirector(a) Monitoreo y Evaluación </v>
      </c>
      <c r="S189" s="87" t="s">
        <v>457</v>
      </c>
      <c r="T189" s="177" t="s">
        <v>458</v>
      </c>
      <c r="U189" s="88">
        <v>9</v>
      </c>
      <c r="V189" s="136">
        <f>+VLOOKUP(AV189,Hoja1!$P$6:$R$26,3,FALSE)</f>
        <v>9.3023255813953487E-3</v>
      </c>
      <c r="X189" s="89" t="s">
        <v>1564</v>
      </c>
      <c r="Y189" s="89"/>
      <c r="Z189" s="89"/>
      <c r="AA189" s="89" t="s">
        <v>1564</v>
      </c>
      <c r="AB189" s="89" t="s">
        <v>1564</v>
      </c>
      <c r="AC189" s="89"/>
      <c r="AD189" s="89"/>
      <c r="AF189" s="89" t="s">
        <v>98</v>
      </c>
      <c r="AG189" s="89" t="s">
        <v>103</v>
      </c>
      <c r="AH189" s="89" t="s">
        <v>1249</v>
      </c>
      <c r="AI189" s="89" t="s">
        <v>58</v>
      </c>
      <c r="AJ189" s="89"/>
      <c r="AK189" s="89"/>
      <c r="AL189" s="89"/>
      <c r="AM189" s="89"/>
      <c r="AN189" s="89"/>
      <c r="AO189" s="89"/>
      <c r="AP189" s="89"/>
      <c r="AQ189" s="89"/>
      <c r="AR189" s="89"/>
      <c r="AS189" s="89"/>
      <c r="AT189" s="95"/>
      <c r="AU189" s="91" t="s">
        <v>1564</v>
      </c>
      <c r="AV189" s="176" t="str">
        <f t="shared" si="8"/>
        <v>Resultadox</v>
      </c>
    </row>
    <row r="190" spans="1:48" ht="39.75" customHeight="1" x14ac:dyDescent="0.25">
      <c r="A190" s="86">
        <v>6</v>
      </c>
      <c r="B190" s="86" t="s">
        <v>1592</v>
      </c>
      <c r="D190" s="86" t="s">
        <v>454</v>
      </c>
      <c r="E190" s="86" t="s">
        <v>455</v>
      </c>
      <c r="F190" s="86" t="s">
        <v>1615</v>
      </c>
      <c r="G190" s="86" t="s">
        <v>1616</v>
      </c>
      <c r="I190" s="86" t="s">
        <v>1716</v>
      </c>
      <c r="J190" s="86" t="s">
        <v>1592</v>
      </c>
      <c r="L190" s="86" t="s">
        <v>501</v>
      </c>
      <c r="M190" s="86" t="s">
        <v>515</v>
      </c>
      <c r="N190" s="86" t="s">
        <v>503</v>
      </c>
      <c r="O190" s="86" t="s">
        <v>504</v>
      </c>
      <c r="P190" s="176" t="s">
        <v>459</v>
      </c>
      <c r="Q190" s="86" t="s">
        <v>456</v>
      </c>
      <c r="R190" s="176" t="str">
        <f t="shared" si="14"/>
        <v xml:space="preserve">Subdirector(a) Monitoreo y Evaluación </v>
      </c>
      <c r="S190" s="87" t="s">
        <v>459</v>
      </c>
      <c r="T190" s="177" t="s">
        <v>460</v>
      </c>
      <c r="U190" s="92">
        <v>0.5</v>
      </c>
      <c r="V190" s="136">
        <f>+VLOOKUP(AV190,Hoja1!$P$6:$R$26,3,FALSE)</f>
        <v>9.3023255813953487E-3</v>
      </c>
      <c r="X190" s="89" t="s">
        <v>1564</v>
      </c>
      <c r="Y190" s="89"/>
      <c r="Z190" s="89"/>
      <c r="AA190" s="89" t="s">
        <v>1564</v>
      </c>
      <c r="AB190" s="89" t="s">
        <v>1564</v>
      </c>
      <c r="AC190" s="89"/>
      <c r="AD190" s="89"/>
      <c r="AF190" s="89" t="s">
        <v>683</v>
      </c>
      <c r="AG190" s="89" t="s">
        <v>103</v>
      </c>
      <c r="AH190" s="89" t="s">
        <v>1069</v>
      </c>
      <c r="AI190" s="89" t="s">
        <v>48</v>
      </c>
      <c r="AJ190" s="89"/>
      <c r="AK190" s="89"/>
      <c r="AL190" s="89"/>
      <c r="AM190" s="90" t="s">
        <v>1564</v>
      </c>
      <c r="AN190" s="93"/>
      <c r="AO190" s="93"/>
      <c r="AP190" s="93"/>
      <c r="AQ190" s="90" t="s">
        <v>1564</v>
      </c>
      <c r="AR190" s="93"/>
      <c r="AS190" s="93"/>
      <c r="AT190" s="94"/>
      <c r="AU190" s="91" t="s">
        <v>1564</v>
      </c>
      <c r="AV190" s="176" t="str">
        <f t="shared" si="8"/>
        <v>Resultadox</v>
      </c>
    </row>
    <row r="191" spans="1:48" ht="39.75" customHeight="1" x14ac:dyDescent="0.25">
      <c r="A191" s="86">
        <v>6</v>
      </c>
      <c r="B191" s="86" t="s">
        <v>1592</v>
      </c>
      <c r="D191" s="86" t="s">
        <v>454</v>
      </c>
      <c r="E191" s="86" t="s">
        <v>455</v>
      </c>
      <c r="F191" s="86" t="s">
        <v>1615</v>
      </c>
      <c r="G191" s="86" t="s">
        <v>1616</v>
      </c>
      <c r="I191" s="86" t="s">
        <v>1716</v>
      </c>
      <c r="J191" s="86" t="s">
        <v>1592</v>
      </c>
      <c r="L191" s="86" t="s">
        <v>1250</v>
      </c>
      <c r="M191" s="86" t="s">
        <v>1251</v>
      </c>
      <c r="N191" s="86" t="s">
        <v>1518</v>
      </c>
      <c r="O191" s="86" t="s">
        <v>1517</v>
      </c>
      <c r="P191" s="176" t="s">
        <v>461</v>
      </c>
      <c r="Q191" s="86" t="s">
        <v>456</v>
      </c>
      <c r="R191" s="176" t="str">
        <f t="shared" si="14"/>
        <v xml:space="preserve">Subdirector(a) Monitoreo y Evaluación </v>
      </c>
      <c r="S191" s="87" t="s">
        <v>461</v>
      </c>
      <c r="T191" s="177" t="s">
        <v>462</v>
      </c>
      <c r="U191" s="92">
        <v>1</v>
      </c>
      <c r="V191" s="136">
        <f>+VLOOKUP(AV191,Hoja1!$P$6:$R$26,3,FALSE)</f>
        <v>9.3023255813953487E-3</v>
      </c>
      <c r="X191" s="89" t="s">
        <v>1564</v>
      </c>
      <c r="Y191" s="89" t="s">
        <v>1564</v>
      </c>
      <c r="Z191" s="89" t="s">
        <v>1564</v>
      </c>
      <c r="AA191" s="89" t="s">
        <v>1564</v>
      </c>
      <c r="AB191" s="89"/>
      <c r="AC191" s="89"/>
      <c r="AD191" s="89"/>
      <c r="AF191" s="89" t="s">
        <v>683</v>
      </c>
      <c r="AG191" s="89" t="s">
        <v>103</v>
      </c>
      <c r="AH191" s="89" t="s">
        <v>71</v>
      </c>
      <c r="AI191" s="89" t="s">
        <v>50</v>
      </c>
      <c r="AJ191" s="89"/>
      <c r="AK191" s="89"/>
      <c r="AL191" s="89"/>
      <c r="AM191" s="89"/>
      <c r="AN191" s="89"/>
      <c r="AO191" s="90" t="s">
        <v>1564</v>
      </c>
      <c r="AP191" s="93"/>
      <c r="AQ191" s="93"/>
      <c r="AR191" s="90" t="s">
        <v>1564</v>
      </c>
      <c r="AS191" s="93"/>
      <c r="AT191" s="94"/>
      <c r="AU191" s="91" t="s">
        <v>1564</v>
      </c>
      <c r="AV191" s="176" t="str">
        <f t="shared" si="8"/>
        <v>Resultadox</v>
      </c>
    </row>
    <row r="192" spans="1:48" ht="39.75" customHeight="1" x14ac:dyDescent="0.25">
      <c r="A192" s="86">
        <v>6</v>
      </c>
      <c r="B192" s="86" t="s">
        <v>1592</v>
      </c>
      <c r="D192" s="86" t="s">
        <v>454</v>
      </c>
      <c r="E192" s="86" t="s">
        <v>455</v>
      </c>
      <c r="F192" s="86" t="s">
        <v>1615</v>
      </c>
      <c r="G192" s="86" t="s">
        <v>1616</v>
      </c>
      <c r="I192" s="86" t="s">
        <v>1716</v>
      </c>
      <c r="J192" s="86" t="s">
        <v>1592</v>
      </c>
      <c r="L192" s="86" t="s">
        <v>512</v>
      </c>
      <c r="M192" s="86" t="s">
        <v>512</v>
      </c>
      <c r="N192" s="86" t="s">
        <v>512</v>
      </c>
      <c r="O192" s="86" t="s">
        <v>512</v>
      </c>
      <c r="P192" s="176" t="s">
        <v>463</v>
      </c>
      <c r="Q192" s="86" t="s">
        <v>456</v>
      </c>
      <c r="R192" s="176" t="str">
        <f t="shared" si="14"/>
        <v xml:space="preserve">Subdirector(a) Monitoreo y Evaluación </v>
      </c>
      <c r="S192" s="87" t="s">
        <v>463</v>
      </c>
      <c r="T192" s="177" t="s">
        <v>464</v>
      </c>
      <c r="U192" s="92">
        <v>1</v>
      </c>
      <c r="V192" s="136">
        <f>+VLOOKUP(AV192,Hoja1!$P$6:$R$26,3,FALSE)</f>
        <v>3.7499999999999999E-3</v>
      </c>
      <c r="X192" s="89" t="s">
        <v>1564</v>
      </c>
      <c r="Y192" s="89"/>
      <c r="Z192" s="89"/>
      <c r="AA192" s="89"/>
      <c r="AB192" s="89"/>
      <c r="AC192" s="89"/>
      <c r="AD192" s="89"/>
      <c r="AF192" s="89" t="s">
        <v>683</v>
      </c>
      <c r="AG192" s="89" t="s">
        <v>103</v>
      </c>
      <c r="AH192" s="89" t="s">
        <v>71</v>
      </c>
      <c r="AI192" s="89" t="s">
        <v>47</v>
      </c>
      <c r="AJ192" s="89"/>
      <c r="AK192" s="89"/>
      <c r="AL192" s="90" t="s">
        <v>1564</v>
      </c>
      <c r="AM192" s="93"/>
      <c r="AN192" s="93"/>
      <c r="AO192" s="90" t="s">
        <v>1564</v>
      </c>
      <c r="AP192" s="93"/>
      <c r="AQ192" s="93"/>
      <c r="AR192" s="90" t="s">
        <v>1564</v>
      </c>
      <c r="AS192" s="93"/>
      <c r="AT192" s="94"/>
      <c r="AU192" s="91" t="s">
        <v>1564</v>
      </c>
      <c r="AV192" s="176" t="str">
        <f t="shared" si="8"/>
        <v>Resultado</v>
      </c>
    </row>
    <row r="193" spans="1:48" ht="39.75" customHeight="1" x14ac:dyDescent="0.25">
      <c r="A193" s="86">
        <v>6</v>
      </c>
      <c r="B193" s="86" t="s">
        <v>1592</v>
      </c>
      <c r="D193" s="86" t="s">
        <v>454</v>
      </c>
      <c r="E193" s="86" t="s">
        <v>455</v>
      </c>
      <c r="F193" s="86" t="s">
        <v>1615</v>
      </c>
      <c r="G193" s="86" t="s">
        <v>1616</v>
      </c>
      <c r="I193" s="86" t="s">
        <v>1716</v>
      </c>
      <c r="J193" s="86" t="s">
        <v>1592</v>
      </c>
      <c r="L193" s="86" t="s">
        <v>512</v>
      </c>
      <c r="M193" s="86" t="s">
        <v>512</v>
      </c>
      <c r="N193" s="86" t="s">
        <v>512</v>
      </c>
      <c r="O193" s="86" t="s">
        <v>512</v>
      </c>
      <c r="P193" s="176" t="s">
        <v>465</v>
      </c>
      <c r="Q193" s="86" t="s">
        <v>456</v>
      </c>
      <c r="R193" s="176" t="str">
        <f t="shared" si="14"/>
        <v xml:space="preserve">Subdirector(a) Monitoreo y Evaluación </v>
      </c>
      <c r="S193" s="87" t="s">
        <v>465</v>
      </c>
      <c r="T193" s="177" t="s">
        <v>466</v>
      </c>
      <c r="U193" s="92">
        <v>1</v>
      </c>
      <c r="V193" s="136">
        <f>+VLOOKUP(AV193,Hoja1!$P$6:$R$26,3,FALSE)</f>
        <v>1.276595744680851E-3</v>
      </c>
      <c r="X193" s="89" t="s">
        <v>1564</v>
      </c>
      <c r="Y193" s="89"/>
      <c r="Z193" s="89"/>
      <c r="AA193" s="89"/>
      <c r="AB193" s="89"/>
      <c r="AC193" s="89"/>
      <c r="AD193" s="89"/>
      <c r="AF193" s="89" t="s">
        <v>98</v>
      </c>
      <c r="AG193" s="89" t="s">
        <v>533</v>
      </c>
      <c r="AH193" s="89" t="s">
        <v>71</v>
      </c>
      <c r="AI193" s="89" t="s">
        <v>49</v>
      </c>
      <c r="AJ193" s="89"/>
      <c r="AK193" s="89"/>
      <c r="AL193" s="89"/>
      <c r="AM193" s="89"/>
      <c r="AN193" s="90" t="s">
        <v>1564</v>
      </c>
      <c r="AO193" s="93"/>
      <c r="AP193" s="93"/>
      <c r="AQ193" s="90" t="s">
        <v>1564</v>
      </c>
      <c r="AR193" s="93"/>
      <c r="AS193" s="93"/>
      <c r="AT193" s="91" t="s">
        <v>1564</v>
      </c>
      <c r="AU193" s="95"/>
      <c r="AV193" s="176" t="str">
        <f t="shared" si="8"/>
        <v>Gestión</v>
      </c>
    </row>
    <row r="194" spans="1:48" ht="39.75" customHeight="1" x14ac:dyDescent="0.25">
      <c r="A194" s="86">
        <v>6</v>
      </c>
      <c r="B194" s="86" t="s">
        <v>1592</v>
      </c>
      <c r="D194" s="86" t="s">
        <v>454</v>
      </c>
      <c r="E194" s="86" t="s">
        <v>455</v>
      </c>
      <c r="F194" s="86" t="s">
        <v>1617</v>
      </c>
      <c r="G194" s="86" t="s">
        <v>1618</v>
      </c>
      <c r="I194" s="86" t="s">
        <v>1716</v>
      </c>
      <c r="J194" s="86" t="s">
        <v>1592</v>
      </c>
      <c r="L194" s="86" t="s">
        <v>501</v>
      </c>
      <c r="M194" s="86" t="s">
        <v>515</v>
      </c>
      <c r="N194" s="86" t="s">
        <v>503</v>
      </c>
      <c r="O194" s="86" t="s">
        <v>504</v>
      </c>
      <c r="P194" s="176" t="s">
        <v>468</v>
      </c>
      <c r="Q194" s="86" t="s">
        <v>467</v>
      </c>
      <c r="R194" s="176" t="str">
        <f t="shared" ref="R194:R201" si="15">+"Jefe "&amp;Q194</f>
        <v>Jefe Oficina de Control Interno</v>
      </c>
      <c r="S194" s="87" t="s">
        <v>468</v>
      </c>
      <c r="T194" s="177" t="s">
        <v>469</v>
      </c>
      <c r="U194" s="92">
        <v>1</v>
      </c>
      <c r="V194" s="136">
        <f>+VLOOKUP(AV194,Hoja1!$P$6:$R$26,3,FALSE)</f>
        <v>9.3023255813953487E-3</v>
      </c>
      <c r="X194" s="89" t="s">
        <v>1564</v>
      </c>
      <c r="Y194" s="89"/>
      <c r="Z194" s="89"/>
      <c r="AA194" s="89" t="s">
        <v>1564</v>
      </c>
      <c r="AB194" s="89" t="s">
        <v>1564</v>
      </c>
      <c r="AC194" s="89"/>
      <c r="AD194" s="89"/>
      <c r="AF194" s="89" t="s">
        <v>98</v>
      </c>
      <c r="AG194" s="89" t="s">
        <v>103</v>
      </c>
      <c r="AH194" s="89" t="s">
        <v>71</v>
      </c>
      <c r="AI194" s="89" t="s">
        <v>47</v>
      </c>
      <c r="AJ194" s="89"/>
      <c r="AK194" s="89"/>
      <c r="AL194" s="90" t="s">
        <v>1564</v>
      </c>
      <c r="AM194" s="93"/>
      <c r="AN194" s="93"/>
      <c r="AO194" s="90" t="s">
        <v>1564</v>
      </c>
      <c r="AP194" s="93"/>
      <c r="AQ194" s="93"/>
      <c r="AR194" s="90" t="s">
        <v>1564</v>
      </c>
      <c r="AS194" s="93"/>
      <c r="AT194" s="94"/>
      <c r="AU194" s="91" t="s">
        <v>1564</v>
      </c>
      <c r="AV194" s="176" t="str">
        <f t="shared" si="8"/>
        <v>Resultadox</v>
      </c>
    </row>
    <row r="195" spans="1:48" ht="39.75" customHeight="1" x14ac:dyDescent="0.25">
      <c r="A195" s="86">
        <v>6</v>
      </c>
      <c r="B195" s="86" t="s">
        <v>1592</v>
      </c>
      <c r="D195" s="86" t="s">
        <v>454</v>
      </c>
      <c r="E195" s="86" t="s">
        <v>455</v>
      </c>
      <c r="F195" s="86" t="s">
        <v>1617</v>
      </c>
      <c r="G195" s="86" t="s">
        <v>1618</v>
      </c>
      <c r="I195" s="86" t="s">
        <v>1716</v>
      </c>
      <c r="J195" s="86" t="s">
        <v>1592</v>
      </c>
      <c r="L195" s="86" t="s">
        <v>501</v>
      </c>
      <c r="M195" s="86" t="s">
        <v>515</v>
      </c>
      <c r="N195" s="86" t="s">
        <v>503</v>
      </c>
      <c r="O195" s="86" t="s">
        <v>504</v>
      </c>
      <c r="P195" s="176" t="s">
        <v>470</v>
      </c>
      <c r="Q195" s="86" t="s">
        <v>467</v>
      </c>
      <c r="R195" s="176" t="str">
        <f t="shared" si="15"/>
        <v>Jefe Oficina de Control Interno</v>
      </c>
      <c r="S195" s="87" t="s">
        <v>470</v>
      </c>
      <c r="T195" s="177" t="s">
        <v>471</v>
      </c>
      <c r="U195" s="92">
        <v>1</v>
      </c>
      <c r="V195" s="136">
        <f>+VLOOKUP(AV195,Hoja1!$P$6:$R$26,3,FALSE)</f>
        <v>9.3023255813953487E-3</v>
      </c>
      <c r="X195" s="89" t="s">
        <v>1564</v>
      </c>
      <c r="Y195" s="89"/>
      <c r="Z195" s="89"/>
      <c r="AA195" s="89" t="s">
        <v>1564</v>
      </c>
      <c r="AB195" s="89" t="s">
        <v>1564</v>
      </c>
      <c r="AC195" s="89"/>
      <c r="AD195" s="89"/>
      <c r="AF195" s="89" t="s">
        <v>98</v>
      </c>
      <c r="AG195" s="89" t="s">
        <v>103</v>
      </c>
      <c r="AH195" s="89" t="s">
        <v>71</v>
      </c>
      <c r="AI195" s="89" t="s">
        <v>55</v>
      </c>
      <c r="AJ195" s="89"/>
      <c r="AK195" s="89"/>
      <c r="AL195" s="89"/>
      <c r="AM195" s="89"/>
      <c r="AN195" s="89"/>
      <c r="AO195" s="89"/>
      <c r="AP195" s="89"/>
      <c r="AQ195" s="89"/>
      <c r="AR195" s="90" t="s">
        <v>1564</v>
      </c>
      <c r="AS195" s="93"/>
      <c r="AT195" s="94"/>
      <c r="AU195" s="91" t="s">
        <v>1564</v>
      </c>
      <c r="AV195" s="176" t="str">
        <f t="shared" si="8"/>
        <v>Resultadox</v>
      </c>
    </row>
    <row r="196" spans="1:48" ht="39.75" customHeight="1" x14ac:dyDescent="0.25">
      <c r="A196" s="86">
        <v>6</v>
      </c>
      <c r="B196" s="86" t="s">
        <v>1592</v>
      </c>
      <c r="D196" s="86" t="s">
        <v>454</v>
      </c>
      <c r="E196" s="86" t="s">
        <v>455</v>
      </c>
      <c r="F196" s="86" t="s">
        <v>1617</v>
      </c>
      <c r="G196" s="86" t="s">
        <v>1618</v>
      </c>
      <c r="I196" s="86" t="s">
        <v>1716</v>
      </c>
      <c r="J196" s="86" t="s">
        <v>1592</v>
      </c>
      <c r="L196" s="86" t="s">
        <v>501</v>
      </c>
      <c r="M196" s="86" t="s">
        <v>515</v>
      </c>
      <c r="N196" s="86" t="s">
        <v>503</v>
      </c>
      <c r="O196" s="86" t="s">
        <v>504</v>
      </c>
      <c r="P196" s="176" t="s">
        <v>472</v>
      </c>
      <c r="Q196" s="86" t="s">
        <v>467</v>
      </c>
      <c r="R196" s="176" t="str">
        <f t="shared" si="15"/>
        <v>Jefe Oficina de Control Interno</v>
      </c>
      <c r="S196" s="87" t="s">
        <v>472</v>
      </c>
      <c r="T196" s="177" t="s">
        <v>1662</v>
      </c>
      <c r="U196" s="92">
        <v>1</v>
      </c>
      <c r="V196" s="136">
        <f>+VLOOKUP(AV196,Hoja1!$P$6:$R$26,3,FALSE)</f>
        <v>9.3023255813953487E-3</v>
      </c>
      <c r="X196" s="89" t="s">
        <v>1564</v>
      </c>
      <c r="Y196" s="89"/>
      <c r="Z196" s="89"/>
      <c r="AA196" s="89" t="s">
        <v>1564</v>
      </c>
      <c r="AB196" s="89" t="s">
        <v>1564</v>
      </c>
      <c r="AC196" s="89"/>
      <c r="AD196" s="89"/>
      <c r="AF196" s="89" t="s">
        <v>98</v>
      </c>
      <c r="AG196" s="89" t="s">
        <v>103</v>
      </c>
      <c r="AH196" s="89" t="s">
        <v>71</v>
      </c>
      <c r="AI196" s="89" t="s">
        <v>47</v>
      </c>
      <c r="AJ196" s="89"/>
      <c r="AK196" s="89"/>
      <c r="AL196" s="90" t="s">
        <v>1564</v>
      </c>
      <c r="AM196" s="93"/>
      <c r="AN196" s="93"/>
      <c r="AO196" s="90" t="s">
        <v>1564</v>
      </c>
      <c r="AP196" s="93"/>
      <c r="AQ196" s="93"/>
      <c r="AR196" s="90" t="s">
        <v>1564</v>
      </c>
      <c r="AS196" s="93"/>
      <c r="AT196" s="94"/>
      <c r="AU196" s="91" t="s">
        <v>1564</v>
      </c>
      <c r="AV196" s="176" t="str">
        <f t="shared" si="8"/>
        <v>Resultadox</v>
      </c>
    </row>
    <row r="197" spans="1:48" ht="39.75" customHeight="1" x14ac:dyDescent="0.25">
      <c r="A197" s="86">
        <v>6</v>
      </c>
      <c r="B197" s="86" t="s">
        <v>1592</v>
      </c>
      <c r="D197" s="86" t="s">
        <v>454</v>
      </c>
      <c r="E197" s="86" t="s">
        <v>455</v>
      </c>
      <c r="F197" s="86" t="s">
        <v>1617</v>
      </c>
      <c r="G197" s="86" t="s">
        <v>1618</v>
      </c>
      <c r="I197" s="86" t="s">
        <v>1716</v>
      </c>
      <c r="J197" s="86" t="s">
        <v>1592</v>
      </c>
      <c r="L197" s="86" t="s">
        <v>501</v>
      </c>
      <c r="M197" s="86" t="s">
        <v>515</v>
      </c>
      <c r="N197" s="86" t="s">
        <v>503</v>
      </c>
      <c r="O197" s="86" t="s">
        <v>504</v>
      </c>
      <c r="P197" s="176" t="s">
        <v>473</v>
      </c>
      <c r="Q197" s="86" t="s">
        <v>467</v>
      </c>
      <c r="R197" s="176" t="str">
        <f t="shared" si="15"/>
        <v>Jefe Oficina de Control Interno</v>
      </c>
      <c r="S197" s="87" t="s">
        <v>473</v>
      </c>
      <c r="T197" s="177" t="s">
        <v>1471</v>
      </c>
      <c r="U197" s="92">
        <v>1</v>
      </c>
      <c r="V197" s="136">
        <f>+VLOOKUP(AV197,Hoja1!$P$6:$R$26,3,FALSE)</f>
        <v>9.3023255813953487E-3</v>
      </c>
      <c r="X197" s="89" t="s">
        <v>1564</v>
      </c>
      <c r="Y197" s="89"/>
      <c r="Z197" s="89"/>
      <c r="AA197" s="89" t="s">
        <v>1564</v>
      </c>
      <c r="AB197" s="89"/>
      <c r="AC197" s="89"/>
      <c r="AD197" s="89"/>
      <c r="AF197" s="89" t="s">
        <v>98</v>
      </c>
      <c r="AG197" s="89" t="s">
        <v>103</v>
      </c>
      <c r="AH197" s="89" t="s">
        <v>71</v>
      </c>
      <c r="AI197" s="89" t="s">
        <v>47</v>
      </c>
      <c r="AJ197" s="89"/>
      <c r="AK197" s="89"/>
      <c r="AL197" s="90" t="s">
        <v>1564</v>
      </c>
      <c r="AM197" s="93"/>
      <c r="AN197" s="93"/>
      <c r="AO197" s="90" t="s">
        <v>1564</v>
      </c>
      <c r="AP197" s="93"/>
      <c r="AQ197" s="93"/>
      <c r="AR197" s="90" t="s">
        <v>1564</v>
      </c>
      <c r="AS197" s="93"/>
      <c r="AT197" s="94"/>
      <c r="AU197" s="91" t="s">
        <v>1564</v>
      </c>
      <c r="AV197" s="176" t="str">
        <f t="shared" si="8"/>
        <v>Resultadox</v>
      </c>
    </row>
    <row r="198" spans="1:48" ht="39.75" customHeight="1" x14ac:dyDescent="0.25">
      <c r="A198" s="86">
        <v>6</v>
      </c>
      <c r="B198" s="86" t="s">
        <v>1592</v>
      </c>
      <c r="D198" s="86" t="s">
        <v>474</v>
      </c>
      <c r="E198" s="86" t="s">
        <v>475</v>
      </c>
      <c r="F198" s="86" t="s">
        <v>1529</v>
      </c>
      <c r="G198" s="86" t="s">
        <v>1520</v>
      </c>
      <c r="I198" s="86" t="s">
        <v>1716</v>
      </c>
      <c r="J198" s="86" t="s">
        <v>1592</v>
      </c>
      <c r="L198" s="86" t="s">
        <v>501</v>
      </c>
      <c r="M198" s="86" t="s">
        <v>515</v>
      </c>
      <c r="N198" s="86" t="s">
        <v>503</v>
      </c>
      <c r="O198" s="86" t="s">
        <v>504</v>
      </c>
      <c r="P198" s="176" t="s">
        <v>477</v>
      </c>
      <c r="Q198" s="86" t="s">
        <v>476</v>
      </c>
      <c r="R198" s="176" t="str">
        <f t="shared" si="15"/>
        <v>Jefe Oficina de Aseguramiento a la calidad</v>
      </c>
      <c r="S198" s="87" t="s">
        <v>477</v>
      </c>
      <c r="T198" s="177" t="s">
        <v>478</v>
      </c>
      <c r="U198" s="88">
        <v>70</v>
      </c>
      <c r="V198" s="136">
        <f>+VLOOKUP(AV198,Hoja1!$P$6:$R$26,3,FALSE)</f>
        <v>5.5813953488372094E-3</v>
      </c>
      <c r="X198" s="89" t="s">
        <v>1564</v>
      </c>
      <c r="Y198" s="89"/>
      <c r="Z198" s="89"/>
      <c r="AA198" s="89" t="s">
        <v>1564</v>
      </c>
      <c r="AB198" s="89" t="s">
        <v>1564</v>
      </c>
      <c r="AC198" s="89"/>
      <c r="AD198" s="89"/>
      <c r="AF198" s="89" t="s">
        <v>98</v>
      </c>
      <c r="AG198" s="89" t="s">
        <v>533</v>
      </c>
      <c r="AH198" s="89" t="s">
        <v>71</v>
      </c>
      <c r="AI198" s="89" t="s">
        <v>47</v>
      </c>
      <c r="AJ198" s="89"/>
      <c r="AK198" s="89"/>
      <c r="AL198" s="90" t="s">
        <v>1564</v>
      </c>
      <c r="AM198" s="93"/>
      <c r="AN198" s="93"/>
      <c r="AO198" s="90" t="s">
        <v>1564</v>
      </c>
      <c r="AP198" s="93"/>
      <c r="AQ198" s="93"/>
      <c r="AR198" s="90" t="s">
        <v>1564</v>
      </c>
      <c r="AS198" s="93"/>
      <c r="AT198" s="94"/>
      <c r="AU198" s="91" t="s">
        <v>1564</v>
      </c>
      <c r="AV198" s="176" t="str">
        <f t="shared" ref="AV198:AV201" si="16">+AG198&amp;AA198</f>
        <v>Gestiónx</v>
      </c>
    </row>
    <row r="199" spans="1:48" ht="39.75" customHeight="1" x14ac:dyDescent="0.25">
      <c r="A199" s="86">
        <v>6</v>
      </c>
      <c r="B199" s="86" t="s">
        <v>1592</v>
      </c>
      <c r="D199" s="86" t="s">
        <v>474</v>
      </c>
      <c r="E199" s="86" t="s">
        <v>475</v>
      </c>
      <c r="F199" s="86" t="s">
        <v>1529</v>
      </c>
      <c r="G199" s="86" t="s">
        <v>1520</v>
      </c>
      <c r="I199" s="86" t="s">
        <v>1716</v>
      </c>
      <c r="J199" s="86" t="s">
        <v>1592</v>
      </c>
      <c r="L199" s="86" t="s">
        <v>501</v>
      </c>
      <c r="M199" s="86" t="s">
        <v>515</v>
      </c>
      <c r="N199" s="86" t="s">
        <v>503</v>
      </c>
      <c r="O199" s="86" t="s">
        <v>504</v>
      </c>
      <c r="P199" s="176" t="s">
        <v>479</v>
      </c>
      <c r="Q199" s="86" t="s">
        <v>476</v>
      </c>
      <c r="R199" s="176" t="str">
        <f t="shared" si="15"/>
        <v>Jefe Oficina de Aseguramiento a la calidad</v>
      </c>
      <c r="S199" s="87" t="s">
        <v>479</v>
      </c>
      <c r="T199" s="177" t="s">
        <v>1544</v>
      </c>
      <c r="U199" s="88">
        <v>80</v>
      </c>
      <c r="V199" s="136">
        <f>+VLOOKUP(AV199,Hoja1!$P$6:$R$26,3,FALSE)</f>
        <v>5.5813953488372094E-3</v>
      </c>
      <c r="X199" s="89" t="s">
        <v>1564</v>
      </c>
      <c r="Y199" s="89"/>
      <c r="Z199" s="89"/>
      <c r="AA199" s="89" t="s">
        <v>1564</v>
      </c>
      <c r="AB199" s="89" t="s">
        <v>1564</v>
      </c>
      <c r="AC199" s="89"/>
      <c r="AD199" s="89"/>
      <c r="AF199" s="89" t="s">
        <v>98</v>
      </c>
      <c r="AG199" s="89" t="s">
        <v>533</v>
      </c>
      <c r="AH199" s="89" t="s">
        <v>71</v>
      </c>
      <c r="AI199" s="89" t="s">
        <v>47</v>
      </c>
      <c r="AJ199" s="89"/>
      <c r="AK199" s="89"/>
      <c r="AL199" s="90" t="s">
        <v>1564</v>
      </c>
      <c r="AM199" s="93"/>
      <c r="AN199" s="93"/>
      <c r="AO199" s="90" t="s">
        <v>1564</v>
      </c>
      <c r="AP199" s="93"/>
      <c r="AQ199" s="93"/>
      <c r="AR199" s="90" t="s">
        <v>1564</v>
      </c>
      <c r="AS199" s="93"/>
      <c r="AT199" s="94"/>
      <c r="AU199" s="91" t="s">
        <v>1564</v>
      </c>
      <c r="AV199" s="176" t="str">
        <f t="shared" si="16"/>
        <v>Gestiónx</v>
      </c>
    </row>
    <row r="200" spans="1:48" ht="39.75" customHeight="1" x14ac:dyDescent="0.25">
      <c r="A200" s="86">
        <v>6</v>
      </c>
      <c r="B200" s="86" t="s">
        <v>1592</v>
      </c>
      <c r="D200" s="86" t="s">
        <v>474</v>
      </c>
      <c r="E200" s="86" t="s">
        <v>475</v>
      </c>
      <c r="F200" s="86" t="s">
        <v>1529</v>
      </c>
      <c r="G200" s="86" t="s">
        <v>1520</v>
      </c>
      <c r="I200" s="86" t="s">
        <v>1716</v>
      </c>
      <c r="J200" s="86" t="s">
        <v>1592</v>
      </c>
      <c r="L200" s="86" t="s">
        <v>501</v>
      </c>
      <c r="M200" s="86" t="s">
        <v>515</v>
      </c>
      <c r="N200" s="86" t="s">
        <v>503</v>
      </c>
      <c r="O200" s="86" t="s">
        <v>504</v>
      </c>
      <c r="P200" s="176" t="s">
        <v>480</v>
      </c>
      <c r="Q200" s="86" t="s">
        <v>476</v>
      </c>
      <c r="R200" s="176" t="str">
        <f t="shared" si="15"/>
        <v>Jefe Oficina de Aseguramiento a la calidad</v>
      </c>
      <c r="S200" s="87" t="s">
        <v>480</v>
      </c>
      <c r="T200" s="177" t="s">
        <v>1538</v>
      </c>
      <c r="U200" s="92">
        <v>1</v>
      </c>
      <c r="V200" s="136">
        <f>+VLOOKUP(AV200,Hoja1!$P$6:$R$26,3,FALSE)</f>
        <v>9.3023255813953487E-3</v>
      </c>
      <c r="X200" s="89" t="s">
        <v>1564</v>
      </c>
      <c r="Y200" s="89"/>
      <c r="Z200" s="89"/>
      <c r="AA200" s="89" t="s">
        <v>1564</v>
      </c>
      <c r="AB200" s="89"/>
      <c r="AC200" s="89"/>
      <c r="AD200" s="89"/>
      <c r="AF200" s="89" t="s">
        <v>98</v>
      </c>
      <c r="AG200" s="89" t="s">
        <v>103</v>
      </c>
      <c r="AH200" s="89" t="s">
        <v>71</v>
      </c>
      <c r="AI200" s="89" t="s">
        <v>47</v>
      </c>
      <c r="AJ200" s="89"/>
      <c r="AK200" s="89"/>
      <c r="AL200" s="90" t="s">
        <v>1564</v>
      </c>
      <c r="AM200" s="93"/>
      <c r="AN200" s="93"/>
      <c r="AO200" s="90" t="s">
        <v>1564</v>
      </c>
      <c r="AP200" s="93"/>
      <c r="AQ200" s="93"/>
      <c r="AR200" s="90" t="s">
        <v>1564</v>
      </c>
      <c r="AS200" s="93"/>
      <c r="AT200" s="94"/>
      <c r="AU200" s="91" t="s">
        <v>1564</v>
      </c>
      <c r="AV200" s="176" t="str">
        <f t="shared" si="16"/>
        <v>Resultadox</v>
      </c>
    </row>
    <row r="201" spans="1:48" ht="39.75" customHeight="1" x14ac:dyDescent="0.25">
      <c r="A201" s="86">
        <v>6</v>
      </c>
      <c r="B201" s="86" t="s">
        <v>1592</v>
      </c>
      <c r="D201" s="86" t="s">
        <v>474</v>
      </c>
      <c r="E201" s="86" t="s">
        <v>475</v>
      </c>
      <c r="F201" s="86" t="s">
        <v>1535</v>
      </c>
      <c r="G201" s="86" t="s">
        <v>1525</v>
      </c>
      <c r="I201" s="86" t="s">
        <v>1716</v>
      </c>
      <c r="J201" s="86" t="s">
        <v>1592</v>
      </c>
      <c r="L201" s="86" t="s">
        <v>501</v>
      </c>
      <c r="M201" s="86" t="s">
        <v>515</v>
      </c>
      <c r="N201" s="86" t="s">
        <v>503</v>
      </c>
      <c r="O201" s="86" t="s">
        <v>504</v>
      </c>
      <c r="P201" s="176" t="s">
        <v>481</v>
      </c>
      <c r="Q201" s="86" t="s">
        <v>476</v>
      </c>
      <c r="R201" s="176" t="str">
        <f t="shared" si="15"/>
        <v>Jefe Oficina de Aseguramiento a la calidad</v>
      </c>
      <c r="S201" s="87" t="s">
        <v>481</v>
      </c>
      <c r="T201" s="177" t="s">
        <v>1533</v>
      </c>
      <c r="U201" s="88">
        <v>10</v>
      </c>
      <c r="V201" s="136">
        <f>+VLOOKUP(AV201,Hoja1!$P$6:$R$26,3,FALSE)</f>
        <v>8.4210526315789489E-3</v>
      </c>
      <c r="X201" s="89" t="s">
        <v>1564</v>
      </c>
      <c r="Y201" s="89"/>
      <c r="Z201" s="89"/>
      <c r="AA201" s="89" t="s">
        <v>1564</v>
      </c>
      <c r="AB201" s="89" t="s">
        <v>1564</v>
      </c>
      <c r="AC201" s="89"/>
      <c r="AD201" s="89"/>
      <c r="AF201" s="89" t="s">
        <v>98</v>
      </c>
      <c r="AG201" s="89" t="s">
        <v>519</v>
      </c>
      <c r="AH201" s="89" t="s">
        <v>71</v>
      </c>
      <c r="AI201" s="89" t="s">
        <v>50</v>
      </c>
      <c r="AJ201" s="89"/>
      <c r="AK201" s="89"/>
      <c r="AL201" s="89"/>
      <c r="AM201" s="89"/>
      <c r="AN201" s="89"/>
      <c r="AO201" s="90" t="s">
        <v>1564</v>
      </c>
      <c r="AP201" s="93"/>
      <c r="AQ201" s="93"/>
      <c r="AR201" s="90" t="s">
        <v>1564</v>
      </c>
      <c r="AS201" s="93"/>
      <c r="AT201" s="94"/>
      <c r="AU201" s="91" t="s">
        <v>1564</v>
      </c>
      <c r="AV201" s="176" t="str">
        <f t="shared" si="16"/>
        <v>Productox</v>
      </c>
    </row>
  </sheetData>
  <autoFilter ref="A4:BK201"/>
  <mergeCells count="8">
    <mergeCell ref="AF3:AU3"/>
    <mergeCell ref="X3:AD3"/>
    <mergeCell ref="A1:O1"/>
    <mergeCell ref="D3:G3"/>
    <mergeCell ref="L3:O3"/>
    <mergeCell ref="A3:B3"/>
    <mergeCell ref="I3:J3"/>
    <mergeCell ref="S3:V3"/>
  </mergeCells>
  <pageMargins left="0.7" right="0.7" top="0.75" bottom="0.75" header="0.3" footer="0.3"/>
  <pageSetup orientation="portrait" horizontalDpi="4294967295" verticalDpi="4294967295"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7">
    <tabColor rgb="FF0070C0"/>
  </sheetPr>
  <dimension ref="B1:AV113"/>
  <sheetViews>
    <sheetView zoomScaleNormal="100" workbookViewId="0">
      <selection activeCell="F12" sqref="F12:M12"/>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173</v>
      </c>
      <c r="O10" s="2"/>
    </row>
    <row r="11" spans="2:24" ht="3.95" customHeight="1" x14ac:dyDescent="0.25">
      <c r="B11" s="2"/>
      <c r="D11" s="6"/>
      <c r="O11" s="2"/>
    </row>
    <row r="12" spans="2:24" ht="36" customHeight="1" x14ac:dyDescent="0.25">
      <c r="B12" s="2"/>
      <c r="D12" s="338" t="s">
        <v>5</v>
      </c>
      <c r="E12" s="339"/>
      <c r="F12" s="340" t="s">
        <v>174</v>
      </c>
      <c r="G12" s="341"/>
      <c r="H12" s="341"/>
      <c r="I12" s="341"/>
      <c r="J12" s="341"/>
      <c r="K12" s="341"/>
      <c r="L12" s="341"/>
      <c r="M12" s="342"/>
      <c r="O12" s="2"/>
      <c r="W12" s="3" t="str">
        <f>+F23</f>
        <v>Trimestral</v>
      </c>
      <c r="X12" s="3" t="str">
        <f>+F71</f>
        <v>Marzo</v>
      </c>
    </row>
    <row r="13" spans="2:24" ht="3.95" customHeight="1" x14ac:dyDescent="0.25">
      <c r="B13" s="2"/>
      <c r="O13" s="2"/>
    </row>
    <row r="14" spans="2:24" ht="36" customHeight="1" x14ac:dyDescent="0.25">
      <c r="B14" s="2"/>
      <c r="D14" s="338" t="s">
        <v>6</v>
      </c>
      <c r="E14" s="339"/>
      <c r="F14" s="340" t="s">
        <v>518</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8" t="s">
        <v>512</v>
      </c>
      <c r="G22" s="337" t="s">
        <v>9</v>
      </c>
      <c r="H22" s="337"/>
      <c r="I22" s="17">
        <v>0.2</v>
      </c>
      <c r="K22" s="337" t="s">
        <v>10</v>
      </c>
      <c r="L22" s="337"/>
      <c r="M22" s="9" t="s">
        <v>496</v>
      </c>
      <c r="O22" s="2"/>
    </row>
    <row r="23" spans="2:17" ht="19.5" customHeight="1" x14ac:dyDescent="0.25">
      <c r="B23" s="2"/>
      <c r="D23" s="337" t="s">
        <v>11</v>
      </c>
      <c r="E23" s="337"/>
      <c r="F23" s="4" t="s">
        <v>71</v>
      </c>
      <c r="G23" s="337" t="s">
        <v>12</v>
      </c>
      <c r="H23" s="337"/>
      <c r="I23" s="4" t="s">
        <v>497</v>
      </c>
      <c r="K23" s="337" t="s">
        <v>13</v>
      </c>
      <c r="L23" s="337"/>
      <c r="M23" s="9" t="s">
        <v>2</v>
      </c>
      <c r="O23" s="2"/>
    </row>
    <row r="24" spans="2:17" ht="20.100000000000001" customHeight="1" x14ac:dyDescent="0.25">
      <c r="B24" s="2"/>
      <c r="D24" s="337" t="s">
        <v>14</v>
      </c>
      <c r="E24" s="337"/>
      <c r="F24" s="4" t="s">
        <v>498</v>
      </c>
      <c r="G24" s="337" t="s">
        <v>15</v>
      </c>
      <c r="H24" s="337"/>
      <c r="I24" s="4" t="s">
        <v>519</v>
      </c>
      <c r="K24" s="337" t="s">
        <v>16</v>
      </c>
      <c r="L24" s="337"/>
      <c r="M24" s="9" t="s">
        <v>2</v>
      </c>
      <c r="O24" s="2"/>
    </row>
    <row r="25" spans="2:17" ht="20.100000000000001" customHeight="1" x14ac:dyDescent="0.25">
      <c r="B25" s="2"/>
      <c r="D25" s="337" t="s">
        <v>17</v>
      </c>
      <c r="E25" s="337"/>
      <c r="F25" s="4" t="s">
        <v>683</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482</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NA</v>
      </c>
    </row>
    <row r="31" spans="2:17" ht="24" customHeight="1" x14ac:dyDescent="0.25">
      <c r="B31" s="2"/>
      <c r="D31" s="347"/>
      <c r="E31" s="348"/>
      <c r="F31" s="4" t="s">
        <v>168</v>
      </c>
      <c r="G31" s="340" t="s">
        <v>169</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500</v>
      </c>
      <c r="G33" s="340"/>
      <c r="H33" s="341"/>
      <c r="I33" s="341"/>
      <c r="J33" s="341"/>
      <c r="K33" s="341"/>
      <c r="L33" s="341"/>
      <c r="M33" s="342"/>
      <c r="O33" s="2"/>
      <c r="Q33" s="3" t="str">
        <f>+IFERROR(IF(VLOOKUP(G33,base!$A$26:$C$40,3,FALSE)=F31,1,0),"")</f>
        <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1713</v>
      </c>
      <c r="G35" s="340" t="s">
        <v>1589</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501</v>
      </c>
      <c r="G45" s="340" t="s">
        <v>515</v>
      </c>
      <c r="H45" s="341"/>
      <c r="I45" s="341"/>
      <c r="J45" s="341"/>
      <c r="K45" s="341"/>
      <c r="L45" s="341"/>
      <c r="M45" s="342"/>
      <c r="O45" s="2"/>
      <c r="Q45" s="3" t="str">
        <f>+IFERROR(VLOOKUP(G45,base!$A$41:$C$45,3,FALSE),"")</f>
        <v>misional</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503</v>
      </c>
      <c r="G47" s="340" t="s">
        <v>504</v>
      </c>
      <c r="H47" s="341"/>
      <c r="I47" s="341"/>
      <c r="J47" s="341"/>
      <c r="K47" s="341"/>
      <c r="L47" s="341"/>
      <c r="M47" s="342"/>
      <c r="O47" s="2"/>
      <c r="Q47" s="3">
        <f>+IF(VLOOKUP(G47,base!$A$46:$C$66,3,FALSE)=F45,1,0)</f>
        <v>1</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516</v>
      </c>
      <c r="G49" s="340" t="s">
        <v>483</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496</v>
      </c>
      <c r="G51" s="337" t="s">
        <v>32</v>
      </c>
      <c r="H51" s="337"/>
      <c r="I51" s="17">
        <v>1</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3.25" customHeight="1" x14ac:dyDescent="0.25">
      <c r="B59" s="2"/>
      <c r="D59" s="337" t="s">
        <v>34</v>
      </c>
      <c r="E59" s="337"/>
      <c r="F59" s="344" t="s">
        <v>521</v>
      </c>
      <c r="G59" s="344"/>
      <c r="H59" s="344"/>
      <c r="I59" s="344"/>
      <c r="J59" s="344"/>
      <c r="K59" s="344"/>
      <c r="L59" s="344"/>
      <c r="M59" s="344"/>
      <c r="O59" s="2"/>
    </row>
    <row r="60" spans="2:15" ht="27" customHeight="1" x14ac:dyDescent="0.25">
      <c r="B60" s="2"/>
      <c r="D60" s="359" t="s">
        <v>35</v>
      </c>
      <c r="E60" s="359"/>
      <c r="F60" s="344" t="s">
        <v>1751</v>
      </c>
      <c r="G60" s="344"/>
      <c r="H60" s="344"/>
      <c r="I60" s="344"/>
      <c r="J60" s="344"/>
      <c r="K60" s="344"/>
      <c r="L60" s="344"/>
      <c r="M60" s="344"/>
      <c r="O60" s="2"/>
    </row>
    <row r="61" spans="2:15" ht="27" customHeight="1" x14ac:dyDescent="0.25">
      <c r="B61" s="2"/>
      <c r="D61" s="359" t="s">
        <v>36</v>
      </c>
      <c r="E61" s="359"/>
      <c r="F61" s="344" t="s">
        <v>1752</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43" t="s">
        <v>39</v>
      </c>
      <c r="E71" s="343"/>
      <c r="F71" s="4" t="s">
        <v>47</v>
      </c>
      <c r="G71" s="3">
        <v>3</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v>9.9000000000000005E-2</v>
      </c>
      <c r="H77" s="16">
        <v>0.1</v>
      </c>
      <c r="I77" s="16">
        <v>0.159</v>
      </c>
      <c r="J77" s="16">
        <v>0.16</v>
      </c>
      <c r="K77" s="16">
        <v>0.19900000000000001</v>
      </c>
      <c r="L77" s="16">
        <v>0.2</v>
      </c>
      <c r="M77" s="16" t="s">
        <v>500</v>
      </c>
      <c r="O77" s="2"/>
      <c r="AE77" s="3" t="s">
        <v>47</v>
      </c>
      <c r="AF77" s="3">
        <v>3</v>
      </c>
      <c r="AG77" s="3">
        <f t="shared" si="0"/>
        <v>1</v>
      </c>
      <c r="AH77" s="3">
        <f>+IF(AG77=0,0,IF(AG77=1,(SUM($AG$75:AG77)-1),1))</f>
        <v>0</v>
      </c>
      <c r="AI77" s="3">
        <f t="shared" si="1"/>
        <v>0</v>
      </c>
      <c r="AJ77" s="3">
        <f t="shared" si="2"/>
        <v>1</v>
      </c>
      <c r="AK77" s="3">
        <f t="shared" si="3"/>
        <v>1</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2</v>
      </c>
      <c r="AI79" s="3">
        <f t="shared" si="1"/>
        <v>0</v>
      </c>
      <c r="AJ79" s="3">
        <f t="shared" si="2"/>
        <v>0</v>
      </c>
      <c r="AK79" s="3">
        <f t="shared" si="3"/>
        <v>0</v>
      </c>
    </row>
    <row r="80" spans="2:37" x14ac:dyDescent="0.25">
      <c r="B80" s="2"/>
      <c r="D80" s="360" t="s">
        <v>50</v>
      </c>
      <c r="E80" s="360"/>
      <c r="F80" s="16" t="s">
        <v>500</v>
      </c>
      <c r="G80" s="16">
        <v>0.249</v>
      </c>
      <c r="H80" s="16">
        <v>0.25</v>
      </c>
      <c r="I80" s="16">
        <v>0.34899999999999998</v>
      </c>
      <c r="J80" s="16">
        <v>0.35</v>
      </c>
      <c r="K80" s="16">
        <v>0.44900000000000001</v>
      </c>
      <c r="L80" s="16">
        <v>0.45</v>
      </c>
      <c r="M80" s="16" t="s">
        <v>500</v>
      </c>
      <c r="O80" s="2"/>
      <c r="AE80" s="3" t="s">
        <v>50</v>
      </c>
      <c r="AF80" s="3">
        <v>6</v>
      </c>
      <c r="AG80" s="3">
        <f t="shared" si="0"/>
        <v>1</v>
      </c>
      <c r="AH80" s="3">
        <f>+IF(AG80=0,0,IF(AG80=1,(SUM($AG$75:AG80)-1),1))</f>
        <v>3</v>
      </c>
      <c r="AI80" s="3">
        <f t="shared" si="1"/>
        <v>1</v>
      </c>
      <c r="AJ80" s="3">
        <f t="shared" si="2"/>
        <v>0</v>
      </c>
      <c r="AK80" s="3">
        <f t="shared" si="3"/>
        <v>1</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4</v>
      </c>
      <c r="AI81" s="3">
        <f t="shared" si="1"/>
        <v>0</v>
      </c>
      <c r="AJ81" s="3">
        <f t="shared" si="2"/>
        <v>0</v>
      </c>
      <c r="AK81" s="3">
        <f t="shared" si="3"/>
        <v>0</v>
      </c>
    </row>
    <row r="82" spans="2:37" x14ac:dyDescent="0.25">
      <c r="B82" s="2"/>
      <c r="D82" s="360" t="s">
        <v>54</v>
      </c>
      <c r="E82" s="360"/>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60" t="s">
        <v>55</v>
      </c>
      <c r="E83" s="360"/>
      <c r="F83" s="16" t="s">
        <v>500</v>
      </c>
      <c r="G83" s="16">
        <v>0.59899999999999998</v>
      </c>
      <c r="H83" s="16">
        <v>0.6</v>
      </c>
      <c r="I83" s="16">
        <v>0.64900000000000002</v>
      </c>
      <c r="J83" s="16">
        <v>0.65</v>
      </c>
      <c r="K83" s="16">
        <v>0.69899999999999995</v>
      </c>
      <c r="L83" s="16">
        <v>0.7</v>
      </c>
      <c r="M83" s="16" t="s">
        <v>500</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60" t="s">
        <v>58</v>
      </c>
      <c r="E86" s="360"/>
      <c r="F86" s="16" t="s">
        <v>500</v>
      </c>
      <c r="G86" s="16">
        <v>0.84899999999999998</v>
      </c>
      <c r="H86" s="16">
        <v>0.85</v>
      </c>
      <c r="I86" s="16">
        <v>0.89900000000000002</v>
      </c>
      <c r="J86" s="16">
        <v>0.9</v>
      </c>
      <c r="K86" s="16">
        <v>0.999</v>
      </c>
      <c r="L86" s="16">
        <v>1</v>
      </c>
      <c r="M86" s="16" t="s">
        <v>500</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158.25" customHeight="1" x14ac:dyDescent="0.25">
      <c r="B88" s="2"/>
      <c r="D88" s="338" t="s">
        <v>59</v>
      </c>
      <c r="E88" s="339"/>
      <c r="F88" s="340" t="s">
        <v>486</v>
      </c>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30.75" customHeight="1" x14ac:dyDescent="0.25">
      <c r="B97" s="2"/>
      <c r="D97" s="359" t="s">
        <v>35</v>
      </c>
      <c r="E97" s="359"/>
      <c r="F97" s="344" t="s">
        <v>1751</v>
      </c>
      <c r="G97" s="344"/>
      <c r="H97" s="344"/>
      <c r="I97" s="344"/>
      <c r="J97" s="344"/>
      <c r="K97" s="344"/>
      <c r="L97" s="344"/>
      <c r="M97" s="344"/>
      <c r="O97" s="2"/>
    </row>
    <row r="98" spans="2:15" ht="30.75" customHeight="1" x14ac:dyDescent="0.25">
      <c r="B98" s="2"/>
      <c r="D98" s="359" t="s">
        <v>36</v>
      </c>
      <c r="E98" s="359"/>
      <c r="F98" s="344" t="s">
        <v>1752</v>
      </c>
      <c r="G98" s="344"/>
      <c r="H98" s="344"/>
      <c r="I98" s="344"/>
      <c r="J98" s="344"/>
      <c r="K98" s="344"/>
      <c r="L98" s="344"/>
      <c r="M98" s="344"/>
      <c r="O98" s="2"/>
    </row>
    <row r="99" spans="2:15" ht="3.95" customHeight="1" x14ac:dyDescent="0.25">
      <c r="B99" s="2"/>
      <c r="O99" s="2"/>
    </row>
    <row r="100" spans="2:15" ht="97.5" customHeight="1" x14ac:dyDescent="0.25">
      <c r="B100" s="2"/>
      <c r="D100" s="338" t="s">
        <v>62</v>
      </c>
      <c r="E100" s="339"/>
      <c r="F100" s="340"/>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2</v>
      </c>
      <c r="K102" s="20"/>
      <c r="O102" s="2"/>
    </row>
    <row r="103" spans="2:15" ht="19.5" customHeight="1" x14ac:dyDescent="0.25">
      <c r="B103" s="2"/>
      <c r="D103" s="331"/>
      <c r="E103" s="332"/>
      <c r="F103" s="19" t="s">
        <v>66</v>
      </c>
      <c r="G103" s="4"/>
      <c r="K103" s="21"/>
      <c r="O103" s="2"/>
    </row>
    <row r="104" spans="2:15" ht="27.75" customHeight="1" x14ac:dyDescent="0.25">
      <c r="B104" s="2"/>
      <c r="D104" s="331"/>
      <c r="E104" s="332"/>
      <c r="F104" s="19" t="s">
        <v>67</v>
      </c>
      <c r="G104" s="333"/>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Director(a) Familia y Comunidades</v>
      </c>
      <c r="H108" s="334"/>
      <c r="I108" s="334"/>
      <c r="J108" s="334"/>
      <c r="K108" s="334"/>
      <c r="L108" s="334"/>
      <c r="M108" s="335"/>
      <c r="O108" s="2"/>
    </row>
    <row r="109" spans="2:15" ht="17.25" customHeight="1" x14ac:dyDescent="0.25">
      <c r="B109" s="2"/>
      <c r="D109" s="331"/>
      <c r="E109" s="332"/>
      <c r="F109" s="19" t="s">
        <v>2042</v>
      </c>
      <c r="G109" s="333" t="str">
        <f>+IF(M23="Si","Coordinador(a) Planeación y Sistemas","")</f>
        <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911" priority="31">
      <formula>+IF($F$43="no",1,0)</formula>
    </cfRule>
  </conditionalFormatting>
  <conditionalFormatting sqref="F32:M33">
    <cfRule type="expression" dxfId="2910" priority="30">
      <formula>+IF($Q$30="NA",1,0)</formula>
    </cfRule>
  </conditionalFormatting>
  <conditionalFormatting sqref="F33:M33">
    <cfRule type="expression" dxfId="2909" priority="29">
      <formula>+IF($Q$33=0,1,0)</formula>
    </cfRule>
  </conditionalFormatting>
  <conditionalFormatting sqref="F47:M47">
    <cfRule type="expression" dxfId="2908" priority="28">
      <formula>+IF($Q$47=0,1,0)</formula>
    </cfRule>
  </conditionalFormatting>
  <conditionalFormatting sqref="F73:G73">
    <cfRule type="cellIs" dxfId="2907" priority="14" operator="equal">
      <formula>"optimo"</formula>
    </cfRule>
    <cfRule type="cellIs" dxfId="2906" priority="15" operator="equal">
      <formula>"critico"</formula>
    </cfRule>
  </conditionalFormatting>
  <conditionalFormatting sqref="H73:I73">
    <cfRule type="cellIs" dxfId="2905" priority="12" operator="equal">
      <formula>"Adecuado"</formula>
    </cfRule>
    <cfRule type="cellIs" dxfId="2904" priority="13" operator="equal">
      <formula>"en riesgo"</formula>
    </cfRule>
  </conditionalFormatting>
  <conditionalFormatting sqref="J73:K73">
    <cfRule type="cellIs" dxfId="2903" priority="10" operator="equal">
      <formula>"Adecuado"</formula>
    </cfRule>
    <cfRule type="cellIs" dxfId="2902" priority="11" operator="equal">
      <formula>"en riesgo"</formula>
    </cfRule>
  </conditionalFormatting>
  <conditionalFormatting sqref="L73:M73">
    <cfRule type="cellIs" dxfId="2901" priority="8" operator="equal">
      <formula>"optimo"</formula>
    </cfRule>
    <cfRule type="cellIs" dxfId="2900" priority="9" operator="equal">
      <formula>"critico"</formula>
    </cfRule>
  </conditionalFormatting>
  <conditionalFormatting sqref="F75:M86">
    <cfRule type="expression" dxfId="2899" priority="7">
      <formula>+IF($AK75=0,1)</formula>
    </cfRule>
  </conditionalFormatting>
  <conditionalFormatting sqref="F103:G104">
    <cfRule type="expression" dxfId="2898" priority="6">
      <formula>+IF($G$102="No",1,0)</formula>
    </cfRule>
  </conditionalFormatting>
  <conditionalFormatting sqref="F51">
    <cfRule type="expression" dxfId="2897" priority="5">
      <formula>+IF($F$43="no",1,0)</formula>
    </cfRule>
  </conditionalFormatting>
  <conditionalFormatting sqref="I51">
    <cfRule type="expression" dxfId="2896"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8">
    <tabColor rgb="FF0070C0"/>
  </sheetPr>
  <dimension ref="B1:AV113"/>
  <sheetViews>
    <sheetView zoomScaleNormal="100" workbookViewId="0">
      <selection activeCell="P1" sqref="P1"/>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175</v>
      </c>
      <c r="O10" s="2"/>
    </row>
    <row r="11" spans="2:24" ht="3.95" customHeight="1" x14ac:dyDescent="0.25">
      <c r="B11" s="2"/>
      <c r="D11" s="6"/>
      <c r="O11" s="2"/>
    </row>
    <row r="12" spans="2:24" ht="36" customHeight="1" x14ac:dyDescent="0.25">
      <c r="B12" s="2"/>
      <c r="D12" s="338" t="s">
        <v>5</v>
      </c>
      <c r="E12" s="339"/>
      <c r="F12" s="340" t="s">
        <v>510</v>
      </c>
      <c r="G12" s="341"/>
      <c r="H12" s="341"/>
      <c r="I12" s="341"/>
      <c r="J12" s="341"/>
      <c r="K12" s="341"/>
      <c r="L12" s="341"/>
      <c r="M12" s="342"/>
      <c r="O12" s="2"/>
      <c r="W12" s="3" t="str">
        <f>+F23</f>
        <v>Bimestral</v>
      </c>
      <c r="X12" s="3" t="str">
        <f>+F71</f>
        <v>Agosto</v>
      </c>
    </row>
    <row r="13" spans="2:24" ht="3.95" customHeight="1" x14ac:dyDescent="0.25">
      <c r="B13" s="2"/>
      <c r="O13" s="2"/>
    </row>
    <row r="14" spans="2:24" ht="36" customHeight="1" x14ac:dyDescent="0.25">
      <c r="B14" s="2"/>
      <c r="D14" s="338" t="s">
        <v>6</v>
      </c>
      <c r="E14" s="339"/>
      <c r="F14" s="340" t="s">
        <v>511</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8" t="s">
        <v>512</v>
      </c>
      <c r="G22" s="337" t="s">
        <v>9</v>
      </c>
      <c r="H22" s="337"/>
      <c r="I22" s="8">
        <v>1028</v>
      </c>
      <c r="K22" s="337" t="s">
        <v>10</v>
      </c>
      <c r="L22" s="337"/>
      <c r="M22" s="9" t="s">
        <v>496</v>
      </c>
      <c r="O22" s="2"/>
    </row>
    <row r="23" spans="2:17" ht="19.5" customHeight="1" x14ac:dyDescent="0.25">
      <c r="B23" s="2"/>
      <c r="D23" s="337" t="s">
        <v>11</v>
      </c>
      <c r="E23" s="337"/>
      <c r="F23" s="4" t="s">
        <v>513</v>
      </c>
      <c r="G23" s="337" t="s">
        <v>12</v>
      </c>
      <c r="H23" s="337"/>
      <c r="I23" s="4" t="s">
        <v>514</v>
      </c>
      <c r="K23" s="337" t="s">
        <v>13</v>
      </c>
      <c r="L23" s="337"/>
      <c r="M23" s="9" t="s">
        <v>2</v>
      </c>
      <c r="O23" s="2"/>
    </row>
    <row r="24" spans="2:17" ht="20.100000000000001" customHeight="1" x14ac:dyDescent="0.25">
      <c r="B24" s="2"/>
      <c r="D24" s="337" t="s">
        <v>14</v>
      </c>
      <c r="E24" s="337"/>
      <c r="F24" s="4" t="s">
        <v>498</v>
      </c>
      <c r="G24" s="337" t="s">
        <v>15</v>
      </c>
      <c r="H24" s="337"/>
      <c r="I24" s="4" t="s">
        <v>103</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482</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NA</v>
      </c>
    </row>
    <row r="31" spans="2:17" ht="24" customHeight="1" x14ac:dyDescent="0.25">
      <c r="B31" s="2"/>
      <c r="D31" s="347"/>
      <c r="E31" s="348"/>
      <c r="F31" s="4" t="s">
        <v>168</v>
      </c>
      <c r="G31" s="340" t="s">
        <v>169</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500</v>
      </c>
      <c r="G33" s="340"/>
      <c r="H33" s="341"/>
      <c r="I33" s="341"/>
      <c r="J33" s="341"/>
      <c r="K33" s="341"/>
      <c r="L33" s="341"/>
      <c r="M33" s="342"/>
      <c r="O33" s="2"/>
      <c r="Q33" s="3" t="str">
        <f>+IFERROR(IF(VLOOKUP(G33,base!$A$26:$C$40,3,FALSE)=F31,1,0),"")</f>
        <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1713</v>
      </c>
      <c r="G35" s="340" t="s">
        <v>1589</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501</v>
      </c>
      <c r="G45" s="340" t="s">
        <v>515</v>
      </c>
      <c r="H45" s="341"/>
      <c r="I45" s="341"/>
      <c r="J45" s="341"/>
      <c r="K45" s="341"/>
      <c r="L45" s="341"/>
      <c r="M45" s="342"/>
      <c r="O45" s="2"/>
      <c r="Q45" s="3" t="str">
        <f>+IFERROR(VLOOKUP(G45,base!$A$41:$C$45,3,FALSE),"")</f>
        <v>misional</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503</v>
      </c>
      <c r="G47" s="340" t="s">
        <v>504</v>
      </c>
      <c r="H47" s="341"/>
      <c r="I47" s="341"/>
      <c r="J47" s="341"/>
      <c r="K47" s="341"/>
      <c r="L47" s="341"/>
      <c r="M47" s="342"/>
      <c r="O47" s="2"/>
      <c r="Q47" s="3">
        <f>+IF(VLOOKUP(G47,base!$A$46:$C$66,3,FALSE)=F45,1,0)</f>
        <v>1</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516</v>
      </c>
      <c r="G49" s="340" t="s">
        <v>483</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496</v>
      </c>
      <c r="G51" s="337" t="s">
        <v>32</v>
      </c>
      <c r="H51" s="337"/>
      <c r="I51" s="8">
        <v>3500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75" customHeight="1" x14ac:dyDescent="0.25">
      <c r="B59" s="2"/>
      <c r="D59" s="337" t="s">
        <v>34</v>
      </c>
      <c r="E59" s="337"/>
      <c r="F59" s="344" t="s">
        <v>517</v>
      </c>
      <c r="G59" s="344"/>
      <c r="H59" s="344"/>
      <c r="I59" s="344"/>
      <c r="J59" s="344"/>
      <c r="K59" s="344"/>
      <c r="L59" s="344"/>
      <c r="M59" s="344"/>
      <c r="O59" s="2"/>
    </row>
    <row r="60" spans="2:15" ht="27" customHeight="1" x14ac:dyDescent="0.25">
      <c r="B60" s="2"/>
      <c r="D60" s="359" t="s">
        <v>35</v>
      </c>
      <c r="E60" s="359"/>
      <c r="F60" s="344" t="s">
        <v>1765</v>
      </c>
      <c r="G60" s="344"/>
      <c r="H60" s="344"/>
      <c r="I60" s="344"/>
      <c r="J60" s="344"/>
      <c r="K60" s="344"/>
      <c r="L60" s="344"/>
      <c r="M60" s="344"/>
      <c r="O60" s="2"/>
    </row>
    <row r="61" spans="2:15" ht="27" customHeight="1" x14ac:dyDescent="0.25">
      <c r="B61" s="2"/>
      <c r="D61" s="359" t="s">
        <v>36</v>
      </c>
      <c r="E61" s="359"/>
      <c r="F61" s="344" t="s">
        <v>1766</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2</v>
      </c>
    </row>
    <row r="70" spans="2:37" ht="3.95" customHeight="1" x14ac:dyDescent="0.25">
      <c r="B70" s="2"/>
      <c r="D70" s="7"/>
      <c r="E70" s="7"/>
      <c r="O70" s="2"/>
    </row>
    <row r="71" spans="2:37" ht="18.75" customHeight="1" x14ac:dyDescent="0.25">
      <c r="B71" s="2"/>
      <c r="D71" s="343" t="s">
        <v>39</v>
      </c>
      <c r="E71" s="343"/>
      <c r="F71" s="4" t="s">
        <v>54</v>
      </c>
      <c r="G71" s="3">
        <v>8</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60" t="s">
        <v>50</v>
      </c>
      <c r="E80" s="360"/>
      <c r="F80" s="16" t="s">
        <v>500</v>
      </c>
      <c r="G80" s="16" t="s">
        <v>500</v>
      </c>
      <c r="H80" s="16" t="s">
        <v>500</v>
      </c>
      <c r="I80" s="16" t="s">
        <v>500</v>
      </c>
      <c r="J80" s="16" t="s">
        <v>500</v>
      </c>
      <c r="K80" s="16" t="s">
        <v>500</v>
      </c>
      <c r="L80" s="16" t="s">
        <v>500</v>
      </c>
      <c r="M80" s="16" t="s">
        <v>500</v>
      </c>
      <c r="O80" s="2"/>
      <c r="AE80" s="3" t="s">
        <v>50</v>
      </c>
      <c r="AF80" s="3">
        <v>6</v>
      </c>
      <c r="AG80" s="3">
        <f t="shared" si="0"/>
        <v>0</v>
      </c>
      <c r="AH80" s="3">
        <f>+IF(AG80=0,0,IF(AG80=1,(SUM($AG$75:AG80)-1),1))</f>
        <v>0</v>
      </c>
      <c r="AI80" s="3">
        <f t="shared" si="1"/>
        <v>0</v>
      </c>
      <c r="AJ80" s="3">
        <f t="shared" si="2"/>
        <v>0</v>
      </c>
      <c r="AK80" s="3">
        <f t="shared" si="3"/>
        <v>0</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0</v>
      </c>
      <c r="AH81" s="3">
        <f>+IF(AG81=0,0,IF(AG81=1,(SUM($AG$75:AG81)-1),1))</f>
        <v>0</v>
      </c>
      <c r="AI81" s="3">
        <f t="shared" si="1"/>
        <v>0</v>
      </c>
      <c r="AJ81" s="3">
        <f t="shared" si="2"/>
        <v>0</v>
      </c>
      <c r="AK81" s="3">
        <f t="shared" si="3"/>
        <v>0</v>
      </c>
    </row>
    <row r="82" spans="2:37" x14ac:dyDescent="0.25">
      <c r="B82" s="2"/>
      <c r="D82" s="360" t="s">
        <v>54</v>
      </c>
      <c r="E82" s="360"/>
      <c r="F82" s="16" t="s">
        <v>500</v>
      </c>
      <c r="G82" s="16">
        <v>9.9000000000000005E-2</v>
      </c>
      <c r="H82" s="16">
        <v>0.1</v>
      </c>
      <c r="I82" s="16">
        <v>0.19900000000000001</v>
      </c>
      <c r="J82" s="16">
        <v>0.2</v>
      </c>
      <c r="K82" s="16">
        <v>0.29899999999999999</v>
      </c>
      <c r="L82" s="16">
        <v>0.3</v>
      </c>
      <c r="M82" s="16" t="s">
        <v>500</v>
      </c>
      <c r="O82" s="2"/>
      <c r="AE82" s="3" t="s">
        <v>54</v>
      </c>
      <c r="AF82" s="3">
        <v>8</v>
      </c>
      <c r="AG82" s="3">
        <f t="shared" si="0"/>
        <v>1</v>
      </c>
      <c r="AH82" s="3">
        <f>+IF(AG82=0,0,IF(AG82=1,(SUM($AG$75:AG82)-1),1))</f>
        <v>0</v>
      </c>
      <c r="AI82" s="3">
        <f t="shared" si="1"/>
        <v>0</v>
      </c>
      <c r="AJ82" s="3">
        <f t="shared" si="2"/>
        <v>1</v>
      </c>
      <c r="AK82" s="3">
        <f t="shared" si="3"/>
        <v>1</v>
      </c>
    </row>
    <row r="83" spans="2:37" x14ac:dyDescent="0.25">
      <c r="B83" s="2"/>
      <c r="D83" s="360" t="s">
        <v>55</v>
      </c>
      <c r="E83" s="360"/>
      <c r="F83" s="16" t="s">
        <v>500</v>
      </c>
      <c r="G83" s="16" t="s">
        <v>500</v>
      </c>
      <c r="H83" s="16" t="s">
        <v>500</v>
      </c>
      <c r="I83" s="16" t="s">
        <v>500</v>
      </c>
      <c r="J83" s="16" t="s">
        <v>500</v>
      </c>
      <c r="K83" s="16" t="s">
        <v>500</v>
      </c>
      <c r="L83" s="16" t="s">
        <v>500</v>
      </c>
      <c r="M83" s="16" t="s">
        <v>500</v>
      </c>
      <c r="O83" s="2"/>
      <c r="AE83" s="3" t="s">
        <v>55</v>
      </c>
      <c r="AF83" s="3">
        <v>9</v>
      </c>
      <c r="AG83" s="3">
        <f t="shared" si="0"/>
        <v>1</v>
      </c>
      <c r="AH83" s="3">
        <f>+IF(AG83=0,0,IF(AG83=1,(SUM($AG$75:AG83)-1),1))</f>
        <v>1</v>
      </c>
      <c r="AI83" s="3">
        <f t="shared" si="1"/>
        <v>0</v>
      </c>
      <c r="AJ83" s="3">
        <f t="shared" si="2"/>
        <v>0</v>
      </c>
      <c r="AK83" s="3">
        <f t="shared" si="3"/>
        <v>0</v>
      </c>
    </row>
    <row r="84" spans="2:37" x14ac:dyDescent="0.25">
      <c r="B84" s="2"/>
      <c r="D84" s="360" t="s">
        <v>56</v>
      </c>
      <c r="E84" s="360"/>
      <c r="F84" s="16" t="s">
        <v>500</v>
      </c>
      <c r="G84" s="16">
        <v>0.39900000000000002</v>
      </c>
      <c r="H84" s="16">
        <v>0.4</v>
      </c>
      <c r="I84" s="16">
        <v>0.54900000000000004</v>
      </c>
      <c r="J84" s="16">
        <v>0.55000000000000004</v>
      </c>
      <c r="K84" s="16">
        <v>0.64900000000000002</v>
      </c>
      <c r="L84" s="16">
        <v>0.65</v>
      </c>
      <c r="M84" s="16" t="s">
        <v>500</v>
      </c>
      <c r="O84" s="2"/>
      <c r="AE84" s="3" t="s">
        <v>56</v>
      </c>
      <c r="AF84" s="3">
        <v>10</v>
      </c>
      <c r="AG84" s="3">
        <f t="shared" si="0"/>
        <v>1</v>
      </c>
      <c r="AH84" s="3">
        <f>+IF(AG84=0,0,IF(AG84=1,(SUM($AG$75:AG84)-1),1))</f>
        <v>2</v>
      </c>
      <c r="AI84" s="3">
        <f t="shared" si="1"/>
        <v>1</v>
      </c>
      <c r="AJ84" s="3">
        <f t="shared" si="2"/>
        <v>0</v>
      </c>
      <c r="AK84" s="3">
        <f t="shared" si="3"/>
        <v>1</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3</v>
      </c>
      <c r="AI85" s="3">
        <f t="shared" si="1"/>
        <v>0</v>
      </c>
      <c r="AJ85" s="3">
        <f t="shared" si="2"/>
        <v>0</v>
      </c>
      <c r="AK85" s="3">
        <f t="shared" si="3"/>
        <v>0</v>
      </c>
    </row>
    <row r="86" spans="2:37" x14ac:dyDescent="0.25">
      <c r="B86" s="2"/>
      <c r="D86" s="360" t="s">
        <v>58</v>
      </c>
      <c r="E86" s="360"/>
      <c r="F86" s="16" t="s">
        <v>500</v>
      </c>
      <c r="G86" s="16">
        <v>0.69899999999999995</v>
      </c>
      <c r="H86" s="16">
        <v>0.7</v>
      </c>
      <c r="I86" s="16">
        <v>0.79900000000000004</v>
      </c>
      <c r="J86" s="16">
        <v>0.8</v>
      </c>
      <c r="K86" s="16">
        <v>0.999</v>
      </c>
      <c r="L86" s="16">
        <v>1</v>
      </c>
      <c r="M86" s="16" t="s">
        <v>500</v>
      </c>
      <c r="O86" s="2"/>
      <c r="AE86" s="3" t="s">
        <v>58</v>
      </c>
      <c r="AF86" s="65">
        <v>12</v>
      </c>
      <c r="AG86" s="3">
        <f t="shared" si="0"/>
        <v>1</v>
      </c>
      <c r="AH86" s="3">
        <f>+IF(AG86=0,0,IF(AG86=1,(SUM($AG$75:AG86)-1),1))</f>
        <v>4</v>
      </c>
      <c r="AI86" s="3">
        <f t="shared" si="1"/>
        <v>1</v>
      </c>
      <c r="AJ86" s="3">
        <f t="shared" si="2"/>
        <v>0</v>
      </c>
      <c r="AK86" s="3">
        <f t="shared" si="3"/>
        <v>1</v>
      </c>
    </row>
    <row r="87" spans="2:37" ht="3.75" customHeight="1" x14ac:dyDescent="0.25">
      <c r="B87" s="2"/>
      <c r="O87" s="2"/>
    </row>
    <row r="88" spans="2:37" ht="66" customHeight="1" x14ac:dyDescent="0.25">
      <c r="B88" s="2"/>
      <c r="D88" s="338" t="s">
        <v>59</v>
      </c>
      <c r="E88" s="339"/>
      <c r="F88" s="340" t="s">
        <v>487</v>
      </c>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28.5" customHeight="1" x14ac:dyDescent="0.25">
      <c r="B97" s="2"/>
      <c r="D97" s="359" t="s">
        <v>35</v>
      </c>
      <c r="E97" s="359"/>
      <c r="F97" s="344" t="s">
        <v>1767</v>
      </c>
      <c r="G97" s="344"/>
      <c r="H97" s="344"/>
      <c r="I97" s="344"/>
      <c r="J97" s="344"/>
      <c r="K97" s="344"/>
      <c r="L97" s="344"/>
      <c r="M97" s="344"/>
      <c r="O97" s="2"/>
    </row>
    <row r="98" spans="2:15" ht="28.5" customHeight="1" x14ac:dyDescent="0.25">
      <c r="B98" s="2"/>
      <c r="D98" s="359" t="s">
        <v>36</v>
      </c>
      <c r="E98" s="359"/>
      <c r="F98" s="344" t="s">
        <v>1749</v>
      </c>
      <c r="G98" s="344"/>
      <c r="H98" s="344"/>
      <c r="I98" s="344"/>
      <c r="J98" s="344"/>
      <c r="K98" s="344"/>
      <c r="L98" s="344"/>
      <c r="M98" s="344"/>
      <c r="O98" s="2"/>
    </row>
    <row r="99" spans="2:15" ht="3.95" customHeight="1" x14ac:dyDescent="0.25">
      <c r="B99" s="2"/>
      <c r="O99" s="2"/>
    </row>
    <row r="100" spans="2:15" ht="105.75" customHeight="1" x14ac:dyDescent="0.25">
      <c r="B100" s="2"/>
      <c r="D100" s="338" t="s">
        <v>62</v>
      </c>
      <c r="E100" s="339"/>
      <c r="F100" s="340" t="s">
        <v>488</v>
      </c>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2</v>
      </c>
      <c r="K102" s="20"/>
      <c r="O102" s="2"/>
    </row>
    <row r="103" spans="2:15" ht="19.5" customHeight="1" x14ac:dyDescent="0.25">
      <c r="B103" s="2"/>
      <c r="D103" s="331"/>
      <c r="E103" s="332"/>
      <c r="F103" s="19" t="s">
        <v>66</v>
      </c>
      <c r="G103" s="4"/>
      <c r="K103" s="21"/>
      <c r="O103" s="2"/>
    </row>
    <row r="104" spans="2:15" ht="27.75" customHeight="1" x14ac:dyDescent="0.25">
      <c r="B104" s="2"/>
      <c r="D104" s="331"/>
      <c r="E104" s="332"/>
      <c r="F104" s="19" t="s">
        <v>67</v>
      </c>
      <c r="G104" s="333"/>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Director(a) Familia y Comunidades</v>
      </c>
      <c r="H108" s="334"/>
      <c r="I108" s="334"/>
      <c r="J108" s="334"/>
      <c r="K108" s="334"/>
      <c r="L108" s="334"/>
      <c r="M108" s="335"/>
      <c r="O108" s="2"/>
    </row>
    <row r="109" spans="2:15" ht="17.25" customHeight="1" x14ac:dyDescent="0.25">
      <c r="B109" s="2"/>
      <c r="D109" s="331"/>
      <c r="E109" s="332"/>
      <c r="F109" s="19" t="s">
        <v>2042</v>
      </c>
      <c r="G109" s="333" t="str">
        <f>+IF(M23="Si","Coordinador(a) Planeación y Sistemas","")</f>
        <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895" priority="31">
      <formula>+IF($F$43="no",1,0)</formula>
    </cfRule>
  </conditionalFormatting>
  <conditionalFormatting sqref="F32:M33">
    <cfRule type="expression" dxfId="2894" priority="30">
      <formula>+IF($Q$30="NA",1,0)</formula>
    </cfRule>
  </conditionalFormatting>
  <conditionalFormatting sqref="F33:M33">
    <cfRule type="expression" dxfId="2893" priority="29">
      <formula>+IF($Q$33=0,1,0)</formula>
    </cfRule>
  </conditionalFormatting>
  <conditionalFormatting sqref="F47:M47">
    <cfRule type="expression" dxfId="2892" priority="28">
      <formula>+IF($Q$47=0,1,0)</formula>
    </cfRule>
  </conditionalFormatting>
  <conditionalFormatting sqref="F73:G73">
    <cfRule type="cellIs" dxfId="2891" priority="14" operator="equal">
      <formula>"optimo"</formula>
    </cfRule>
    <cfRule type="cellIs" dxfId="2890" priority="15" operator="equal">
      <formula>"critico"</formula>
    </cfRule>
  </conditionalFormatting>
  <conditionalFormatting sqref="H73:I73">
    <cfRule type="cellIs" dxfId="2889" priority="12" operator="equal">
      <formula>"Adecuado"</formula>
    </cfRule>
    <cfRule type="cellIs" dxfId="2888" priority="13" operator="equal">
      <formula>"en riesgo"</formula>
    </cfRule>
  </conditionalFormatting>
  <conditionalFormatting sqref="J73:K73">
    <cfRule type="cellIs" dxfId="2887" priority="10" operator="equal">
      <formula>"Adecuado"</formula>
    </cfRule>
    <cfRule type="cellIs" dxfId="2886" priority="11" operator="equal">
      <formula>"en riesgo"</formula>
    </cfRule>
  </conditionalFormatting>
  <conditionalFormatting sqref="L73:M73">
    <cfRule type="cellIs" dxfId="2885" priority="8" operator="equal">
      <formula>"optimo"</formula>
    </cfRule>
    <cfRule type="cellIs" dxfId="2884" priority="9" operator="equal">
      <formula>"critico"</formula>
    </cfRule>
  </conditionalFormatting>
  <conditionalFormatting sqref="F75:M86">
    <cfRule type="expression" dxfId="2883" priority="7">
      <formula>+IF($AK75=0,1)</formula>
    </cfRule>
  </conditionalFormatting>
  <conditionalFormatting sqref="F103:G104">
    <cfRule type="expression" dxfId="2882" priority="6">
      <formula>+IF($G$102="No",1,0)</formula>
    </cfRule>
  </conditionalFormatting>
  <conditionalFormatting sqref="F51">
    <cfRule type="expression" dxfId="2881" priority="5">
      <formula>+IF($F$43="no",1,0)</formula>
    </cfRule>
  </conditionalFormatting>
  <conditionalFormatting sqref="I51">
    <cfRule type="expression" dxfId="2880"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2">
    <tabColor rgb="FF0070C0"/>
  </sheetPr>
  <dimension ref="B1:AV113"/>
  <sheetViews>
    <sheetView zoomScaleNormal="100" workbookViewId="0">
      <selection activeCell="F88" sqref="F88:M88"/>
    </sheetView>
  </sheetViews>
  <sheetFormatPr baseColWidth="10" defaultRowHeight="12.75" x14ac:dyDescent="0.25"/>
  <cols>
    <col min="1" max="1" width="1.140625" style="104" customWidth="1"/>
    <col min="2" max="2" width="0.5703125" style="104" customWidth="1"/>
    <col min="3" max="3" width="1.42578125" style="104" customWidth="1"/>
    <col min="4" max="4" width="11" style="104" customWidth="1"/>
    <col min="5" max="13" width="11.42578125" style="104" customWidth="1"/>
    <col min="14" max="14" width="1.42578125" style="104" customWidth="1"/>
    <col min="15" max="15" width="0.5703125" style="104" customWidth="1"/>
    <col min="16" max="16" width="11.42578125" style="105"/>
    <col min="17" max="18" width="11.42578125" style="105" customWidth="1"/>
    <col min="19" max="19" width="11.42578125" style="105"/>
    <col min="20" max="20" width="2.7109375" style="105" customWidth="1"/>
    <col min="21" max="21" width="11.42578125" style="105"/>
    <col min="22" max="22" width="2.7109375" style="105" customWidth="1"/>
    <col min="23" max="23" width="11.42578125" style="105"/>
    <col min="24" max="24" width="2.7109375" style="105" customWidth="1"/>
    <col min="25" max="25" width="11.42578125" style="105"/>
    <col min="26" max="26" width="2.7109375" style="105" customWidth="1"/>
    <col min="27" max="27" width="11.42578125" style="105"/>
    <col min="28" max="28" width="2.7109375" style="105" customWidth="1"/>
    <col min="29" max="31" width="11.42578125" style="105"/>
    <col min="32" max="37" width="3.140625" style="105" customWidth="1"/>
    <col min="38" max="45" width="7.42578125" style="105" customWidth="1"/>
    <col min="46" max="48" width="11.42578125" style="105"/>
    <col min="49" max="16384" width="11.42578125" style="104"/>
  </cols>
  <sheetData>
    <row r="1" spans="2:19" ht="3.95" customHeight="1" x14ac:dyDescent="0.25"/>
    <row r="2" spans="2:19" ht="3.95" customHeight="1" x14ac:dyDescent="0.25">
      <c r="B2" s="106"/>
      <c r="C2" s="106"/>
      <c r="D2" s="106"/>
      <c r="E2" s="106"/>
      <c r="F2" s="106"/>
      <c r="G2" s="106"/>
      <c r="H2" s="106"/>
      <c r="I2" s="106"/>
      <c r="J2" s="106"/>
      <c r="K2" s="106"/>
      <c r="L2" s="106"/>
      <c r="M2" s="106"/>
      <c r="N2" s="106"/>
      <c r="O2" s="106"/>
    </row>
    <row r="3" spans="2:19" ht="20.25" customHeight="1" x14ac:dyDescent="0.25">
      <c r="B3" s="106"/>
      <c r="C3" s="411" t="s">
        <v>0</v>
      </c>
      <c r="D3" s="411"/>
      <c r="E3" s="411"/>
      <c r="F3" s="411"/>
      <c r="G3" s="411"/>
      <c r="H3" s="411"/>
      <c r="I3" s="411"/>
      <c r="J3" s="411"/>
      <c r="K3" s="411"/>
      <c r="L3" s="411"/>
      <c r="M3" s="411"/>
      <c r="N3" s="411"/>
      <c r="O3" s="106"/>
    </row>
    <row r="4" spans="2:19" ht="20.25" customHeight="1" x14ac:dyDescent="0.25">
      <c r="B4" s="106"/>
      <c r="C4" s="411"/>
      <c r="D4" s="411"/>
      <c r="E4" s="411"/>
      <c r="F4" s="411"/>
      <c r="G4" s="411"/>
      <c r="H4" s="411"/>
      <c r="I4" s="411"/>
      <c r="J4" s="411"/>
      <c r="K4" s="411"/>
      <c r="L4" s="411"/>
      <c r="M4" s="411"/>
      <c r="N4" s="411"/>
      <c r="O4" s="106"/>
      <c r="Q4" s="3"/>
      <c r="R4" s="3"/>
      <c r="S4" s="105" t="s">
        <v>1</v>
      </c>
    </row>
    <row r="5" spans="2:19" ht="20.25" customHeight="1" x14ac:dyDescent="0.25">
      <c r="B5" s="106"/>
      <c r="C5" s="411"/>
      <c r="D5" s="411"/>
      <c r="E5" s="411"/>
      <c r="F5" s="411"/>
      <c r="G5" s="411"/>
      <c r="H5" s="411"/>
      <c r="I5" s="411"/>
      <c r="J5" s="411"/>
      <c r="K5" s="411"/>
      <c r="L5" s="411"/>
      <c r="M5" s="411"/>
      <c r="N5" s="411"/>
      <c r="O5" s="106"/>
      <c r="S5" s="105" t="s">
        <v>2</v>
      </c>
    </row>
    <row r="6" spans="2:19" ht="3" customHeight="1" x14ac:dyDescent="0.25">
      <c r="B6" s="106"/>
      <c r="C6" s="106"/>
      <c r="D6" s="106"/>
      <c r="E6" s="106"/>
      <c r="F6" s="106"/>
      <c r="G6" s="106"/>
      <c r="H6" s="106"/>
      <c r="I6" s="106"/>
      <c r="J6" s="106"/>
      <c r="K6" s="106"/>
      <c r="L6" s="106"/>
      <c r="M6" s="106"/>
      <c r="N6" s="106"/>
      <c r="O6" s="106"/>
    </row>
    <row r="7" spans="2:19" ht="3" customHeight="1" x14ac:dyDescent="0.25"/>
    <row r="8" spans="2:19" ht="3.95" customHeight="1" x14ac:dyDescent="0.25">
      <c r="B8" s="106"/>
      <c r="C8" s="106"/>
      <c r="D8" s="106"/>
      <c r="E8" s="106"/>
      <c r="F8" s="106"/>
      <c r="G8" s="106"/>
      <c r="H8" s="106"/>
      <c r="I8" s="106"/>
      <c r="J8" s="106"/>
      <c r="K8" s="106"/>
      <c r="L8" s="106"/>
      <c r="M8" s="106"/>
      <c r="N8" s="106"/>
      <c r="O8" s="106"/>
    </row>
    <row r="9" spans="2:19" ht="3.95" customHeight="1" x14ac:dyDescent="0.25">
      <c r="B9" s="106"/>
      <c r="O9" s="106"/>
    </row>
    <row r="10" spans="2:19" ht="15.75" customHeight="1" x14ac:dyDescent="0.25">
      <c r="B10" s="106"/>
      <c r="D10" s="387" t="s">
        <v>3</v>
      </c>
      <c r="E10" s="387"/>
      <c r="F10" s="107">
        <v>2015</v>
      </c>
      <c r="G10" s="108" t="s">
        <v>4</v>
      </c>
      <c r="H10" s="107" t="s">
        <v>1357</v>
      </c>
      <c r="O10" s="106"/>
    </row>
    <row r="11" spans="2:19" ht="3.95" customHeight="1" x14ac:dyDescent="0.25">
      <c r="B11" s="106"/>
      <c r="D11" s="109"/>
      <c r="O11" s="106"/>
    </row>
    <row r="12" spans="2:19" ht="36" customHeight="1" x14ac:dyDescent="0.25">
      <c r="B12" s="106"/>
      <c r="D12" s="378" t="s">
        <v>5</v>
      </c>
      <c r="E12" s="379"/>
      <c r="F12" s="389" t="s">
        <v>1355</v>
      </c>
      <c r="G12" s="390"/>
      <c r="H12" s="390"/>
      <c r="I12" s="390"/>
      <c r="J12" s="390"/>
      <c r="K12" s="390"/>
      <c r="L12" s="390"/>
      <c r="M12" s="391"/>
      <c r="O12" s="106"/>
      <c r="Q12" s="110" t="s">
        <v>1977</v>
      </c>
      <c r="S12" s="111">
        <v>154</v>
      </c>
    </row>
    <row r="13" spans="2:19" ht="3.95" customHeight="1" x14ac:dyDescent="0.25">
      <c r="B13" s="106"/>
      <c r="O13" s="106"/>
    </row>
    <row r="14" spans="2:19" ht="38.25" customHeight="1" x14ac:dyDescent="0.25">
      <c r="B14" s="106"/>
      <c r="D14" s="378" t="s">
        <v>6</v>
      </c>
      <c r="E14" s="379"/>
      <c r="F14" s="389" t="s">
        <v>1327</v>
      </c>
      <c r="G14" s="390"/>
      <c r="H14" s="390"/>
      <c r="I14" s="390"/>
      <c r="J14" s="390"/>
      <c r="K14" s="390"/>
      <c r="L14" s="390"/>
      <c r="M14" s="391"/>
      <c r="O14" s="106"/>
    </row>
    <row r="15" spans="2:19" ht="3.95" customHeight="1" x14ac:dyDescent="0.25">
      <c r="B15" s="106"/>
      <c r="O15" s="106"/>
    </row>
    <row r="16" spans="2:19" ht="3" customHeight="1" x14ac:dyDescent="0.25">
      <c r="B16" s="106"/>
      <c r="C16" s="106"/>
      <c r="D16" s="106"/>
      <c r="E16" s="106"/>
      <c r="F16" s="106"/>
      <c r="G16" s="106"/>
      <c r="H16" s="106"/>
      <c r="I16" s="106"/>
      <c r="J16" s="106"/>
      <c r="K16" s="106"/>
      <c r="L16" s="106"/>
      <c r="M16" s="106"/>
      <c r="N16" s="106"/>
      <c r="O16" s="106"/>
    </row>
    <row r="17" spans="2:17" ht="3" customHeight="1" x14ac:dyDescent="0.25"/>
    <row r="18" spans="2:17" ht="3" customHeight="1" x14ac:dyDescent="0.25">
      <c r="B18" s="106"/>
      <c r="C18" s="106"/>
      <c r="D18" s="106"/>
      <c r="E18" s="106"/>
      <c r="F18" s="106"/>
      <c r="G18" s="106"/>
      <c r="H18" s="106"/>
      <c r="I18" s="106"/>
      <c r="J18" s="106"/>
      <c r="K18" s="106"/>
      <c r="L18" s="106"/>
      <c r="M18" s="106"/>
      <c r="N18" s="106"/>
      <c r="O18" s="106"/>
    </row>
    <row r="19" spans="2:17" ht="3.95" customHeight="1" x14ac:dyDescent="0.25">
      <c r="B19" s="106"/>
      <c r="O19" s="106"/>
    </row>
    <row r="20" spans="2:17" x14ac:dyDescent="0.25">
      <c r="B20" s="106"/>
      <c r="D20" s="112" t="s">
        <v>7</v>
      </c>
      <c r="O20" s="106"/>
    </row>
    <row r="21" spans="2:17" ht="3.95" customHeight="1" x14ac:dyDescent="0.25">
      <c r="B21" s="106"/>
      <c r="O21" s="106"/>
    </row>
    <row r="22" spans="2:17" ht="18.75" customHeight="1" x14ac:dyDescent="0.25">
      <c r="B22" s="106"/>
      <c r="D22" s="387" t="s">
        <v>8</v>
      </c>
      <c r="E22" s="387"/>
      <c r="F22" s="113" t="s">
        <v>1978</v>
      </c>
      <c r="G22" s="387" t="s">
        <v>9</v>
      </c>
      <c r="H22" s="387"/>
      <c r="I22" s="114">
        <f>+IFERROR(VLOOKUP($S$12,[1]Hoja1!$B$5:$AT$190,19,FALSE),"")</f>
        <v>1</v>
      </c>
      <c r="K22" s="387" t="s">
        <v>10</v>
      </c>
      <c r="L22" s="387"/>
      <c r="M22" s="115" t="str">
        <f>+IFERROR(VLOOKUP($S$12,[1]Hoja1!$B$5:$AT$190,22,FALSE),"")</f>
        <v>Si</v>
      </c>
      <c r="O22" s="106"/>
    </row>
    <row r="23" spans="2:17" ht="19.5" customHeight="1" x14ac:dyDescent="0.25">
      <c r="B23" s="106"/>
      <c r="D23" s="387" t="s">
        <v>11</v>
      </c>
      <c r="E23" s="387"/>
      <c r="F23" s="107" t="str">
        <f>+IFERROR(VLOOKUP($S$12,[1]Hoja1!$B$5:$AT$190,33,FALSE),"")</f>
        <v>Mensual</v>
      </c>
      <c r="G23" s="387" t="s">
        <v>12</v>
      </c>
      <c r="H23" s="387"/>
      <c r="I23" s="107" t="str">
        <f>+IFERROR(VLOOKUP($S$12,[1]Hoja1!$B$5:$AT$190,21,FALSE),"")</f>
        <v>Porcentaje</v>
      </c>
      <c r="K23" s="387" t="s">
        <v>13</v>
      </c>
      <c r="L23" s="387"/>
      <c r="M23" s="115" t="str">
        <f>+IFERROR(VLOOKUP($S$12,[1]Hoja1!$B$5:$AT$190,23,FALSE),"")</f>
        <v>No</v>
      </c>
      <c r="O23" s="106"/>
    </row>
    <row r="24" spans="2:17" ht="20.100000000000001" customHeight="1" x14ac:dyDescent="0.25">
      <c r="B24" s="106"/>
      <c r="D24" s="387" t="s">
        <v>14</v>
      </c>
      <c r="E24" s="387"/>
      <c r="F24" s="107" t="s">
        <v>498</v>
      </c>
      <c r="G24" s="387" t="s">
        <v>15</v>
      </c>
      <c r="H24" s="387"/>
      <c r="I24" s="107" t="s">
        <v>103</v>
      </c>
      <c r="K24" s="387" t="s">
        <v>16</v>
      </c>
      <c r="L24" s="387"/>
      <c r="M24" s="115" t="str">
        <f>+IFERROR(VLOOKUP($S$12,[1]Hoja1!$B$5:$AT$190,24,FALSE),"")</f>
        <v>No</v>
      </c>
      <c r="O24" s="106"/>
    </row>
    <row r="25" spans="2:17" ht="20.100000000000001" customHeight="1" x14ac:dyDescent="0.25">
      <c r="B25" s="106"/>
      <c r="D25" s="387" t="s">
        <v>17</v>
      </c>
      <c r="E25" s="387"/>
      <c r="F25" s="107" t="str">
        <f>+IFERROR(VLOOKUP($S$12,[1]Hoja1!$B$5:$AT$190,18,FALSE),"")</f>
        <v>Eficiencia</v>
      </c>
      <c r="O25" s="106"/>
    </row>
    <row r="26" spans="2:17" ht="3.95" customHeight="1" x14ac:dyDescent="0.25">
      <c r="B26" s="106"/>
      <c r="O26" s="106"/>
    </row>
    <row r="27" spans="2:17" x14ac:dyDescent="0.25">
      <c r="B27" s="106"/>
      <c r="D27" s="112" t="s">
        <v>18</v>
      </c>
      <c r="O27" s="106"/>
    </row>
    <row r="28" spans="2:17" ht="3.95" customHeight="1" x14ac:dyDescent="0.25">
      <c r="B28" s="106"/>
      <c r="O28" s="106"/>
    </row>
    <row r="29" spans="2:17" ht="36" customHeight="1" x14ac:dyDescent="0.25">
      <c r="B29" s="106"/>
      <c r="D29" s="393" t="s">
        <v>19</v>
      </c>
      <c r="E29" s="393"/>
      <c r="F29" s="344" t="s">
        <v>482</v>
      </c>
      <c r="G29" s="344"/>
      <c r="H29" s="344"/>
      <c r="I29" s="344"/>
      <c r="J29" s="344"/>
      <c r="K29" s="344"/>
      <c r="L29" s="344"/>
      <c r="M29" s="344"/>
      <c r="O29" s="106"/>
      <c r="P29" s="105" t="s">
        <v>1996</v>
      </c>
    </row>
    <row r="30" spans="2:17" ht="18" customHeight="1" x14ac:dyDescent="0.25">
      <c r="B30" s="106"/>
      <c r="D30" s="404" t="s">
        <v>21</v>
      </c>
      <c r="E30" s="405"/>
      <c r="F30" s="10" t="s">
        <v>22</v>
      </c>
      <c r="G30" s="349" t="s">
        <v>5</v>
      </c>
      <c r="H30" s="350"/>
      <c r="I30" s="350"/>
      <c r="J30" s="350"/>
      <c r="K30" s="350"/>
      <c r="L30" s="350"/>
      <c r="M30" s="351"/>
      <c r="O30" s="106"/>
      <c r="Q30" s="105" t="str">
        <f>+IFERROR(VLOOKUP(G31,[1]base!$A$9:$C$25,3,FALSE),"")</f>
        <v>NA</v>
      </c>
    </row>
    <row r="31" spans="2:17" ht="24" customHeight="1" x14ac:dyDescent="0.25">
      <c r="B31" s="106"/>
      <c r="D31" s="406"/>
      <c r="E31" s="407"/>
      <c r="F31" s="4" t="s">
        <v>168</v>
      </c>
      <c r="G31" s="340" t="s">
        <v>169</v>
      </c>
      <c r="H31" s="341"/>
      <c r="I31" s="341"/>
      <c r="J31" s="341"/>
      <c r="K31" s="341"/>
      <c r="L31" s="341"/>
      <c r="M31" s="342"/>
      <c r="O31" s="106"/>
    </row>
    <row r="32" spans="2:17" ht="18" customHeight="1" x14ac:dyDescent="0.25">
      <c r="B32" s="106"/>
      <c r="D32" s="404" t="s">
        <v>23</v>
      </c>
      <c r="E32" s="405"/>
      <c r="F32" s="116" t="s">
        <v>22</v>
      </c>
      <c r="G32" s="408" t="s">
        <v>5</v>
      </c>
      <c r="H32" s="409"/>
      <c r="I32" s="409"/>
      <c r="J32" s="409"/>
      <c r="K32" s="409"/>
      <c r="L32" s="409"/>
      <c r="M32" s="410"/>
      <c r="O32" s="106"/>
    </row>
    <row r="33" spans="2:17" ht="24" customHeight="1" x14ac:dyDescent="0.25">
      <c r="B33" s="106"/>
      <c r="D33" s="406"/>
      <c r="E33" s="407"/>
      <c r="F33" s="117" t="str">
        <f>+IFERROR(VLOOKUP(G33,[1]base!$A$26:$B$40,2,FALSE),"")</f>
        <v/>
      </c>
      <c r="G33" s="389"/>
      <c r="H33" s="390"/>
      <c r="I33" s="390"/>
      <c r="J33" s="390"/>
      <c r="K33" s="390"/>
      <c r="L33" s="390"/>
      <c r="M33" s="391"/>
      <c r="O33" s="106"/>
      <c r="Q33" s="105" t="str">
        <f>+IFERROR(IF(VLOOKUP(G33,[1]base!$A$26:$C$40,3,FALSE)=F31,1,0),"")</f>
        <v/>
      </c>
    </row>
    <row r="34" spans="2:17" ht="18" customHeight="1" x14ac:dyDescent="0.25">
      <c r="B34" s="106"/>
      <c r="D34" s="404" t="s">
        <v>24</v>
      </c>
      <c r="E34" s="405"/>
      <c r="F34" s="116" t="s">
        <v>22</v>
      </c>
      <c r="G34" s="408" t="s">
        <v>5</v>
      </c>
      <c r="H34" s="409"/>
      <c r="I34" s="409"/>
      <c r="J34" s="409"/>
      <c r="K34" s="409"/>
      <c r="L34" s="409"/>
      <c r="M34" s="410"/>
      <c r="O34" s="106"/>
    </row>
    <row r="35" spans="2:17" ht="32.25" customHeight="1" x14ac:dyDescent="0.25">
      <c r="B35" s="106"/>
      <c r="D35" s="406"/>
      <c r="E35" s="407"/>
      <c r="F35" s="4" t="s">
        <v>1713</v>
      </c>
      <c r="G35" s="340" t="s">
        <v>1589</v>
      </c>
      <c r="H35" s="341"/>
      <c r="I35" s="341"/>
      <c r="J35" s="341"/>
      <c r="K35" s="341"/>
      <c r="L35" s="341"/>
      <c r="M35" s="342"/>
      <c r="O35" s="106"/>
    </row>
    <row r="36" spans="2:17" ht="3.95" customHeight="1" x14ac:dyDescent="0.25">
      <c r="B36" s="106"/>
      <c r="O36" s="106"/>
    </row>
    <row r="37" spans="2:17" ht="3" customHeight="1" x14ac:dyDescent="0.25">
      <c r="B37" s="106"/>
      <c r="C37" s="106"/>
      <c r="D37" s="106"/>
      <c r="E37" s="106"/>
      <c r="F37" s="106"/>
      <c r="G37" s="106"/>
      <c r="H37" s="106"/>
      <c r="I37" s="106"/>
      <c r="J37" s="106"/>
      <c r="K37" s="106"/>
      <c r="L37" s="106"/>
      <c r="M37" s="106"/>
      <c r="N37" s="106"/>
      <c r="O37" s="106"/>
    </row>
    <row r="38" spans="2:17" ht="3" customHeight="1" x14ac:dyDescent="0.25"/>
    <row r="39" spans="2:17" ht="3" customHeight="1" x14ac:dyDescent="0.25">
      <c r="B39" s="106"/>
      <c r="C39" s="106"/>
      <c r="D39" s="106"/>
      <c r="E39" s="106"/>
      <c r="F39" s="106"/>
      <c r="G39" s="106"/>
      <c r="H39" s="106"/>
      <c r="I39" s="106"/>
      <c r="J39" s="106"/>
      <c r="K39" s="106"/>
      <c r="L39" s="106"/>
      <c r="M39" s="106"/>
      <c r="N39" s="106"/>
      <c r="O39" s="106"/>
    </row>
    <row r="40" spans="2:17" ht="3.95" customHeight="1" x14ac:dyDescent="0.25">
      <c r="B40" s="106"/>
      <c r="D40" s="112"/>
      <c r="O40" s="106"/>
    </row>
    <row r="41" spans="2:17" x14ac:dyDescent="0.25">
      <c r="B41" s="106"/>
      <c r="D41" s="112" t="s">
        <v>25</v>
      </c>
      <c r="O41" s="106"/>
    </row>
    <row r="42" spans="2:17" ht="3.95" customHeight="1" x14ac:dyDescent="0.25">
      <c r="B42" s="106"/>
      <c r="O42" s="106"/>
    </row>
    <row r="43" spans="2:17" ht="20.100000000000001" customHeight="1" x14ac:dyDescent="0.25">
      <c r="B43" s="106"/>
      <c r="D43" s="387" t="s">
        <v>26</v>
      </c>
      <c r="E43" s="387"/>
      <c r="F43" s="107" t="s">
        <v>2</v>
      </c>
      <c r="O43" s="106"/>
    </row>
    <row r="44" spans="2:17" ht="18" customHeight="1" x14ac:dyDescent="0.25">
      <c r="B44" s="106"/>
      <c r="D44" s="397" t="s">
        <v>27</v>
      </c>
      <c r="E44" s="398"/>
      <c r="F44" s="118" t="s">
        <v>22</v>
      </c>
      <c r="G44" s="401" t="s">
        <v>5</v>
      </c>
      <c r="H44" s="402"/>
      <c r="I44" s="402"/>
      <c r="J44" s="402"/>
      <c r="K44" s="402"/>
      <c r="L44" s="402"/>
      <c r="M44" s="403"/>
      <c r="O44" s="106"/>
    </row>
    <row r="45" spans="2:17" ht="18" customHeight="1" x14ac:dyDescent="0.25">
      <c r="B45" s="106"/>
      <c r="D45" s="399"/>
      <c r="E45" s="400"/>
      <c r="F45" s="107" t="str">
        <f>+IFERROR(VLOOKUP(G45,[1]base!$A$41:$B$45,2,FALSE),"")</f>
        <v>LP5</v>
      </c>
      <c r="G45" s="389" t="str">
        <f>+IFERROR(VLOOKUP($S$12,[1]Hoja1!$B$5:$AT$190,6,FALSE),"")</f>
        <v>Gestión Financiera</v>
      </c>
      <c r="H45" s="390"/>
      <c r="I45" s="390"/>
      <c r="J45" s="390"/>
      <c r="K45" s="390"/>
      <c r="L45" s="390"/>
      <c r="M45" s="391"/>
      <c r="O45" s="106"/>
      <c r="Q45" s="105" t="str">
        <f>+IFERROR(VLOOKUP(G45,[1]base!$A$41:$C$45,3,FALSE),"")</f>
        <v>financiera</v>
      </c>
    </row>
    <row r="46" spans="2:17" ht="18" customHeight="1" x14ac:dyDescent="0.25">
      <c r="B46" s="106"/>
      <c r="D46" s="397" t="s">
        <v>28</v>
      </c>
      <c r="E46" s="398"/>
      <c r="F46" s="118" t="s">
        <v>22</v>
      </c>
      <c r="G46" s="401" t="s">
        <v>5</v>
      </c>
      <c r="H46" s="402"/>
      <c r="I46" s="402"/>
      <c r="J46" s="402"/>
      <c r="K46" s="402"/>
      <c r="L46" s="402"/>
      <c r="M46" s="403"/>
      <c r="O46" s="106"/>
    </row>
    <row r="47" spans="2:17" ht="18" customHeight="1" x14ac:dyDescent="0.25">
      <c r="B47" s="106"/>
      <c r="D47" s="399"/>
      <c r="E47" s="400"/>
      <c r="F47" s="107" t="str">
        <f>+IFERROR(VLOOKUP(G47,[1]base!$A$46:$B$66,2,FALSE),"")</f>
        <v/>
      </c>
      <c r="G47" s="389"/>
      <c r="H47" s="390"/>
      <c r="I47" s="390"/>
      <c r="J47" s="390"/>
      <c r="K47" s="390"/>
      <c r="L47" s="390"/>
      <c r="M47" s="391"/>
      <c r="O47" s="106"/>
      <c r="Q47" s="105" t="e">
        <f>+IF(VLOOKUP(G47,[1]base!$A$46:$C$66,3,FALSE)=F45,1,0)</f>
        <v>#N/A</v>
      </c>
    </row>
    <row r="48" spans="2:17" ht="18" customHeight="1" x14ac:dyDescent="0.25">
      <c r="B48" s="106"/>
      <c r="D48" s="397" t="s">
        <v>29</v>
      </c>
      <c r="E48" s="398"/>
      <c r="F48" s="118" t="s">
        <v>22</v>
      </c>
      <c r="G48" s="401" t="s">
        <v>5</v>
      </c>
      <c r="H48" s="402"/>
      <c r="I48" s="402"/>
      <c r="J48" s="402"/>
      <c r="K48" s="402"/>
      <c r="L48" s="402"/>
      <c r="M48" s="403"/>
      <c r="O48" s="106"/>
    </row>
    <row r="49" spans="2:15" ht="29.25" customHeight="1" x14ac:dyDescent="0.25">
      <c r="B49" s="106"/>
      <c r="D49" s="399"/>
      <c r="E49" s="400"/>
      <c r="F49" s="119" t="str">
        <f>+IFERROR(VLOOKUP(G49,[1]base!$G$37:$H$47,2,FALSE),"")</f>
        <v>C-310-300-2</v>
      </c>
      <c r="G49" s="389" t="s">
        <v>899</v>
      </c>
      <c r="H49" s="390"/>
      <c r="I49" s="390"/>
      <c r="J49" s="390"/>
      <c r="K49" s="390"/>
      <c r="L49" s="390"/>
      <c r="M49" s="391"/>
      <c r="O49" s="106"/>
    </row>
    <row r="50" spans="2:15" ht="3.95" customHeight="1" x14ac:dyDescent="0.25">
      <c r="B50" s="106"/>
      <c r="O50" s="106"/>
    </row>
    <row r="51" spans="2:15" ht="20.100000000000001" customHeight="1" x14ac:dyDescent="0.25">
      <c r="B51" s="106"/>
      <c r="D51" s="387" t="s">
        <v>31</v>
      </c>
      <c r="E51" s="387"/>
      <c r="F51" s="107" t="str">
        <f>+IFERROR(VLOOKUP($S$12,[1]Hoja1!$B$5:$AT$190,26,FALSE),"")</f>
        <v>No</v>
      </c>
      <c r="G51" s="387" t="s">
        <v>32</v>
      </c>
      <c r="H51" s="387"/>
      <c r="I51" s="120" t="str">
        <f>+IFERROR(IF(F51="No","",VLOOKUP($S$12,[1]Hoja1!$B$5:$AT$190,20,FALSE)),"")</f>
        <v/>
      </c>
      <c r="O51" s="106"/>
    </row>
    <row r="52" spans="2:15" ht="3.95" customHeight="1" x14ac:dyDescent="0.25">
      <c r="B52" s="106"/>
      <c r="O52" s="106"/>
    </row>
    <row r="53" spans="2:15" ht="3" customHeight="1" x14ac:dyDescent="0.25">
      <c r="B53" s="106"/>
      <c r="C53" s="106"/>
      <c r="D53" s="106"/>
      <c r="E53" s="106"/>
      <c r="F53" s="106"/>
      <c r="G53" s="106"/>
      <c r="H53" s="106"/>
      <c r="I53" s="106"/>
      <c r="J53" s="106"/>
      <c r="K53" s="106"/>
      <c r="L53" s="106"/>
      <c r="M53" s="106"/>
      <c r="N53" s="106"/>
      <c r="O53" s="106"/>
    </row>
    <row r="54" spans="2:15" ht="3" customHeight="1" x14ac:dyDescent="0.25"/>
    <row r="55" spans="2:15" ht="3.95" customHeight="1" x14ac:dyDescent="0.25">
      <c r="B55" s="106"/>
      <c r="C55" s="106"/>
      <c r="D55" s="106"/>
      <c r="E55" s="106"/>
      <c r="F55" s="106"/>
      <c r="G55" s="106"/>
      <c r="H55" s="106"/>
      <c r="I55" s="106"/>
      <c r="J55" s="106"/>
      <c r="K55" s="106"/>
      <c r="L55" s="106"/>
      <c r="M55" s="106"/>
      <c r="N55" s="106"/>
      <c r="O55" s="106"/>
    </row>
    <row r="56" spans="2:15" ht="3.95" customHeight="1" x14ac:dyDescent="0.25">
      <c r="B56" s="106"/>
      <c r="O56" s="106"/>
    </row>
    <row r="57" spans="2:15" x14ac:dyDescent="0.25">
      <c r="B57" s="106"/>
      <c r="D57" s="112" t="s">
        <v>33</v>
      </c>
      <c r="O57" s="106"/>
    </row>
    <row r="58" spans="2:15" ht="3.95" customHeight="1" x14ac:dyDescent="0.25">
      <c r="B58" s="106"/>
      <c r="O58" s="106"/>
    </row>
    <row r="59" spans="2:15" ht="30" customHeight="1" x14ac:dyDescent="0.25">
      <c r="B59" s="106"/>
      <c r="D59" s="387" t="s">
        <v>34</v>
      </c>
      <c r="E59" s="387"/>
      <c r="F59" s="370" t="str">
        <f>+IF(F60="","",F60&amp;" / "&amp;F61)</f>
        <v>Recursos Comprometidos / Meta Mensual de Compromisos</v>
      </c>
      <c r="G59" s="370"/>
      <c r="H59" s="370"/>
      <c r="I59" s="370"/>
      <c r="J59" s="370"/>
      <c r="K59" s="370"/>
      <c r="L59" s="370"/>
      <c r="M59" s="370"/>
      <c r="O59" s="106"/>
    </row>
    <row r="60" spans="2:15" ht="30" customHeight="1" x14ac:dyDescent="0.25">
      <c r="B60" s="106"/>
      <c r="D60" s="369" t="s">
        <v>35</v>
      </c>
      <c r="E60" s="369"/>
      <c r="F60" s="370" t="str">
        <f>+IFERROR(VLOOKUP($S$12,[1]Hoja1!$B$5:$AT$190,28,FALSE),"")</f>
        <v>Recursos Comprometidos</v>
      </c>
      <c r="G60" s="370"/>
      <c r="H60" s="370"/>
      <c r="I60" s="370"/>
      <c r="J60" s="370"/>
      <c r="K60" s="370"/>
      <c r="L60" s="370"/>
      <c r="M60" s="370"/>
      <c r="O60" s="106"/>
    </row>
    <row r="61" spans="2:15" ht="30" customHeight="1" x14ac:dyDescent="0.25">
      <c r="B61" s="106"/>
      <c r="D61" s="369" t="s">
        <v>36</v>
      </c>
      <c r="E61" s="369"/>
      <c r="F61" s="389" t="str">
        <f>+IFERROR(VLOOKUP($S$12,[1]Hoja1!$B$5:$AT$190,30,FALSE),"")</f>
        <v>Meta Mensual de Compromisos</v>
      </c>
      <c r="G61" s="390"/>
      <c r="H61" s="390"/>
      <c r="I61" s="390"/>
      <c r="J61" s="390"/>
      <c r="K61" s="390"/>
      <c r="L61" s="390"/>
      <c r="M61" s="391"/>
      <c r="O61" s="106"/>
    </row>
    <row r="62" spans="2:15" ht="3.95" customHeight="1" x14ac:dyDescent="0.25">
      <c r="B62" s="106"/>
      <c r="O62" s="106"/>
    </row>
    <row r="63" spans="2:15" ht="3" customHeight="1" x14ac:dyDescent="0.25">
      <c r="B63" s="106"/>
      <c r="C63" s="106"/>
      <c r="D63" s="106"/>
      <c r="E63" s="106"/>
      <c r="F63" s="106"/>
      <c r="G63" s="106"/>
      <c r="H63" s="106"/>
      <c r="I63" s="106"/>
      <c r="J63" s="106"/>
      <c r="K63" s="106"/>
      <c r="L63" s="106"/>
      <c r="M63" s="106"/>
      <c r="N63" s="106"/>
      <c r="O63" s="106"/>
    </row>
    <row r="64" spans="2:15" x14ac:dyDescent="0.25">
      <c r="M64" s="121" t="s">
        <v>37</v>
      </c>
    </row>
    <row r="65" spans="2:45" ht="3" customHeight="1" x14ac:dyDescent="0.25">
      <c r="B65" s="106"/>
      <c r="C65" s="106"/>
      <c r="D65" s="106"/>
      <c r="E65" s="106"/>
      <c r="F65" s="106"/>
      <c r="G65" s="106"/>
      <c r="H65" s="106"/>
      <c r="I65" s="106"/>
      <c r="J65" s="106"/>
      <c r="K65" s="106"/>
      <c r="L65" s="106"/>
      <c r="M65" s="106"/>
      <c r="N65" s="106"/>
      <c r="O65" s="106"/>
    </row>
    <row r="66" spans="2:45" ht="3.95" customHeight="1" x14ac:dyDescent="0.25">
      <c r="B66" s="106"/>
      <c r="O66" s="106"/>
    </row>
    <row r="67" spans="2:45" x14ac:dyDescent="0.25">
      <c r="B67" s="106"/>
      <c r="D67" s="392" t="s">
        <v>38</v>
      </c>
      <c r="E67" s="392"/>
      <c r="O67" s="106"/>
    </row>
    <row r="68" spans="2:45" ht="3.95" customHeight="1" x14ac:dyDescent="0.25">
      <c r="B68" s="106"/>
      <c r="D68" s="112"/>
      <c r="E68" s="112"/>
      <c r="O68" s="106"/>
    </row>
    <row r="69" spans="2:45" ht="18.75" customHeight="1" x14ac:dyDescent="0.25">
      <c r="B69" s="106"/>
      <c r="O69" s="106"/>
      <c r="Q69" s="122" t="s">
        <v>11</v>
      </c>
      <c r="S69" s="105" t="str">
        <f>+IF(F23=0,"",F23)</f>
        <v>Mensual</v>
      </c>
      <c r="U69" s="105">
        <f>+IFERROR(VLOOKUP(S69,[1]base!$H$23:$I$28,2,FALSE),"")</f>
        <v>1</v>
      </c>
    </row>
    <row r="70" spans="2:45" ht="3.95" customHeight="1" x14ac:dyDescent="0.25">
      <c r="B70" s="106"/>
      <c r="D70" s="112"/>
      <c r="E70" s="112"/>
      <c r="O70" s="106"/>
    </row>
    <row r="71" spans="2:45" ht="18.75" customHeight="1" x14ac:dyDescent="0.25">
      <c r="B71" s="106"/>
      <c r="D71" s="393" t="s">
        <v>39</v>
      </c>
      <c r="E71" s="393"/>
      <c r="F71" s="107" t="s">
        <v>47</v>
      </c>
      <c r="G71" s="105">
        <f>+IFERROR(VLOOKUP(F71,$AE$75:$AF$86,2,FALSE),"")</f>
        <v>3</v>
      </c>
      <c r="O71" s="106"/>
      <c r="Q71" s="122" t="s">
        <v>14</v>
      </c>
      <c r="S71" s="105" t="str">
        <f>+IF(F24=0,"",F24)</f>
        <v>Creciente</v>
      </c>
    </row>
    <row r="72" spans="2:45" ht="3.95" customHeight="1" x14ac:dyDescent="0.25">
      <c r="B72" s="106"/>
      <c r="D72" s="112"/>
      <c r="E72" s="112"/>
      <c r="O72" s="106"/>
    </row>
    <row r="73" spans="2:45" x14ac:dyDescent="0.25">
      <c r="B73" s="106"/>
      <c r="D73" s="394" t="s">
        <v>41</v>
      </c>
      <c r="E73" s="394"/>
      <c r="F73" s="395" t="s">
        <v>42</v>
      </c>
      <c r="G73" s="396"/>
      <c r="H73" s="395" t="s">
        <v>43</v>
      </c>
      <c r="I73" s="396"/>
      <c r="J73" s="395" t="s">
        <v>44</v>
      </c>
      <c r="K73" s="396"/>
      <c r="L73" s="395" t="s">
        <v>45</v>
      </c>
      <c r="M73" s="396"/>
      <c r="O73" s="106"/>
      <c r="S73" s="111">
        <f>+IFERROR(VLOOKUP(S74,$AE$75:$AK$86,7,FALSE),"")</f>
        <v>0</v>
      </c>
      <c r="U73" s="111">
        <f>+IFERROR(VLOOKUP(U74,$AE$75:$AK$86,7,FALSE),"")</f>
        <v>0</v>
      </c>
      <c r="W73" s="111">
        <f>+IFERROR(VLOOKUP(W74,$AE$75:$AK$86,7,FALSE),"")</f>
        <v>1</v>
      </c>
      <c r="Y73" s="111">
        <f>+IFERROR(VLOOKUP(Y74,$AE$75:$AK$86,7,FALSE),"")</f>
        <v>1</v>
      </c>
      <c r="AA73" s="111">
        <f>+IFERROR(VLOOKUP(AA74,$AE$75:$AK$86,7,FALSE),"")</f>
        <v>1</v>
      </c>
      <c r="AC73" s="111">
        <f>+IFERROR(VLOOKUP(AC74,$AE$75:$AK$86,7,FALSE),"")</f>
        <v>1</v>
      </c>
      <c r="AL73" s="388" t="s">
        <v>42</v>
      </c>
      <c r="AM73" s="388"/>
      <c r="AN73" s="388" t="s">
        <v>43</v>
      </c>
      <c r="AO73" s="388"/>
      <c r="AP73" s="388" t="s">
        <v>44</v>
      </c>
      <c r="AQ73" s="388"/>
      <c r="AR73" s="388" t="s">
        <v>45</v>
      </c>
      <c r="AS73" s="388"/>
    </row>
    <row r="74" spans="2:45" x14ac:dyDescent="0.25">
      <c r="B74" s="106"/>
      <c r="D74" s="394"/>
      <c r="E74" s="394"/>
      <c r="F74" s="123" t="str">
        <f>+IF($F$24="Decreciente","Max","Min")</f>
        <v>Min</v>
      </c>
      <c r="G74" s="123" t="str">
        <f>+IF($F$24="Decreciente","MIn","Max")</f>
        <v>Max</v>
      </c>
      <c r="H74" s="123" t="str">
        <f>+IF($F$24="Decreciente","Max","Min")</f>
        <v>Min</v>
      </c>
      <c r="I74" s="123" t="str">
        <f>+IF($F$24="Decreciente","MIn","Max")</f>
        <v>Max</v>
      </c>
      <c r="J74" s="123" t="str">
        <f>+IF($F$24="Decreciente","Max","Min")</f>
        <v>Min</v>
      </c>
      <c r="K74" s="123" t="str">
        <f>+IF($F$24="Decreciente","MIn","Max")</f>
        <v>Max</v>
      </c>
      <c r="L74" s="123" t="str">
        <f>+IF($F$24="Decreciente","Max","Min")</f>
        <v>Min</v>
      </c>
      <c r="M74" s="123" t="str">
        <f>+IF($F$24="Decreciente","MIn","Max")</f>
        <v>Max</v>
      </c>
      <c r="O74" s="106"/>
      <c r="S74" s="124" t="s">
        <v>46</v>
      </c>
      <c r="T74" s="124"/>
      <c r="U74" s="124" t="s">
        <v>40</v>
      </c>
      <c r="V74" s="124"/>
      <c r="W74" s="124" t="s">
        <v>47</v>
      </c>
      <c r="X74" s="124"/>
      <c r="Y74" s="124" t="s">
        <v>48</v>
      </c>
      <c r="Z74" s="124"/>
      <c r="AA74" s="124" t="s">
        <v>49</v>
      </c>
      <c r="AB74" s="124"/>
      <c r="AC74" s="124" t="s">
        <v>50</v>
      </c>
      <c r="AL74" s="125" t="s">
        <v>51</v>
      </c>
      <c r="AM74" s="125" t="s">
        <v>52</v>
      </c>
      <c r="AN74" s="125" t="s">
        <v>51</v>
      </c>
      <c r="AO74" s="125" t="s">
        <v>52</v>
      </c>
      <c r="AP74" s="125" t="s">
        <v>51</v>
      </c>
      <c r="AQ74" s="125" t="s">
        <v>52</v>
      </c>
      <c r="AR74" s="125" t="s">
        <v>51</v>
      </c>
      <c r="AS74" s="125" t="s">
        <v>52</v>
      </c>
    </row>
    <row r="75" spans="2:45" x14ac:dyDescent="0.25">
      <c r="B75" s="106"/>
      <c r="D75" s="386" t="s">
        <v>46</v>
      </c>
      <c r="E75" s="386"/>
      <c r="F75" s="126"/>
      <c r="G75" s="126"/>
      <c r="H75" s="126"/>
      <c r="I75" s="126"/>
      <c r="J75" s="126"/>
      <c r="K75" s="126"/>
      <c r="L75" s="126"/>
      <c r="M75" s="126"/>
      <c r="O75" s="106"/>
      <c r="Q75" s="122" t="s">
        <v>1980</v>
      </c>
      <c r="R75" s="111"/>
      <c r="S75" s="127"/>
      <c r="T75" s="111"/>
      <c r="U75" s="127"/>
      <c r="V75" s="111"/>
      <c r="W75" s="127"/>
      <c r="X75" s="111"/>
      <c r="Y75" s="127"/>
      <c r="Z75" s="111"/>
      <c r="AA75" s="127"/>
      <c r="AB75" s="111"/>
      <c r="AC75" s="127"/>
      <c r="AE75" s="105" t="s">
        <v>46</v>
      </c>
      <c r="AF75" s="105">
        <v>1</v>
      </c>
      <c r="AG75" s="105">
        <f>+IF(AF75&gt;=$G$71,1,0)</f>
        <v>0</v>
      </c>
      <c r="AH75" s="105">
        <f>+IF(AG75=0,0,IF(AG75=1,(SUM($AG$75:AG75)-1),1))</f>
        <v>0</v>
      </c>
      <c r="AI75" s="105">
        <f>+IF(AH75=0,0,IF(MOD(AH75,$U$69)=0,1,0))</f>
        <v>0</v>
      </c>
      <c r="AJ75" s="105">
        <f>+IF(AE75=$F$71,1,0)</f>
        <v>0</v>
      </c>
      <c r="AK75" s="105">
        <f>+MAX(AI75:AJ75)</f>
        <v>0</v>
      </c>
      <c r="AL75" s="128" t="str">
        <f>+""</f>
        <v/>
      </c>
      <c r="AM75" s="128" t="str">
        <f>+IF(AK75=0,"",IF(R78="&gt;",S78+0.001,IF(R78="&lt;",S78-0.001,S78)))</f>
        <v/>
      </c>
      <c r="AN75" s="128" t="str">
        <f>+IF(R77="NA","",IF(AK75=0,"",IF(R78="≥",S78-0.001,IF(R78="≤",S78+0.001,S78))))</f>
        <v/>
      </c>
      <c r="AO75" s="128" t="str">
        <f>IF(R77="NA","",IF(AK75=0,"",IF(R77="&gt;",S77+0.001,IF(R77="&lt;",S77-0.001,S77))))</f>
        <v/>
      </c>
      <c r="AP75" s="128" t="str">
        <f>+IF(R76="NA","",IF(AK75=0,"",IF(R77="≥",S77-0.001,IF(R77="≤",S77+0.001,S77))))</f>
        <v/>
      </c>
      <c r="AQ75" s="128" t="str">
        <f>+IF(R76="NA","",IF(AK75=0,"",IF(R76="&gt;",S76+0.001,IF(R76="&lt;",S76-0.001,S76))))</f>
        <v/>
      </c>
      <c r="AR75" s="128" t="str">
        <f>IF(AK75=0,"",IF(R76="≥",S75-0.001,IF(R76="≤",S75+0.001,"")))</f>
        <v/>
      </c>
      <c r="AS75" s="128" t="str">
        <f>+IF(AK75=0,"",IF(R75="=",S75,""))</f>
        <v/>
      </c>
    </row>
    <row r="76" spans="2:45" x14ac:dyDescent="0.25">
      <c r="B76" s="106"/>
      <c r="D76" s="386" t="s">
        <v>40</v>
      </c>
      <c r="E76" s="386"/>
      <c r="F76" s="126"/>
      <c r="G76" s="126"/>
      <c r="H76" s="126"/>
      <c r="I76" s="126"/>
      <c r="J76" s="126"/>
      <c r="K76" s="126"/>
      <c r="L76" s="126"/>
      <c r="M76" s="126"/>
      <c r="O76" s="106"/>
      <c r="Q76" s="122" t="s">
        <v>1981</v>
      </c>
      <c r="R76" s="111"/>
      <c r="S76" s="127"/>
      <c r="T76" s="111"/>
      <c r="U76" s="127"/>
      <c r="V76" s="111"/>
      <c r="W76" s="127"/>
      <c r="X76" s="111"/>
      <c r="Y76" s="127"/>
      <c r="Z76" s="111"/>
      <c r="AA76" s="127"/>
      <c r="AB76" s="111"/>
      <c r="AC76" s="127"/>
      <c r="AE76" s="105" t="s">
        <v>40</v>
      </c>
      <c r="AF76" s="105">
        <v>2</v>
      </c>
      <c r="AG76" s="105">
        <f t="shared" ref="AG76:AG86" si="0">+IF(AF76&gt;=$G$71,1,0)</f>
        <v>0</v>
      </c>
      <c r="AH76" s="105">
        <f>+IF(AG76=0,0,IF(AG76=1,(SUM($AG$75:AG76)-1),1))</f>
        <v>0</v>
      </c>
      <c r="AI76" s="105">
        <f t="shared" ref="AI76:AI86" si="1">+IF(AH76=0,0,IF(MOD(AH76,$U$69)=0,1,0))</f>
        <v>0</v>
      </c>
      <c r="AJ76" s="105">
        <f t="shared" ref="AJ76:AJ86" si="2">+IF(AE76=$F$71,1,0)</f>
        <v>0</v>
      </c>
      <c r="AK76" s="105">
        <f t="shared" ref="AK76:AK86" si="3">+MAX(AI76:AJ76)</f>
        <v>0</v>
      </c>
      <c r="AL76" s="128" t="str">
        <f>+""</f>
        <v/>
      </c>
      <c r="AM76" s="128" t="str">
        <f>+IF(AK76=0,"",IF(T78="&gt;",U78+0.001,IF(T78="&lt;",U78-0.001,U78)))</f>
        <v/>
      </c>
      <c r="AN76" s="128" t="str">
        <f>+IF(T77="NA","",IF(AK76=0,"",IF(T78="≥",U78-0.001,IF(T78="≤",U78+0.001,U78))))</f>
        <v/>
      </c>
      <c r="AO76" s="128" t="str">
        <f>IF(T77="NA","",IF(AK76=0,"",IF(T77="&gt;",U77+0.001,IF(T77="&lt;",U77-0.001,U77))))</f>
        <v/>
      </c>
      <c r="AP76" s="128" t="str">
        <f>+IF(T76="NA","",IF(AK76=0,"",IF(T77="≥",U77-0.001,IF(T77="≤",U77+0.001,U77))))</f>
        <v/>
      </c>
      <c r="AQ76" s="128" t="str">
        <f>+IF(T76="NA","",IF(AK76=0,"",IF(T76="&gt;",U76+0.001,IF(T76="&lt;",U76-0.001,U76))))</f>
        <v/>
      </c>
      <c r="AR76" s="128" t="str">
        <f>IF(AK76=0,"",IF(T76="≥",U75-0.001,IF(T76="≤",U75+0.001,"")))</f>
        <v/>
      </c>
      <c r="AS76" s="128" t="str">
        <f>+IF(AK76=0,"",IF(T75="=",U75,""))</f>
        <v/>
      </c>
    </row>
    <row r="77" spans="2:45" x14ac:dyDescent="0.25">
      <c r="B77" s="106"/>
      <c r="D77" s="386" t="s">
        <v>47</v>
      </c>
      <c r="E77" s="386"/>
      <c r="F77" s="126"/>
      <c r="G77" s="126">
        <v>0.94</v>
      </c>
      <c r="H77" s="126">
        <v>0.94099999999999995</v>
      </c>
      <c r="I77" s="126">
        <v>0.96899999999999997</v>
      </c>
      <c r="J77" s="126">
        <v>0.97</v>
      </c>
      <c r="K77" s="126">
        <v>0.999</v>
      </c>
      <c r="L77" s="126">
        <v>1</v>
      </c>
      <c r="M77" s="126"/>
      <c r="O77" s="106"/>
      <c r="Q77" s="122" t="s">
        <v>1982</v>
      </c>
      <c r="R77" s="111"/>
      <c r="S77" s="127"/>
      <c r="T77" s="111"/>
      <c r="U77" s="127"/>
      <c r="V77" s="111"/>
      <c r="W77" s="127"/>
      <c r="X77" s="111"/>
      <c r="Y77" s="127"/>
      <c r="Z77" s="111"/>
      <c r="AA77" s="127"/>
      <c r="AB77" s="111"/>
      <c r="AC77" s="127"/>
      <c r="AE77" s="105" t="s">
        <v>47</v>
      </c>
      <c r="AF77" s="105">
        <v>3</v>
      </c>
      <c r="AG77" s="105">
        <f t="shared" si="0"/>
        <v>1</v>
      </c>
      <c r="AH77" s="105">
        <f>+IF(AG77=0,0,IF(AG77=1,(SUM($AG$75:AG77)-1),1))</f>
        <v>0</v>
      </c>
      <c r="AI77" s="105">
        <f t="shared" si="1"/>
        <v>0</v>
      </c>
      <c r="AJ77" s="105">
        <f t="shared" si="2"/>
        <v>1</v>
      </c>
      <c r="AK77" s="105">
        <f t="shared" si="3"/>
        <v>1</v>
      </c>
      <c r="AL77" s="128" t="str">
        <f>+""</f>
        <v/>
      </c>
      <c r="AM77" s="128">
        <f>+IF(AK77=0,"",IF(V78="&gt;",W78+0.001,IF(V78="&lt;",W78-0.001,W78)))</f>
        <v>0</v>
      </c>
      <c r="AN77" s="128">
        <f>+IF(V77="NA","",IF(AK77=0,"",IF(V78="≥",W78-0.001,IF(V78="≤",W78+0.001,W78))))</f>
        <v>0</v>
      </c>
      <c r="AO77" s="128">
        <f>IF(V77="NA","",IF(AK77=0,"",IF(V77="&gt;",W77+0.001,IF(V77="&lt;",W77-0.001,W77))))</f>
        <v>0</v>
      </c>
      <c r="AP77" s="128">
        <f>+IF(V76="NA","",IF(AK77=0,"",IF(V77="≥",W77-0.001,IF(V77="≤",W77+0.001,W77))))</f>
        <v>0</v>
      </c>
      <c r="AQ77" s="128">
        <f>+IF(V76="NA","",IF(AK77=0,"",IF(V76="&gt;",W76+0.001,IF(V76="&lt;",W76-0.001,W76))))</f>
        <v>0</v>
      </c>
      <c r="AR77" s="128" t="str">
        <f>IF(AK77=0,"",IF(V76="≥",W75-0.001,IF(V76="≤",W75+0.001,"")))</f>
        <v/>
      </c>
      <c r="AS77" s="128" t="str">
        <f>+IF(AK77=0,"",IF(V75="=",W75,""))</f>
        <v/>
      </c>
    </row>
    <row r="78" spans="2:45" x14ac:dyDescent="0.25">
      <c r="B78" s="106"/>
      <c r="D78" s="386" t="s">
        <v>48</v>
      </c>
      <c r="E78" s="386"/>
      <c r="F78" s="126"/>
      <c r="G78" s="126">
        <v>0.94</v>
      </c>
      <c r="H78" s="126">
        <v>0.94099999999999995</v>
      </c>
      <c r="I78" s="126">
        <v>0.96899999999999997</v>
      </c>
      <c r="J78" s="126">
        <v>0.97</v>
      </c>
      <c r="K78" s="126">
        <v>0.999</v>
      </c>
      <c r="L78" s="126">
        <v>1</v>
      </c>
      <c r="M78" s="126"/>
      <c r="O78" s="106"/>
      <c r="Q78" s="122" t="s">
        <v>1983</v>
      </c>
      <c r="R78" s="111"/>
      <c r="S78" s="127"/>
      <c r="T78" s="111"/>
      <c r="U78" s="127"/>
      <c r="V78" s="111"/>
      <c r="W78" s="127"/>
      <c r="X78" s="111"/>
      <c r="Y78" s="127"/>
      <c r="Z78" s="111"/>
      <c r="AA78" s="127"/>
      <c r="AB78" s="111"/>
      <c r="AC78" s="127"/>
      <c r="AE78" s="105" t="s">
        <v>48</v>
      </c>
      <c r="AF78" s="105">
        <v>4</v>
      </c>
      <c r="AG78" s="105">
        <f t="shared" si="0"/>
        <v>1</v>
      </c>
      <c r="AH78" s="105">
        <f>+IF(AG78=0,0,IF(AG78=1,(SUM($AG$75:AG78)-1),1))</f>
        <v>1</v>
      </c>
      <c r="AI78" s="105">
        <f t="shared" si="1"/>
        <v>1</v>
      </c>
      <c r="AJ78" s="105">
        <f t="shared" si="2"/>
        <v>0</v>
      </c>
      <c r="AK78" s="105">
        <f t="shared" si="3"/>
        <v>1</v>
      </c>
      <c r="AL78" s="128" t="str">
        <f>+""</f>
        <v/>
      </c>
      <c r="AM78" s="128">
        <f>+IF(AK78=0,"",IF(X78="&gt;",Y78+0.001,IF(X78="&lt;",Y78-0.001,Y78)))</f>
        <v>0</v>
      </c>
      <c r="AN78" s="128">
        <f>+IF(X77="NA","",IF(AK78=0,"",IF(X78="≥",Y78-0.001,IF(X78="≤",Y78+0.001,Y78))))</f>
        <v>0</v>
      </c>
      <c r="AO78" s="128">
        <f>IF(X77="NA","",IF(AK78=0,"",IF(X77="&gt;",Y77+0.001,IF(X77="&lt;",Y77-0.001,Y77))))</f>
        <v>0</v>
      </c>
      <c r="AP78" s="128">
        <f>+IF(X76="NA","",IF(AK78=0,"",IF(X77="≥",Y77-0.001,IF(X77="≤",Y77+0.001,Y77))))</f>
        <v>0</v>
      </c>
      <c r="AQ78" s="128">
        <f>+IF(X76="NA","",IF(AK78=0,"",IF(X76="&gt;",Y76+0.001,IF(X76="&lt;",Y76-0.001,Y76))))</f>
        <v>0</v>
      </c>
      <c r="AR78" s="128" t="str">
        <f>IF(AK78=0,"",IF(X76="≥",Y75-0.001,IF(X76="≤",Y75+0.001,"")))</f>
        <v/>
      </c>
      <c r="AS78" s="128" t="str">
        <f>+IF(AK78=0,"",IF(X75="=",Y75,""))</f>
        <v/>
      </c>
    </row>
    <row r="79" spans="2:45" x14ac:dyDescent="0.25">
      <c r="B79" s="106"/>
      <c r="D79" s="386" t="s">
        <v>49</v>
      </c>
      <c r="E79" s="386"/>
      <c r="F79" s="126"/>
      <c r="G79" s="126">
        <v>0.94</v>
      </c>
      <c r="H79" s="126">
        <v>0.94099999999999995</v>
      </c>
      <c r="I79" s="126">
        <v>0.96899999999999997</v>
      </c>
      <c r="J79" s="126">
        <v>0.97</v>
      </c>
      <c r="K79" s="126">
        <v>0.999</v>
      </c>
      <c r="L79" s="126">
        <v>1</v>
      </c>
      <c r="M79" s="126"/>
      <c r="O79" s="106"/>
      <c r="R79" s="111"/>
      <c r="S79" s="111">
        <f>+IFERROR(VLOOKUP(S80,$AE$75:$AK$86,7,FALSE),"")</f>
        <v>1</v>
      </c>
      <c r="U79" s="111">
        <f>+IFERROR(VLOOKUP(U80,$AE$75:$AK$86,7,FALSE),"")</f>
        <v>1</v>
      </c>
      <c r="W79" s="111">
        <f>+IFERROR(VLOOKUP(W80,$AE$75:$AK$86,7,FALSE),"")</f>
        <v>1</v>
      </c>
      <c r="Y79" s="111">
        <f>+IFERROR(VLOOKUP(Y80,$AE$75:$AK$86,7,FALSE),"")</f>
        <v>1</v>
      </c>
      <c r="AA79" s="111">
        <f>+IFERROR(VLOOKUP(AA80,$AE$75:$AK$86,7,FALSE),"")</f>
        <v>1</v>
      </c>
      <c r="AC79" s="111">
        <f>+IFERROR(VLOOKUP(AC80,$AE$75:$AK$86,7,FALSE),"")</f>
        <v>1</v>
      </c>
      <c r="AE79" s="105" t="s">
        <v>49</v>
      </c>
      <c r="AF79" s="105">
        <v>5</v>
      </c>
      <c r="AG79" s="105">
        <f t="shared" si="0"/>
        <v>1</v>
      </c>
      <c r="AH79" s="105">
        <f>+IF(AG79=0,0,IF(AG79=1,(SUM($AG$75:AG79)-1),1))</f>
        <v>2</v>
      </c>
      <c r="AI79" s="105">
        <f t="shared" si="1"/>
        <v>1</v>
      </c>
      <c r="AJ79" s="105">
        <f t="shared" si="2"/>
        <v>0</v>
      </c>
      <c r="AK79" s="105">
        <f t="shared" si="3"/>
        <v>1</v>
      </c>
      <c r="AL79" s="128" t="str">
        <f>+""</f>
        <v/>
      </c>
      <c r="AM79" s="128">
        <f>+IF(AK79=0,"",IF(Z78="&gt;",AA78+0.001,IF(Z78="&lt;",AA78-0.001,AA78)))</f>
        <v>0</v>
      </c>
      <c r="AN79" s="128">
        <f>+IF(Z77="NA","",IF(AK79=0,"",IF(Z78="≥",AA78-0.001,IF(Z78="≤",AA78+0.001,AA78))))</f>
        <v>0</v>
      </c>
      <c r="AO79" s="128">
        <f>IF(Z77="NA","",IF(AK79=0,"",IF(Z77="&gt;",AA77+0.001,IF(Z77="&lt;",AA77-0.001,AA77))))</f>
        <v>0</v>
      </c>
      <c r="AP79" s="128">
        <f>+IF(Z76="NA","",IF(AK79=0,"",IF(Z77="≥",AA77-0.001,IF(Z77="≤",AA77+0.001,AA77))))</f>
        <v>0</v>
      </c>
      <c r="AQ79" s="128">
        <f>+IF(Z76="NA","",IF(AK79=0,"",IF(Z76="&gt;",AA76+0.001,IF(Z76="&lt;",AA76-0.001,AA76))))</f>
        <v>0</v>
      </c>
      <c r="AR79" s="128" t="str">
        <f>IF(AK79=0,"",IF(Z76="≥",AA75-0.001,IF(Z76="≤",AA75+0.001,"")))</f>
        <v/>
      </c>
      <c r="AS79" s="128" t="str">
        <f>+IF(AK79=0,"",IF(Z75="=",AA75,""))</f>
        <v/>
      </c>
    </row>
    <row r="80" spans="2:45" x14ac:dyDescent="0.25">
      <c r="B80" s="106"/>
      <c r="D80" s="386" t="s">
        <v>50</v>
      </c>
      <c r="E80" s="386"/>
      <c r="F80" s="126"/>
      <c r="G80" s="126">
        <v>0.94</v>
      </c>
      <c r="H80" s="126">
        <v>0.94099999999999995</v>
      </c>
      <c r="I80" s="126">
        <v>0.96899999999999997</v>
      </c>
      <c r="J80" s="126">
        <v>0.97</v>
      </c>
      <c r="K80" s="126">
        <v>0.999</v>
      </c>
      <c r="L80" s="126">
        <v>1</v>
      </c>
      <c r="M80" s="126"/>
      <c r="O80" s="106"/>
      <c r="R80" s="111"/>
      <c r="S80" s="124" t="s">
        <v>53</v>
      </c>
      <c r="T80" s="124"/>
      <c r="U80" s="124" t="s">
        <v>54</v>
      </c>
      <c r="V80" s="124"/>
      <c r="W80" s="124" t="s">
        <v>55</v>
      </c>
      <c r="X80" s="124"/>
      <c r="Y80" s="124" t="s">
        <v>56</v>
      </c>
      <c r="Z80" s="124"/>
      <c r="AA80" s="124" t="s">
        <v>57</v>
      </c>
      <c r="AB80" s="124"/>
      <c r="AC80" s="124" t="s">
        <v>58</v>
      </c>
      <c r="AE80" s="105" t="s">
        <v>50</v>
      </c>
      <c r="AF80" s="105">
        <v>6</v>
      </c>
      <c r="AG80" s="105">
        <f t="shared" si="0"/>
        <v>1</v>
      </c>
      <c r="AH80" s="105">
        <f>+IF(AG80=0,0,IF(AG80=1,(SUM($AG$75:AG80)-1),1))</f>
        <v>3</v>
      </c>
      <c r="AI80" s="105">
        <f t="shared" si="1"/>
        <v>1</v>
      </c>
      <c r="AJ80" s="105">
        <f t="shared" si="2"/>
        <v>0</v>
      </c>
      <c r="AK80" s="105">
        <f t="shared" si="3"/>
        <v>1</v>
      </c>
      <c r="AL80" s="128" t="str">
        <f>+""</f>
        <v/>
      </c>
      <c r="AM80" s="128">
        <f>+IF(AK80=0,"",IF(AB78="&gt;",AC78+0.001,IF(AB78="&lt;",AC78-0.001,AC78)))</f>
        <v>0</v>
      </c>
      <c r="AN80" s="128">
        <f>+IF(AB77="NA","",IF(AK80=0,"",IF(AB78="≥",AC78-0.001,IF(AB78="≤",AC78+0.001,AC78))))</f>
        <v>0</v>
      </c>
      <c r="AO80" s="128">
        <f>IF(AB77="NA","",IF(AK80=0,"",IF(AB77="&gt;",AC77+0.001,IF(AB77="&lt;",AC77-0.001,AC77))))</f>
        <v>0</v>
      </c>
      <c r="AP80" s="128">
        <f>+IF(AB76="NA","",IF(AK80=0,"",IF(AB77="≥",AC77-0.001,IF(AB77="≤",AC77+0.001,AC77))))</f>
        <v>0</v>
      </c>
      <c r="AQ80" s="128">
        <f>+IF(AB76="NA","",IF(AK80=0,"",IF(AB76="&gt;",AC76+0.001,IF(AB76="&lt;",AC76-0.001,AC76))))</f>
        <v>0</v>
      </c>
      <c r="AR80" s="128" t="str">
        <f>IF(AK80=0,"",IF(AB76="≥",AC75-0.001,IF(AB76="≤",AC75+0.001,"")))</f>
        <v/>
      </c>
      <c r="AS80" s="128" t="str">
        <f>+IF(AK80=0,"",IF(AB75="=",AC75,""))</f>
        <v/>
      </c>
    </row>
    <row r="81" spans="2:45" x14ac:dyDescent="0.25">
      <c r="B81" s="106"/>
      <c r="D81" s="386" t="s">
        <v>53</v>
      </c>
      <c r="E81" s="386"/>
      <c r="F81" s="126"/>
      <c r="G81" s="126">
        <v>0.94</v>
      </c>
      <c r="H81" s="126">
        <v>0.94099999999999995</v>
      </c>
      <c r="I81" s="126">
        <v>0.96899999999999997</v>
      </c>
      <c r="J81" s="126">
        <v>0.97</v>
      </c>
      <c r="K81" s="126">
        <v>0.999</v>
      </c>
      <c r="L81" s="126">
        <v>1</v>
      </c>
      <c r="M81" s="126"/>
      <c r="O81" s="106"/>
      <c r="Q81" s="122" t="s">
        <v>1980</v>
      </c>
      <c r="R81" s="111"/>
      <c r="S81" s="127"/>
      <c r="T81" s="111"/>
      <c r="U81" s="127"/>
      <c r="V81" s="111"/>
      <c r="W81" s="127"/>
      <c r="X81" s="111"/>
      <c r="Y81" s="127"/>
      <c r="Z81" s="111"/>
      <c r="AA81" s="127"/>
      <c r="AB81" s="111"/>
      <c r="AC81" s="127"/>
      <c r="AE81" s="105" t="s">
        <v>53</v>
      </c>
      <c r="AF81" s="105">
        <v>7</v>
      </c>
      <c r="AG81" s="105">
        <f t="shared" si="0"/>
        <v>1</v>
      </c>
      <c r="AH81" s="105">
        <f>+IF(AG81=0,0,IF(AG81=1,(SUM($AG$75:AG81)-1),1))</f>
        <v>4</v>
      </c>
      <c r="AI81" s="105">
        <f t="shared" si="1"/>
        <v>1</v>
      </c>
      <c r="AJ81" s="105">
        <f t="shared" si="2"/>
        <v>0</v>
      </c>
      <c r="AK81" s="105">
        <f t="shared" si="3"/>
        <v>1</v>
      </c>
      <c r="AL81" s="128" t="str">
        <f>+""</f>
        <v/>
      </c>
      <c r="AM81" s="128">
        <f>+IF(AK81=0,"",IF(R84="&gt;",S84+0.001,IF(R84="&lt;",S84-0.001,S84)))</f>
        <v>0</v>
      </c>
      <c r="AN81" s="128">
        <f>+IF(R83="NA","",IF(AK81=0,"",IF(R84="≥",S84-0.001,IF(R84="≤",S84+0.001,S84))))</f>
        <v>0</v>
      </c>
      <c r="AO81" s="128">
        <f>IF(R83="NA","",IF(AK81=0,"",IF(R83="&gt;",S83+0.001,IF(R83="&lt;",S83-0.001,S83))))</f>
        <v>0</v>
      </c>
      <c r="AP81" s="128">
        <f>+IF(R82="NA","",IF(AK81=0,"",IF(R83="≥",S83-0.001,IF(R83="≤",S83+0.001,S83))))</f>
        <v>0</v>
      </c>
      <c r="AQ81" s="128">
        <f>+IF(R82="NA","",IF(AK81=0,"",IF(R82="&gt;",S82+0.001,IF(R82="&lt;",S82-0.001,S82))))</f>
        <v>0</v>
      </c>
      <c r="AR81" s="128" t="str">
        <f>IF(AK81=0,"",IF(R82="≥",S81-0.001,IF(R82="≤",S81+0.001,"")))</f>
        <v/>
      </c>
      <c r="AS81" s="128" t="str">
        <f>+IF(AK81=0,"",IF(R81="=",S81,""))</f>
        <v/>
      </c>
    </row>
    <row r="82" spans="2:45" x14ac:dyDescent="0.25">
      <c r="B82" s="106"/>
      <c r="D82" s="386" t="s">
        <v>54</v>
      </c>
      <c r="E82" s="386"/>
      <c r="F82" s="126"/>
      <c r="G82" s="126">
        <v>0.94</v>
      </c>
      <c r="H82" s="126">
        <v>0.94099999999999995</v>
      </c>
      <c r="I82" s="126">
        <v>0.96899999999999997</v>
      </c>
      <c r="J82" s="126">
        <v>0.97</v>
      </c>
      <c r="K82" s="126">
        <v>0.999</v>
      </c>
      <c r="L82" s="126">
        <v>1</v>
      </c>
      <c r="M82" s="126"/>
      <c r="O82" s="106"/>
      <c r="Q82" s="122" t="s">
        <v>1981</v>
      </c>
      <c r="R82" s="111"/>
      <c r="S82" s="127"/>
      <c r="T82" s="111"/>
      <c r="U82" s="127"/>
      <c r="V82" s="111"/>
      <c r="W82" s="127"/>
      <c r="X82" s="111"/>
      <c r="Y82" s="127"/>
      <c r="Z82" s="111"/>
      <c r="AA82" s="127"/>
      <c r="AB82" s="111"/>
      <c r="AC82" s="127"/>
      <c r="AE82" s="105" t="s">
        <v>54</v>
      </c>
      <c r="AF82" s="105">
        <v>8</v>
      </c>
      <c r="AG82" s="105">
        <f t="shared" si="0"/>
        <v>1</v>
      </c>
      <c r="AH82" s="105">
        <f>+IF(AG82=0,0,IF(AG82=1,(SUM($AG$75:AG82)-1),1))</f>
        <v>5</v>
      </c>
      <c r="AI82" s="105">
        <f t="shared" si="1"/>
        <v>1</v>
      </c>
      <c r="AJ82" s="105">
        <f t="shared" si="2"/>
        <v>0</v>
      </c>
      <c r="AK82" s="105">
        <f t="shared" si="3"/>
        <v>1</v>
      </c>
      <c r="AL82" s="128" t="str">
        <f>+""</f>
        <v/>
      </c>
      <c r="AM82" s="128">
        <f>+IF(AK82=0,"",IF(T84="&gt;",U84+0.001,IF(T84="&lt;",U84-0.001,U84)))</f>
        <v>0</v>
      </c>
      <c r="AN82" s="128">
        <f>+IF(T83="NA","",IF(AK82=0,"",IF(T84="≥",U84-0.001,IF(T84="≤",U84+0.001,U84))))</f>
        <v>0</v>
      </c>
      <c r="AO82" s="128">
        <f>IF(T83="NA","",IF(AK82=0,"",IF(T83="&gt;",U83+0.001,IF(T83="&lt;",U83-0.001,U83))))</f>
        <v>0</v>
      </c>
      <c r="AP82" s="128">
        <f>+IF(T82="NA","",IF(AK82=0,"",IF(T83="≥",U83-0.001,IF(T83="≤",U83+0.001,U83))))</f>
        <v>0</v>
      </c>
      <c r="AQ82" s="128">
        <f>+IF(T82="NA","",IF(AK82=0,"",IF(T82="&gt;",U82+0.001,IF(T82="&lt;",U82-0.001,U82))))</f>
        <v>0</v>
      </c>
      <c r="AR82" s="128" t="str">
        <f>IF(AK82=0,"",IF(T82="≥",U81-0.001,IF(T82="≤",U81+0.001,"")))</f>
        <v/>
      </c>
      <c r="AS82" s="128" t="str">
        <f>+IF(AK82=0,"",IF(T81="=",U81,""))</f>
        <v/>
      </c>
    </row>
    <row r="83" spans="2:45" x14ac:dyDescent="0.25">
      <c r="B83" s="106"/>
      <c r="D83" s="386" t="s">
        <v>55</v>
      </c>
      <c r="E83" s="386"/>
      <c r="F83" s="126"/>
      <c r="G83" s="126">
        <v>0.94</v>
      </c>
      <c r="H83" s="126">
        <v>0.94099999999999995</v>
      </c>
      <c r="I83" s="126">
        <v>0.96899999999999997</v>
      </c>
      <c r="J83" s="126">
        <v>0.97</v>
      </c>
      <c r="K83" s="126">
        <v>0.999</v>
      </c>
      <c r="L83" s="126">
        <v>1</v>
      </c>
      <c r="M83" s="126"/>
      <c r="O83" s="106"/>
      <c r="Q83" s="122" t="s">
        <v>1982</v>
      </c>
      <c r="R83" s="111"/>
      <c r="S83" s="127"/>
      <c r="T83" s="111"/>
      <c r="U83" s="127"/>
      <c r="V83" s="111"/>
      <c r="W83" s="127"/>
      <c r="X83" s="111"/>
      <c r="Y83" s="127"/>
      <c r="Z83" s="111"/>
      <c r="AA83" s="127"/>
      <c r="AB83" s="111"/>
      <c r="AC83" s="127"/>
      <c r="AE83" s="105" t="s">
        <v>55</v>
      </c>
      <c r="AF83" s="105">
        <v>9</v>
      </c>
      <c r="AG83" s="105">
        <f t="shared" si="0"/>
        <v>1</v>
      </c>
      <c r="AH83" s="105">
        <f>+IF(AG83=0,0,IF(AG83=1,(SUM($AG$75:AG83)-1),1))</f>
        <v>6</v>
      </c>
      <c r="AI83" s="105">
        <f t="shared" si="1"/>
        <v>1</v>
      </c>
      <c r="AJ83" s="105">
        <f t="shared" si="2"/>
        <v>0</v>
      </c>
      <c r="AK83" s="105">
        <f t="shared" si="3"/>
        <v>1</v>
      </c>
      <c r="AL83" s="128" t="str">
        <f>+""</f>
        <v/>
      </c>
      <c r="AM83" s="128">
        <f>+IF(AK83=0,"",IF(V84="&gt;",W84+0.001,IF(V84="&lt;",W84-0.001,W84)))</f>
        <v>0</v>
      </c>
      <c r="AN83" s="128">
        <f>+IF(V83="NA","",IF(AK83=0,"",IF(V84="≥",W84-0.001,IF(V84="≤",W84+0.001,W84))))</f>
        <v>0</v>
      </c>
      <c r="AO83" s="128">
        <f>IF(V83="NA","",IF(AK83=0,"",IF(V83="&gt;",W83+0.001,IF(V83="&lt;",W83-0.001,W83))))</f>
        <v>0</v>
      </c>
      <c r="AP83" s="128">
        <f>+IF(V82="NA","",IF(AK83=0,"",IF(V83="≥",W83-0.001,IF(V83="≤",W83+0.001,W83))))</f>
        <v>0</v>
      </c>
      <c r="AQ83" s="128">
        <f>+IF(V82="NA","",IF(AK83=0,"",IF(V82="&gt;",W82+0.001,IF(V82="&lt;",W82-0.001,W82))))</f>
        <v>0</v>
      </c>
      <c r="AR83" s="128" t="str">
        <f>IF(AK83=0,"",IF(V82="≥",W81-0.001,IF(V82="≤",W81+0.001,"")))</f>
        <v/>
      </c>
      <c r="AS83" s="128" t="str">
        <f>+IF(AK83=0,"",IF(V81="=",W81,""))</f>
        <v/>
      </c>
    </row>
    <row r="84" spans="2:45" x14ac:dyDescent="0.25">
      <c r="B84" s="106"/>
      <c r="D84" s="386" t="s">
        <v>56</v>
      </c>
      <c r="E84" s="386"/>
      <c r="F84" s="126"/>
      <c r="G84" s="126">
        <v>0.94</v>
      </c>
      <c r="H84" s="126">
        <v>0.94099999999999995</v>
      </c>
      <c r="I84" s="126">
        <v>0.96899999999999997</v>
      </c>
      <c r="J84" s="126">
        <v>0.97</v>
      </c>
      <c r="K84" s="126">
        <v>0.999</v>
      </c>
      <c r="L84" s="126">
        <v>1</v>
      </c>
      <c r="M84" s="126"/>
      <c r="O84" s="106"/>
      <c r="Q84" s="122" t="s">
        <v>1983</v>
      </c>
      <c r="R84" s="111"/>
      <c r="S84" s="127"/>
      <c r="T84" s="111"/>
      <c r="U84" s="127"/>
      <c r="V84" s="111"/>
      <c r="W84" s="127"/>
      <c r="X84" s="111"/>
      <c r="Y84" s="127"/>
      <c r="Z84" s="111"/>
      <c r="AA84" s="127"/>
      <c r="AB84" s="111"/>
      <c r="AC84" s="127"/>
      <c r="AE84" s="105" t="s">
        <v>56</v>
      </c>
      <c r="AF84" s="105">
        <v>10</v>
      </c>
      <c r="AG84" s="105">
        <f t="shared" si="0"/>
        <v>1</v>
      </c>
      <c r="AH84" s="105">
        <f>+IF(AG84=0,0,IF(AG84=1,(SUM($AG$75:AG84)-1),1))</f>
        <v>7</v>
      </c>
      <c r="AI84" s="105">
        <f t="shared" si="1"/>
        <v>1</v>
      </c>
      <c r="AJ84" s="105">
        <f t="shared" si="2"/>
        <v>0</v>
      </c>
      <c r="AK84" s="105">
        <f t="shared" si="3"/>
        <v>1</v>
      </c>
      <c r="AL84" s="128" t="str">
        <f>+""</f>
        <v/>
      </c>
      <c r="AM84" s="128">
        <f>+IF(AK84=0,"",IF(X84="&gt;",Y84+0.001,IF(X84="&lt;",Y84-0.001,Y84)))</f>
        <v>0</v>
      </c>
      <c r="AN84" s="128">
        <f>+IF(X83="NA","",IF(AK84=0,"",IF(X84="≥",Y84-0.001,IF(X84="≤",Y84+0.001,Y84))))</f>
        <v>0</v>
      </c>
      <c r="AO84" s="128">
        <f>IF(X83="NA","",IF(AK84=0,"",IF(X83="&gt;",Y83+0.001,IF(X83="&lt;",Y83-0.001,Y83))))</f>
        <v>0</v>
      </c>
      <c r="AP84" s="128">
        <f>+IF(X82="NA","",IF(AK84=0,"",IF(X83="≥",Y83-0.001,IF(X83="≤",Y83+0.001,Y83))))</f>
        <v>0</v>
      </c>
      <c r="AQ84" s="128">
        <f>+IF(X82="NA","",IF(AK84=0,"",IF(X82="&gt;",Y82+0.001,IF(X82="&lt;",Y82-0.001,Y82))))</f>
        <v>0</v>
      </c>
      <c r="AR84" s="128" t="str">
        <f>IF(AK84=0,"",IF(X82="≥",Y81-0.001,IF(X82="≤",Y81+0.001,"")))</f>
        <v/>
      </c>
      <c r="AS84" s="128" t="str">
        <f>+IF(AK84=0,"",IF(X81="=",Y81,""))</f>
        <v/>
      </c>
    </row>
    <row r="85" spans="2:45" x14ac:dyDescent="0.25">
      <c r="B85" s="106"/>
      <c r="D85" s="386" t="s">
        <v>57</v>
      </c>
      <c r="E85" s="386"/>
      <c r="F85" s="126"/>
      <c r="G85" s="126">
        <v>0.94</v>
      </c>
      <c r="H85" s="126">
        <v>0.94099999999999995</v>
      </c>
      <c r="I85" s="126">
        <v>0.96899999999999997</v>
      </c>
      <c r="J85" s="126">
        <v>0.97</v>
      </c>
      <c r="K85" s="126">
        <v>0.999</v>
      </c>
      <c r="L85" s="126">
        <v>1</v>
      </c>
      <c r="M85" s="126"/>
      <c r="O85" s="106"/>
      <c r="AE85" s="105" t="s">
        <v>57</v>
      </c>
      <c r="AF85" s="105">
        <v>11</v>
      </c>
      <c r="AG85" s="105">
        <f t="shared" si="0"/>
        <v>1</v>
      </c>
      <c r="AH85" s="105">
        <f>+IF(AG85=0,0,IF(AG85=1,(SUM($AG$75:AG85)-1),1))</f>
        <v>8</v>
      </c>
      <c r="AI85" s="105">
        <f t="shared" si="1"/>
        <v>1</v>
      </c>
      <c r="AJ85" s="105">
        <f t="shared" si="2"/>
        <v>0</v>
      </c>
      <c r="AK85" s="105">
        <f t="shared" si="3"/>
        <v>1</v>
      </c>
      <c r="AL85" s="128" t="str">
        <f>+""</f>
        <v/>
      </c>
      <c r="AM85" s="128">
        <f>+IF(AK85=0,"",IF(Z84="&gt;",AA84+0.001,IF(Z84="&lt;",AA84-0.001,AA84)))</f>
        <v>0</v>
      </c>
      <c r="AN85" s="128">
        <f>+IF(Z83="NA","",IF(AK85=0,"",IF(Z84="≥",AA84-0.001,IF(Z84="≤",AA84+0.001,AA84))))</f>
        <v>0</v>
      </c>
      <c r="AO85" s="128">
        <f>IF(Z83="NA","",IF(AK85=0,"",IF(Z83="&gt;",AA83+0.001,IF(Z83="&lt;",AA83-0.001,AA83))))</f>
        <v>0</v>
      </c>
      <c r="AP85" s="128">
        <f>+IF(Z82="NA","",IF(AK85=0,"",IF(Z83="≥",AA83-0.001,IF(Z83="≤",AA83+0.001,AA83))))</f>
        <v>0</v>
      </c>
      <c r="AQ85" s="128">
        <f>+IF(Z82="NA","",IF(AK85=0,"",IF(Z82="&gt;",AA82+0.001,IF(Z82="&lt;",AA82-0.001,AA82))))</f>
        <v>0</v>
      </c>
      <c r="AR85" s="128" t="str">
        <f>IF(AK85=0,"",IF(Z82="≥",AA81-0.001,IF(Z82="≤",AA81+0.001,"")))</f>
        <v/>
      </c>
      <c r="AS85" s="128" t="str">
        <f>+IF(AK85=0,"",IF(Z81="=",AA81,""))</f>
        <v/>
      </c>
    </row>
    <row r="86" spans="2:45" x14ac:dyDescent="0.25">
      <c r="B86" s="106"/>
      <c r="D86" s="386" t="s">
        <v>58</v>
      </c>
      <c r="E86" s="386"/>
      <c r="F86" s="126"/>
      <c r="G86" s="126">
        <v>0.94</v>
      </c>
      <c r="H86" s="126">
        <v>0.94099999999999995</v>
      </c>
      <c r="I86" s="126">
        <v>0.96899999999999997</v>
      </c>
      <c r="J86" s="126">
        <v>0.97</v>
      </c>
      <c r="K86" s="126">
        <v>0.999</v>
      </c>
      <c r="L86" s="126">
        <v>1</v>
      </c>
      <c r="M86" s="126"/>
      <c r="O86" s="106"/>
      <c r="AE86" s="105" t="s">
        <v>58</v>
      </c>
      <c r="AF86" s="129">
        <v>12</v>
      </c>
      <c r="AG86" s="105">
        <f t="shared" si="0"/>
        <v>1</v>
      </c>
      <c r="AH86" s="105">
        <f>+IF(AG86=0,0,IF(AG86=1,(SUM($AG$75:AG86)-1),1))</f>
        <v>9</v>
      </c>
      <c r="AI86" s="105">
        <f t="shared" si="1"/>
        <v>1</v>
      </c>
      <c r="AJ86" s="105">
        <f t="shared" si="2"/>
        <v>0</v>
      </c>
      <c r="AK86" s="105">
        <f t="shared" si="3"/>
        <v>1</v>
      </c>
      <c r="AL86" s="128" t="str">
        <f>+""</f>
        <v/>
      </c>
      <c r="AM86" s="128">
        <f>+IF(AK86=0,"",IF(AB84="&gt;",AC84+0.001,IF(AB84="&lt;",AC84-0.001,AC84)))</f>
        <v>0</v>
      </c>
      <c r="AN86" s="128">
        <f>+IF(AB83="NA","",IF(AK86=0,"",IF(AB84="≥",AC84-0.001,IF(AB84="≤",AC84+0.001,AC84))))</f>
        <v>0</v>
      </c>
      <c r="AO86" s="128">
        <f>IF(AB83="NA","",IF(AK86=0,"",IF(AB83="&gt;",AC83+0.001,IF(AB83="&lt;",AC83-0.001,AC83))))</f>
        <v>0</v>
      </c>
      <c r="AP86" s="128">
        <f>+IF(AB82="NA","",IF(AK86=0,"",IF(AB83="≥",AC83-0.001,IF(AB83="≤",AC83+0.001,AC83))))</f>
        <v>0</v>
      </c>
      <c r="AQ86" s="128">
        <f>+IF(AB82="NA","",IF(AK86=0,"",IF(AB82="&gt;",AC82+0.001,IF(AB82="&lt;",AC82-0.001,AC82))))</f>
        <v>0</v>
      </c>
      <c r="AR86" s="128" t="str">
        <f>IF(AK86=0,"",IF(AB82="≥",AC81-0.001,IF(AB82="≤",AC81+0.001,"")))</f>
        <v/>
      </c>
      <c r="AS86" s="128" t="str">
        <f>+IF(AK86=0,"",IF(AB81="=",AC81,""))</f>
        <v/>
      </c>
    </row>
    <row r="87" spans="2:45" ht="3.75" customHeight="1" x14ac:dyDescent="0.25">
      <c r="B87" s="106"/>
      <c r="G87" s="126">
        <v>0.94</v>
      </c>
      <c r="H87" s="126">
        <v>0.94099999999999995</v>
      </c>
      <c r="I87" s="126">
        <v>0.96899999999999997</v>
      </c>
      <c r="J87" s="126">
        <v>0.97</v>
      </c>
      <c r="K87" s="126">
        <v>0.999</v>
      </c>
      <c r="L87" s="126">
        <v>1</v>
      </c>
      <c r="O87" s="106"/>
      <c r="AR87" s="128" t="str">
        <f>IF(AK87=0,"",IF(S83="Creciente",IF(R88="≥",S88-0.001,""),IF(R88="≤",S88+0.001,"")))</f>
        <v/>
      </c>
    </row>
    <row r="88" spans="2:45" ht="66" customHeight="1" x14ac:dyDescent="0.25">
      <c r="B88" s="106"/>
      <c r="D88" s="378" t="s">
        <v>59</v>
      </c>
      <c r="E88" s="379"/>
      <c r="F88" s="380" t="s">
        <v>2079</v>
      </c>
      <c r="G88" s="381"/>
      <c r="H88" s="381"/>
      <c r="I88" s="381"/>
      <c r="J88" s="381"/>
      <c r="K88" s="381"/>
      <c r="L88" s="381"/>
      <c r="M88" s="382"/>
      <c r="O88" s="106"/>
    </row>
    <row r="89" spans="2:45" ht="3.95" customHeight="1" x14ac:dyDescent="0.25">
      <c r="B89" s="106"/>
      <c r="O89" s="106"/>
    </row>
    <row r="90" spans="2:45" ht="3" customHeight="1" x14ac:dyDescent="0.25">
      <c r="B90" s="106"/>
      <c r="C90" s="106"/>
      <c r="D90" s="106"/>
      <c r="E90" s="106"/>
      <c r="F90" s="106"/>
      <c r="G90" s="106"/>
      <c r="H90" s="106"/>
      <c r="I90" s="106"/>
      <c r="J90" s="106"/>
      <c r="K90" s="106"/>
      <c r="L90" s="106"/>
      <c r="M90" s="106"/>
      <c r="N90" s="106"/>
      <c r="O90" s="106"/>
    </row>
    <row r="91" spans="2:45" ht="3" customHeight="1" x14ac:dyDescent="0.25"/>
    <row r="92" spans="2:45" ht="3" customHeight="1" x14ac:dyDescent="0.25">
      <c r="B92" s="106"/>
      <c r="C92" s="106"/>
      <c r="D92" s="106"/>
      <c r="E92" s="106"/>
      <c r="F92" s="106"/>
      <c r="G92" s="106"/>
      <c r="H92" s="106"/>
      <c r="I92" s="106"/>
      <c r="J92" s="106"/>
      <c r="K92" s="106"/>
      <c r="L92" s="106"/>
      <c r="M92" s="106"/>
      <c r="N92" s="106"/>
      <c r="O92" s="106"/>
    </row>
    <row r="93" spans="2:45" ht="3.95" customHeight="1" x14ac:dyDescent="0.25">
      <c r="B93" s="106"/>
      <c r="O93" s="106"/>
    </row>
    <row r="94" spans="2:45" x14ac:dyDescent="0.25">
      <c r="B94" s="106"/>
      <c r="D94" s="112" t="s">
        <v>60</v>
      </c>
      <c r="O94" s="106"/>
    </row>
    <row r="95" spans="2:45" ht="3.95" customHeight="1" x14ac:dyDescent="0.25">
      <c r="B95" s="106"/>
      <c r="O95" s="106"/>
    </row>
    <row r="96" spans="2:45" ht="20.100000000000001" customHeight="1" x14ac:dyDescent="0.25">
      <c r="B96" s="106"/>
      <c r="D96" s="387" t="s">
        <v>61</v>
      </c>
      <c r="E96" s="387"/>
      <c r="O96" s="106"/>
    </row>
    <row r="97" spans="2:15" ht="30" customHeight="1" x14ac:dyDescent="0.25">
      <c r="B97" s="106"/>
      <c r="D97" s="369" t="s">
        <v>35</v>
      </c>
      <c r="E97" s="369"/>
      <c r="F97" s="370" t="str">
        <f>+IFERROR(VLOOKUP($S$12,[1]Hoja1!$B$5:$AT$190,29,FALSE),"")</f>
        <v>Reportes de Ejecucion Presupuestal SIIF</v>
      </c>
      <c r="G97" s="370"/>
      <c r="H97" s="370"/>
      <c r="I97" s="370"/>
      <c r="J97" s="370"/>
      <c r="K97" s="370"/>
      <c r="L97" s="370"/>
      <c r="M97" s="370"/>
      <c r="O97" s="106"/>
    </row>
    <row r="98" spans="2:15" ht="30" customHeight="1" x14ac:dyDescent="0.25">
      <c r="B98" s="106"/>
      <c r="D98" s="369" t="s">
        <v>36</v>
      </c>
      <c r="E98" s="369"/>
      <c r="F98" s="370" t="s">
        <v>1984</v>
      </c>
      <c r="G98" s="370"/>
      <c r="H98" s="370"/>
      <c r="I98" s="370"/>
      <c r="J98" s="370"/>
      <c r="K98" s="370"/>
      <c r="L98" s="370"/>
      <c r="M98" s="370"/>
      <c r="O98" s="106"/>
    </row>
    <row r="99" spans="2:15" ht="3.95" customHeight="1" x14ac:dyDescent="0.25">
      <c r="B99" s="106"/>
      <c r="O99" s="106"/>
    </row>
    <row r="100" spans="2:15" ht="58.5" customHeight="1" x14ac:dyDescent="0.25">
      <c r="B100" s="106"/>
      <c r="D100" s="378" t="s">
        <v>62</v>
      </c>
      <c r="E100" s="379"/>
      <c r="F100" s="383"/>
      <c r="G100" s="384"/>
      <c r="H100" s="384"/>
      <c r="I100" s="384"/>
      <c r="J100" s="384"/>
      <c r="K100" s="384"/>
      <c r="L100" s="384"/>
      <c r="M100" s="385"/>
      <c r="O100" s="106"/>
    </row>
    <row r="101" spans="2:15" ht="3.95" customHeight="1" x14ac:dyDescent="0.25">
      <c r="B101" s="106"/>
      <c r="O101" s="106"/>
    </row>
    <row r="102" spans="2:15" ht="19.5" customHeight="1" x14ac:dyDescent="0.25">
      <c r="B102" s="106"/>
      <c r="D102" s="371" t="s">
        <v>64</v>
      </c>
      <c r="E102" s="372"/>
      <c r="F102" s="130" t="s">
        <v>65</v>
      </c>
      <c r="G102" s="107" t="s">
        <v>2</v>
      </c>
      <c r="K102" s="131"/>
      <c r="O102" s="106"/>
    </row>
    <row r="103" spans="2:15" ht="19.5" customHeight="1" x14ac:dyDescent="0.25">
      <c r="B103" s="106"/>
      <c r="D103" s="373"/>
      <c r="E103" s="374"/>
      <c r="F103" s="130" t="s">
        <v>66</v>
      </c>
      <c r="G103" s="132"/>
      <c r="K103" s="133"/>
      <c r="O103" s="106"/>
    </row>
    <row r="104" spans="2:15" ht="27.75" customHeight="1" x14ac:dyDescent="0.25">
      <c r="B104" s="106"/>
      <c r="D104" s="373"/>
      <c r="E104" s="374"/>
      <c r="F104" s="130" t="s">
        <v>67</v>
      </c>
      <c r="G104" s="375"/>
      <c r="H104" s="376"/>
      <c r="I104" s="376"/>
      <c r="J104" s="376"/>
      <c r="K104" s="376"/>
      <c r="L104" s="376"/>
      <c r="M104" s="377"/>
      <c r="O104" s="106"/>
    </row>
    <row r="105" spans="2:15" ht="3.95" customHeight="1" x14ac:dyDescent="0.25">
      <c r="B105" s="106"/>
      <c r="O105" s="106"/>
    </row>
    <row r="106" spans="2:15" ht="229.5" customHeight="1" x14ac:dyDescent="0.25">
      <c r="B106" s="106"/>
      <c r="D106" s="378" t="s">
        <v>68</v>
      </c>
      <c r="E106" s="379"/>
      <c r="F106" s="380" t="s">
        <v>102</v>
      </c>
      <c r="G106" s="381"/>
      <c r="H106" s="381"/>
      <c r="I106" s="381"/>
      <c r="J106" s="381"/>
      <c r="K106" s="381"/>
      <c r="L106" s="381"/>
      <c r="M106" s="382"/>
      <c r="O106" s="106"/>
    </row>
    <row r="107" spans="2:15" ht="3.95" customHeight="1" x14ac:dyDescent="0.25">
      <c r="B107" s="106"/>
      <c r="O107" s="106"/>
    </row>
    <row r="108" spans="2:15" ht="17.25" customHeight="1" x14ac:dyDescent="0.25">
      <c r="B108" s="106"/>
      <c r="D108" s="371" t="s">
        <v>2040</v>
      </c>
      <c r="E108" s="372"/>
      <c r="F108" s="130" t="s">
        <v>2041</v>
      </c>
      <c r="G108" s="375" t="str">
        <f>+VLOOKUP(H10,tablero!$P$5:$R$201,3,FALSE)</f>
        <v>Director(a) Familia y Comunidades</v>
      </c>
      <c r="H108" s="376"/>
      <c r="I108" s="376"/>
      <c r="J108" s="376"/>
      <c r="K108" s="376"/>
      <c r="L108" s="376"/>
      <c r="M108" s="377"/>
      <c r="O108" s="106"/>
    </row>
    <row r="109" spans="2:15" ht="17.25" customHeight="1" x14ac:dyDescent="0.25">
      <c r="B109" s="106"/>
      <c r="D109" s="373"/>
      <c r="E109" s="374"/>
      <c r="F109" s="130" t="s">
        <v>2042</v>
      </c>
      <c r="G109" s="375" t="str">
        <f>+IF(M23="Si","Coordinador(a) Planeación y Sistemas","")</f>
        <v/>
      </c>
      <c r="H109" s="376"/>
      <c r="I109" s="376"/>
      <c r="J109" s="376"/>
      <c r="K109" s="376"/>
      <c r="L109" s="376"/>
      <c r="M109" s="377"/>
      <c r="O109" s="106"/>
    </row>
    <row r="110" spans="2:15" ht="17.25" customHeight="1" x14ac:dyDescent="0.25">
      <c r="B110" s="106"/>
      <c r="D110" s="373"/>
      <c r="E110" s="374"/>
      <c r="F110" s="130" t="s">
        <v>2043</v>
      </c>
      <c r="G110" s="375" t="str">
        <f>+IF(M24="Si","Coordinador(a) Centro Zonal","")</f>
        <v/>
      </c>
      <c r="H110" s="376"/>
      <c r="I110" s="376"/>
      <c r="J110" s="376"/>
      <c r="K110" s="376"/>
      <c r="L110" s="376"/>
      <c r="M110" s="377"/>
      <c r="O110" s="106"/>
    </row>
    <row r="111" spans="2:15" ht="3.95" customHeight="1" x14ac:dyDescent="0.25">
      <c r="B111" s="106"/>
      <c r="O111" s="106"/>
    </row>
    <row r="112" spans="2:15" ht="3" customHeight="1" x14ac:dyDescent="0.25">
      <c r="B112" s="106"/>
      <c r="C112" s="106"/>
      <c r="D112" s="106"/>
      <c r="E112" s="106"/>
      <c r="F112" s="106"/>
      <c r="G112" s="106"/>
      <c r="H112" s="106"/>
      <c r="I112" s="106"/>
      <c r="J112" s="106"/>
      <c r="K112" s="106"/>
      <c r="L112" s="106"/>
      <c r="M112" s="106"/>
      <c r="N112" s="106"/>
      <c r="O112" s="106"/>
    </row>
    <row r="113" spans="13:13" x14ac:dyDescent="0.25">
      <c r="M113" s="121" t="s">
        <v>70</v>
      </c>
    </row>
  </sheetData>
  <mergeCells count="85">
    <mergeCell ref="C3:N5"/>
    <mergeCell ref="D10:E10"/>
    <mergeCell ref="D12:E12"/>
    <mergeCell ref="F12:M12"/>
    <mergeCell ref="D14:E14"/>
    <mergeCell ref="F14:M14"/>
    <mergeCell ref="D22:E22"/>
    <mergeCell ref="G22:H22"/>
    <mergeCell ref="K22:L22"/>
    <mergeCell ref="D23:E23"/>
    <mergeCell ref="G23:H23"/>
    <mergeCell ref="K23:L23"/>
    <mergeCell ref="D24:E24"/>
    <mergeCell ref="G24:H24"/>
    <mergeCell ref="K24:L24"/>
    <mergeCell ref="D25:E25"/>
    <mergeCell ref="D29:E29"/>
    <mergeCell ref="F29:M29"/>
    <mergeCell ref="D30:E31"/>
    <mergeCell ref="G30:M30"/>
    <mergeCell ref="G31:M31"/>
    <mergeCell ref="D32:E33"/>
    <mergeCell ref="G32:M32"/>
    <mergeCell ref="G33:M33"/>
    <mergeCell ref="D34:E35"/>
    <mergeCell ref="G34:M34"/>
    <mergeCell ref="G35:M35"/>
    <mergeCell ref="D43:E43"/>
    <mergeCell ref="D44:E45"/>
    <mergeCell ref="G44:M44"/>
    <mergeCell ref="G45:M45"/>
    <mergeCell ref="D46:E47"/>
    <mergeCell ref="G46:M46"/>
    <mergeCell ref="G47:M47"/>
    <mergeCell ref="D48:E49"/>
    <mergeCell ref="G48:M48"/>
    <mergeCell ref="G49:M49"/>
    <mergeCell ref="D51:E51"/>
    <mergeCell ref="G51:H51"/>
    <mergeCell ref="D59:E59"/>
    <mergeCell ref="F59:M59"/>
    <mergeCell ref="D60:E60"/>
    <mergeCell ref="F60:M60"/>
    <mergeCell ref="D82:E82"/>
    <mergeCell ref="D83:E83"/>
    <mergeCell ref="D61:E61"/>
    <mergeCell ref="F61:M61"/>
    <mergeCell ref="D67:E67"/>
    <mergeCell ref="D71:E71"/>
    <mergeCell ref="D73:E74"/>
    <mergeCell ref="F73:G73"/>
    <mergeCell ref="H73:I73"/>
    <mergeCell ref="J73:K73"/>
    <mergeCell ref="L73:M73"/>
    <mergeCell ref="D77:E77"/>
    <mergeCell ref="D78:E78"/>
    <mergeCell ref="D79:E79"/>
    <mergeCell ref="D80:E80"/>
    <mergeCell ref="D81:E81"/>
    <mergeCell ref="AR73:AS73"/>
    <mergeCell ref="D75:E75"/>
    <mergeCell ref="D76:E76"/>
    <mergeCell ref="AL73:AM73"/>
    <mergeCell ref="AN73:AO73"/>
    <mergeCell ref="AP73:AQ73"/>
    <mergeCell ref="D84:E84"/>
    <mergeCell ref="D85:E85"/>
    <mergeCell ref="D86:E86"/>
    <mergeCell ref="D88:E88"/>
    <mergeCell ref="F97:M97"/>
    <mergeCell ref="D96:E96"/>
    <mergeCell ref="D97:E97"/>
    <mergeCell ref="F88:M88"/>
    <mergeCell ref="D98:E98"/>
    <mergeCell ref="F98:M98"/>
    <mergeCell ref="D108:E110"/>
    <mergeCell ref="G108:M108"/>
    <mergeCell ref="G109:M109"/>
    <mergeCell ref="G110:M110"/>
    <mergeCell ref="D102:E104"/>
    <mergeCell ref="G104:M104"/>
    <mergeCell ref="D106:E106"/>
    <mergeCell ref="F106:M106"/>
    <mergeCell ref="D100:E100"/>
    <mergeCell ref="F100:M100"/>
  </mergeCells>
  <conditionalFormatting sqref="F44:M49">
    <cfRule type="expression" dxfId="2879" priority="34">
      <formula>+IF($F$43="no",1,0)</formula>
    </cfRule>
  </conditionalFormatting>
  <conditionalFormatting sqref="F32:M33">
    <cfRule type="expression" dxfId="2878" priority="33">
      <formula>+IF($Q$30="NA",1,0)</formula>
    </cfRule>
  </conditionalFormatting>
  <conditionalFormatting sqref="F33:M33">
    <cfRule type="expression" dxfId="2877" priority="32">
      <formula>+IF($Q$33=0,1,0)</formula>
    </cfRule>
  </conditionalFormatting>
  <conditionalFormatting sqref="F47:M47">
    <cfRule type="expression" dxfId="2876" priority="31">
      <formula>+IF($Q$47=0,1,0)</formula>
    </cfRule>
  </conditionalFormatting>
  <conditionalFormatting sqref="W75:W78">
    <cfRule type="expression" dxfId="2875" priority="28">
      <formula>+IF(W$73=0,1,0)</formula>
    </cfRule>
  </conditionalFormatting>
  <conditionalFormatting sqref="Y75:Y78">
    <cfRule type="expression" dxfId="2874" priority="27">
      <formula>+IF(Y$73=0,1,0)</formula>
    </cfRule>
  </conditionalFormatting>
  <conditionalFormatting sqref="AA75:AA78">
    <cfRule type="expression" dxfId="2873" priority="26">
      <formula>+IF(AA$73=0,1,0)</formula>
    </cfRule>
  </conditionalFormatting>
  <conditionalFormatting sqref="AC75:AC78">
    <cfRule type="expression" dxfId="2872" priority="25">
      <formula>+IF(AC$73=0,1,0)</formula>
    </cfRule>
  </conditionalFormatting>
  <conditionalFormatting sqref="S82:S84">
    <cfRule type="expression" dxfId="2871" priority="24">
      <formula>+IF(S$79=0,1,0)</formula>
    </cfRule>
  </conditionalFormatting>
  <conditionalFormatting sqref="U82:U84">
    <cfRule type="expression" dxfId="2870" priority="23">
      <formula>+IF(U$79=0,1,0)</formula>
    </cfRule>
  </conditionalFormatting>
  <conditionalFormatting sqref="W81:W84">
    <cfRule type="expression" dxfId="2869" priority="22">
      <formula>+IF(W$79=0,1,0)</formula>
    </cfRule>
  </conditionalFormatting>
  <conditionalFormatting sqref="Y81:Y84">
    <cfRule type="expression" dxfId="2868" priority="21">
      <formula>+IF(Y$79=0,1,0)</formula>
    </cfRule>
  </conditionalFormatting>
  <conditionalFormatting sqref="AA81:AA84">
    <cfRule type="expression" dxfId="2867" priority="20">
      <formula>+IF(AA$79=0,1,0)</formula>
    </cfRule>
  </conditionalFormatting>
  <conditionalFormatting sqref="AC81:AC84">
    <cfRule type="expression" dxfId="2866" priority="19">
      <formula>+IF(AC$79=0,1,0)</formula>
    </cfRule>
  </conditionalFormatting>
  <conditionalFormatting sqref="F73:G73">
    <cfRule type="cellIs" dxfId="2865" priority="17" operator="equal">
      <formula>"optimo"</formula>
    </cfRule>
    <cfRule type="cellIs" dxfId="2864" priority="18" operator="equal">
      <formula>"critico"</formula>
    </cfRule>
  </conditionalFormatting>
  <conditionalFormatting sqref="H73:I73">
    <cfRule type="cellIs" dxfId="2863" priority="15" operator="equal">
      <formula>"Adecuado"</formula>
    </cfRule>
    <cfRule type="cellIs" dxfId="2862" priority="16" operator="equal">
      <formula>"en riesgo"</formula>
    </cfRule>
  </conditionalFormatting>
  <conditionalFormatting sqref="J73:K73">
    <cfRule type="cellIs" dxfId="2861" priority="13" operator="equal">
      <formula>"Adecuado"</formula>
    </cfRule>
    <cfRule type="cellIs" dxfId="2860" priority="14" operator="equal">
      <formula>"en riesgo"</formula>
    </cfRule>
  </conditionalFormatting>
  <conditionalFormatting sqref="L73:M73">
    <cfRule type="cellIs" dxfId="2859" priority="11" operator="equal">
      <formula>"optimo"</formula>
    </cfRule>
    <cfRule type="cellIs" dxfId="2858" priority="12" operator="equal">
      <formula>"critico"</formula>
    </cfRule>
  </conditionalFormatting>
  <conditionalFormatting sqref="F75:M76">
    <cfRule type="expression" dxfId="2857" priority="10">
      <formula>+IF($AK75=0,1)</formula>
    </cfRule>
  </conditionalFormatting>
  <conditionalFormatting sqref="F103:G104">
    <cfRule type="expression" dxfId="2856" priority="9">
      <formula>+IF($G$102="No",1,0)</formula>
    </cfRule>
  </conditionalFormatting>
  <conditionalFormatting sqref="F51">
    <cfRule type="expression" dxfId="2855" priority="8">
      <formula>+IF($F$43="no",1,0)</formula>
    </cfRule>
  </conditionalFormatting>
  <conditionalFormatting sqref="I51">
    <cfRule type="expression" dxfId="2854" priority="7">
      <formula>+IF($F$51="no",1,0)</formula>
    </cfRule>
  </conditionalFormatting>
  <conditionalFormatting sqref="F77:F86 M77:M86">
    <cfRule type="expression" dxfId="2853" priority="2">
      <formula>+IF($AK77=0,1)</formula>
    </cfRule>
  </conditionalFormatting>
  <conditionalFormatting sqref="G77:L87">
    <cfRule type="expression" dxfId="2852" priority="1">
      <formula>+IF($AK77=0,1)</formula>
    </cfRule>
  </conditionalFormatting>
  <dataValidations count="13">
    <dataValidation type="list" allowBlank="1" showInputMessage="1" showErrorMessage="1" sqref="G102 F43 F51">
      <formula1>$S$4:$S$5</formula1>
    </dataValidation>
    <dataValidation type="list" allowBlank="1" showInputMessage="1" showErrorMessage="1" sqref="F29:M29">
      <formula1>objetivos</formula1>
    </dataValidation>
    <dataValidation type="list" allowBlank="1" showInputMessage="1" showErrorMessage="1" sqref="F35:G35">
      <formula1>macroprocesos</formula1>
    </dataValidation>
    <dataValidation type="list" allowBlank="1" showInputMessage="1" showErrorMessage="1" sqref="G33:M33">
      <formula1>INDIRECT($Q$30)</formula1>
    </dataValidation>
    <dataValidation type="list" allowBlank="1" showInputMessage="1" showErrorMessage="1" sqref="G31:M31">
      <formula1>macroproceso</formula1>
    </dataValidation>
    <dataValidation type="list" allowBlank="1" showInputMessage="1" showErrorMessage="1" sqref="G45:M45">
      <formula1>lineas</formula1>
    </dataValidation>
    <dataValidation type="list" allowBlank="1" showInputMessage="1" showErrorMessage="1" sqref="G47:M47">
      <formula1>INDIRECT($Q$45)</formula1>
    </dataValidation>
    <dataValidation type="list" allowBlank="1" showInputMessage="1" showErrorMessage="1" sqref="F24">
      <formula1>tendencia</formula1>
    </dataValidation>
    <dataValidation type="list" allowBlank="1" showInputMessage="1" showErrorMessage="1" sqref="I23">
      <formula1>medidas</formula1>
    </dataValidation>
    <dataValidation type="list" allowBlank="1" showInputMessage="1" showErrorMessage="1" sqref="I24">
      <formula1>ambito</formula1>
    </dataValidation>
    <dataValidation type="list" allowBlank="1" showInputMessage="1" showErrorMessage="1" sqref="F71">
      <formula1>$D$75:$D$86</formula1>
    </dataValidation>
    <dataValidation type="list" allowBlank="1" showInputMessage="1" showErrorMessage="1" sqref="G49:M49">
      <formula1>proyectos</formula1>
    </dataValidation>
    <dataValidation type="list" allowBlank="1" showInputMessage="1" showErrorMessage="1" sqref="F25">
      <formula1>dimen</formula1>
    </dataValidation>
  </dataValidations>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[1]base!#REF!</xm:f>
          </x14:formula1>
          <xm:sqref>R75:R78 T75:T78 V75:V78 X75:X78 Z75:Z78 AB75:AB78 T81:T84 Z81:Z84 R81:R84 V81:V84 X81:X84 AB81:AB84 F23</xm:sqref>
        </x14:dataValidation>
        <x14:dataValidation type="list" allowBlank="1" showInputMessage="1" showErrorMessage="1">
          <x14:formula1>
            <xm:f>[1]Hoja1!#REF!</xm:f>
          </x14:formula1>
          <xm:sqref>S12</xm:sqref>
        </x14:dataValidation>
      </x14:dataValidations>
    </ext>
  </extLst>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9">
    <tabColor rgb="FF0070C0"/>
  </sheetPr>
  <dimension ref="B1:AV113"/>
  <sheetViews>
    <sheetView topLeftCell="A52" zoomScaleNormal="100" workbookViewId="0"/>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179</v>
      </c>
      <c r="O10" s="2"/>
    </row>
    <row r="11" spans="2:24" ht="3.95" customHeight="1" x14ac:dyDescent="0.25">
      <c r="B11" s="2"/>
      <c r="D11" s="6"/>
      <c r="O11" s="2"/>
    </row>
    <row r="12" spans="2:24" ht="36" customHeight="1" x14ac:dyDescent="0.25">
      <c r="B12" s="2"/>
      <c r="D12" s="338" t="s">
        <v>5</v>
      </c>
      <c r="E12" s="339"/>
      <c r="F12" s="340" t="s">
        <v>180</v>
      </c>
      <c r="G12" s="341"/>
      <c r="H12" s="341"/>
      <c r="I12" s="341"/>
      <c r="J12" s="341"/>
      <c r="K12" s="341"/>
      <c r="L12" s="341"/>
      <c r="M12" s="342"/>
      <c r="O12" s="2"/>
      <c r="W12" s="3" t="str">
        <f>+F23</f>
        <v>Semestral</v>
      </c>
      <c r="X12" s="3" t="str">
        <f>+F71</f>
        <v>Junio</v>
      </c>
    </row>
    <row r="13" spans="2:24" ht="3.95" customHeight="1" x14ac:dyDescent="0.25">
      <c r="B13" s="2"/>
      <c r="O13" s="2"/>
    </row>
    <row r="14" spans="2:24" ht="36" customHeight="1" x14ac:dyDescent="0.25">
      <c r="B14" s="2"/>
      <c r="D14" s="338" t="s">
        <v>6</v>
      </c>
      <c r="E14" s="339"/>
      <c r="F14" s="340" t="s">
        <v>495</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17">
        <v>0.76</v>
      </c>
      <c r="G22" s="337" t="s">
        <v>9</v>
      </c>
      <c r="H22" s="337"/>
      <c r="I22" s="17">
        <v>0.8</v>
      </c>
      <c r="K22" s="337" t="s">
        <v>10</v>
      </c>
      <c r="L22" s="337"/>
      <c r="M22" s="9" t="s">
        <v>496</v>
      </c>
      <c r="O22" s="2"/>
    </row>
    <row r="23" spans="2:17" ht="19.5" customHeight="1" x14ac:dyDescent="0.25">
      <c r="B23" s="2"/>
      <c r="D23" s="337" t="s">
        <v>11</v>
      </c>
      <c r="E23" s="337"/>
      <c r="F23" s="4" t="s">
        <v>104</v>
      </c>
      <c r="G23" s="337" t="s">
        <v>12</v>
      </c>
      <c r="H23" s="337"/>
      <c r="I23" s="4" t="s">
        <v>497</v>
      </c>
      <c r="K23" s="337" t="s">
        <v>13</v>
      </c>
      <c r="L23" s="337"/>
      <c r="M23" s="9" t="s">
        <v>496</v>
      </c>
      <c r="O23" s="2"/>
    </row>
    <row r="24" spans="2:17" ht="20.100000000000001" customHeight="1" x14ac:dyDescent="0.25">
      <c r="B24" s="2"/>
      <c r="D24" s="337" t="s">
        <v>14</v>
      </c>
      <c r="E24" s="337"/>
      <c r="F24" s="4" t="s">
        <v>498</v>
      </c>
      <c r="G24" s="337" t="s">
        <v>15</v>
      </c>
      <c r="H24" s="337"/>
      <c r="I24" s="4" t="s">
        <v>103</v>
      </c>
      <c r="K24" s="337" t="s">
        <v>16</v>
      </c>
      <c r="L24" s="337"/>
      <c r="M24" s="9" t="s">
        <v>496</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489</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NA</v>
      </c>
    </row>
    <row r="31" spans="2:17" ht="24" customHeight="1" x14ac:dyDescent="0.25">
      <c r="B31" s="2"/>
      <c r="D31" s="347"/>
      <c r="E31" s="348"/>
      <c r="F31" s="4" t="s">
        <v>176</v>
      </c>
      <c r="G31" s="340" t="s">
        <v>177</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500</v>
      </c>
      <c r="G33" s="340"/>
      <c r="H33" s="341"/>
      <c r="I33" s="341"/>
      <c r="J33" s="341"/>
      <c r="K33" s="341"/>
      <c r="L33" s="341"/>
      <c r="M33" s="342"/>
      <c r="O33" s="2"/>
      <c r="Q33" s="3" t="str">
        <f>+IFERROR(IF(VLOOKUP(G33,base!$A$26:$C$40,3,FALSE)=F31,1,0),"")</f>
        <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1714</v>
      </c>
      <c r="G35" s="340" t="s">
        <v>1590</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501</v>
      </c>
      <c r="G45" s="340" t="s">
        <v>502</v>
      </c>
      <c r="H45" s="341"/>
      <c r="I45" s="341"/>
      <c r="J45" s="341"/>
      <c r="K45" s="341"/>
      <c r="L45" s="341"/>
      <c r="M45" s="342"/>
      <c r="O45" s="2"/>
      <c r="Q45" s="3" t="str">
        <f>+IFERROR(VLOOKUP(G45,base!$A$41:$C$45,3,FALSE),"")</f>
        <v>misional</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503</v>
      </c>
      <c r="G47" s="340" t="s">
        <v>504</v>
      </c>
      <c r="H47" s="341"/>
      <c r="I47" s="341"/>
      <c r="J47" s="341"/>
      <c r="K47" s="341"/>
      <c r="L47" s="341"/>
      <c r="M47" s="342"/>
      <c r="O47" s="2"/>
      <c r="Q47" s="3">
        <f>+IF(VLOOKUP(G47,base!$A$46:$C$66,3,FALSE)=F45,1,0)</f>
        <v>1</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505</v>
      </c>
      <c r="G49" s="340" t="s">
        <v>490</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8"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3.25" customHeight="1" x14ac:dyDescent="0.25">
      <c r="B59" s="2"/>
      <c r="D59" s="337" t="s">
        <v>34</v>
      </c>
      <c r="E59" s="337"/>
      <c r="F59" s="344" t="s">
        <v>506</v>
      </c>
      <c r="G59" s="344"/>
      <c r="H59" s="344"/>
      <c r="I59" s="344"/>
      <c r="J59" s="344"/>
      <c r="K59" s="344"/>
      <c r="L59" s="344"/>
      <c r="M59" s="344"/>
      <c r="O59" s="2"/>
    </row>
    <row r="60" spans="2:15" ht="27" customHeight="1" x14ac:dyDescent="0.25">
      <c r="B60" s="2"/>
      <c r="D60" s="359" t="s">
        <v>35</v>
      </c>
      <c r="E60" s="359"/>
      <c r="F60" s="344" t="s">
        <v>507</v>
      </c>
      <c r="G60" s="344"/>
      <c r="H60" s="344"/>
      <c r="I60" s="344"/>
      <c r="J60" s="344"/>
      <c r="K60" s="344"/>
      <c r="L60" s="344"/>
      <c r="M60" s="344"/>
      <c r="O60" s="2"/>
    </row>
    <row r="61" spans="2:15" ht="27" customHeight="1" x14ac:dyDescent="0.25">
      <c r="B61" s="2"/>
      <c r="D61" s="359" t="s">
        <v>36</v>
      </c>
      <c r="E61" s="359"/>
      <c r="F61" s="344" t="s">
        <v>508</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6</v>
      </c>
    </row>
    <row r="70" spans="2:37" ht="3.95" customHeight="1" x14ac:dyDescent="0.25">
      <c r="B70" s="2"/>
      <c r="D70" s="7"/>
      <c r="E70" s="7"/>
      <c r="O70" s="2"/>
    </row>
    <row r="71" spans="2:37" ht="18.75" customHeight="1" x14ac:dyDescent="0.25">
      <c r="B71" s="2"/>
      <c r="D71" s="343" t="s">
        <v>39</v>
      </c>
      <c r="E71" s="343"/>
      <c r="F71" s="4" t="s">
        <v>50</v>
      </c>
      <c r="G71" s="3">
        <v>6</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60" t="s">
        <v>50</v>
      </c>
      <c r="E80" s="360"/>
      <c r="F80" s="16" t="s">
        <v>500</v>
      </c>
      <c r="G80" s="16">
        <v>0.5</v>
      </c>
      <c r="H80" s="16">
        <v>0.501</v>
      </c>
      <c r="I80" s="16">
        <v>0.59899999999999998</v>
      </c>
      <c r="J80" s="16">
        <v>0.6</v>
      </c>
      <c r="K80" s="16">
        <v>0.69899999999999995</v>
      </c>
      <c r="L80" s="16">
        <v>0.7</v>
      </c>
      <c r="M80" s="16" t="s">
        <v>500</v>
      </c>
      <c r="O80" s="2"/>
      <c r="AE80" s="3" t="s">
        <v>50</v>
      </c>
      <c r="AF80" s="3">
        <v>6</v>
      </c>
      <c r="AG80" s="3">
        <f t="shared" si="0"/>
        <v>1</v>
      </c>
      <c r="AH80" s="3">
        <f>+IF(AG80=0,0,IF(AG80=1,(SUM($AG$75:AG80)-1),1))</f>
        <v>0</v>
      </c>
      <c r="AI80" s="3">
        <f t="shared" si="1"/>
        <v>0</v>
      </c>
      <c r="AJ80" s="3">
        <f t="shared" si="2"/>
        <v>1</v>
      </c>
      <c r="AK80" s="3">
        <f t="shared" si="3"/>
        <v>1</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1</v>
      </c>
      <c r="AI81" s="3">
        <f t="shared" si="1"/>
        <v>0</v>
      </c>
      <c r="AJ81" s="3">
        <f t="shared" si="2"/>
        <v>0</v>
      </c>
      <c r="AK81" s="3">
        <f t="shared" si="3"/>
        <v>0</v>
      </c>
    </row>
    <row r="82" spans="2:37" x14ac:dyDescent="0.25">
      <c r="B82" s="2"/>
      <c r="D82" s="360" t="s">
        <v>54</v>
      </c>
      <c r="E82" s="360"/>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2</v>
      </c>
      <c r="AI82" s="3">
        <f t="shared" si="1"/>
        <v>0</v>
      </c>
      <c r="AJ82" s="3">
        <f t="shared" si="2"/>
        <v>0</v>
      </c>
      <c r="AK82" s="3">
        <f t="shared" si="3"/>
        <v>0</v>
      </c>
    </row>
    <row r="83" spans="2:37" x14ac:dyDescent="0.25">
      <c r="B83" s="2"/>
      <c r="D83" s="360" t="s">
        <v>55</v>
      </c>
      <c r="E83" s="360"/>
      <c r="F83" s="16" t="s">
        <v>500</v>
      </c>
      <c r="G83" s="16" t="s">
        <v>500</v>
      </c>
      <c r="H83" s="16" t="s">
        <v>500</v>
      </c>
      <c r="I83" s="16" t="s">
        <v>500</v>
      </c>
      <c r="J83" s="16" t="s">
        <v>500</v>
      </c>
      <c r="K83" s="16" t="s">
        <v>500</v>
      </c>
      <c r="L83" s="16" t="s">
        <v>500</v>
      </c>
      <c r="M83" s="16" t="s">
        <v>500</v>
      </c>
      <c r="O83" s="2"/>
      <c r="AE83" s="3" t="s">
        <v>55</v>
      </c>
      <c r="AF83" s="3">
        <v>9</v>
      </c>
      <c r="AG83" s="3">
        <f t="shared" si="0"/>
        <v>1</v>
      </c>
      <c r="AH83" s="3">
        <f>+IF(AG83=0,0,IF(AG83=1,(SUM($AG$75:AG83)-1),1))</f>
        <v>3</v>
      </c>
      <c r="AI83" s="3">
        <f t="shared" si="1"/>
        <v>0</v>
      </c>
      <c r="AJ83" s="3">
        <f t="shared" si="2"/>
        <v>0</v>
      </c>
      <c r="AK83" s="3">
        <f t="shared" si="3"/>
        <v>0</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4</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5</v>
      </c>
      <c r="AI85" s="3">
        <f t="shared" si="1"/>
        <v>0</v>
      </c>
      <c r="AJ85" s="3">
        <f t="shared" si="2"/>
        <v>0</v>
      </c>
      <c r="AK85" s="3">
        <f t="shared" si="3"/>
        <v>0</v>
      </c>
    </row>
    <row r="86" spans="2:37" x14ac:dyDescent="0.25">
      <c r="B86" s="2"/>
      <c r="D86" s="360" t="s">
        <v>58</v>
      </c>
      <c r="E86" s="360"/>
      <c r="F86" s="16" t="s">
        <v>500</v>
      </c>
      <c r="G86" s="16">
        <v>0.6</v>
      </c>
      <c r="H86" s="16">
        <v>0.60099999999999998</v>
      </c>
      <c r="I86" s="16">
        <v>0.69899999999999995</v>
      </c>
      <c r="J86" s="16">
        <v>0.7</v>
      </c>
      <c r="K86" s="16">
        <v>0.79900000000000004</v>
      </c>
      <c r="L86" s="16">
        <v>0.8</v>
      </c>
      <c r="M86" s="16" t="s">
        <v>500</v>
      </c>
      <c r="O86" s="2"/>
      <c r="AE86" s="3" t="s">
        <v>58</v>
      </c>
      <c r="AF86" s="65">
        <v>12</v>
      </c>
      <c r="AG86" s="3">
        <f t="shared" si="0"/>
        <v>1</v>
      </c>
      <c r="AH86" s="3">
        <f>+IF(AG86=0,0,IF(AG86=1,(SUM($AG$75:AG86)-1),1))</f>
        <v>6</v>
      </c>
      <c r="AI86" s="3">
        <f t="shared" si="1"/>
        <v>1</v>
      </c>
      <c r="AJ86" s="3">
        <f t="shared" si="2"/>
        <v>0</v>
      </c>
      <c r="AK86" s="3">
        <f t="shared" si="3"/>
        <v>1</v>
      </c>
    </row>
    <row r="87" spans="2:37" ht="3.75" customHeight="1" x14ac:dyDescent="0.25">
      <c r="B87" s="2"/>
      <c r="O87" s="2"/>
    </row>
    <row r="88" spans="2:37" ht="252.75" customHeight="1" x14ac:dyDescent="0.25">
      <c r="B88" s="2"/>
      <c r="D88" s="338" t="s">
        <v>59</v>
      </c>
      <c r="E88" s="339"/>
      <c r="F88" s="420" t="s">
        <v>492</v>
      </c>
      <c r="G88" s="423"/>
      <c r="H88" s="423"/>
      <c r="I88" s="423"/>
      <c r="J88" s="423"/>
      <c r="K88" s="423"/>
      <c r="L88" s="423"/>
      <c r="M88" s="424"/>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28.5" customHeight="1" x14ac:dyDescent="0.25">
      <c r="B97" s="2"/>
      <c r="D97" s="359" t="s">
        <v>35</v>
      </c>
      <c r="E97" s="359"/>
      <c r="F97" s="344" t="s">
        <v>509</v>
      </c>
      <c r="G97" s="344"/>
      <c r="H97" s="344"/>
      <c r="I97" s="344"/>
      <c r="J97" s="344"/>
      <c r="K97" s="344"/>
      <c r="L97" s="344"/>
      <c r="M97" s="344"/>
      <c r="O97" s="2"/>
    </row>
    <row r="98" spans="2:15" ht="28.5" customHeight="1" x14ac:dyDescent="0.25">
      <c r="B98" s="2"/>
      <c r="D98" s="359" t="s">
        <v>36</v>
      </c>
      <c r="E98" s="359"/>
      <c r="F98" s="344" t="s">
        <v>509</v>
      </c>
      <c r="G98" s="344"/>
      <c r="H98" s="344"/>
      <c r="I98" s="344"/>
      <c r="J98" s="344"/>
      <c r="K98" s="344"/>
      <c r="L98" s="344"/>
      <c r="M98" s="344"/>
      <c r="O98" s="2"/>
    </row>
    <row r="99" spans="2:15" ht="3.95" customHeight="1" x14ac:dyDescent="0.25">
      <c r="B99" s="2"/>
      <c r="O99" s="2"/>
    </row>
    <row r="100" spans="2:15" ht="154.5" customHeight="1" x14ac:dyDescent="0.25">
      <c r="B100" s="2"/>
      <c r="D100" s="338" t="s">
        <v>62</v>
      </c>
      <c r="E100" s="339"/>
      <c r="F100" s="420" t="s">
        <v>493</v>
      </c>
      <c r="G100" s="421"/>
      <c r="H100" s="421"/>
      <c r="I100" s="421"/>
      <c r="J100" s="421"/>
      <c r="K100" s="421"/>
      <c r="L100" s="421"/>
      <c r="M100" s="422"/>
      <c r="O100" s="2"/>
    </row>
    <row r="101" spans="2:15" ht="3.95" customHeight="1" x14ac:dyDescent="0.25">
      <c r="B101" s="2"/>
      <c r="O101" s="2"/>
    </row>
    <row r="102" spans="2:15" ht="19.5" customHeight="1" x14ac:dyDescent="0.25">
      <c r="B102" s="2"/>
      <c r="D102" s="329" t="s">
        <v>64</v>
      </c>
      <c r="E102" s="330"/>
      <c r="F102" s="19" t="s">
        <v>65</v>
      </c>
      <c r="G102" s="4" t="s">
        <v>1</v>
      </c>
      <c r="K102" s="20"/>
      <c r="O102" s="2"/>
    </row>
    <row r="103" spans="2:15" ht="19.5" customHeight="1" x14ac:dyDescent="0.25">
      <c r="B103" s="2"/>
      <c r="D103" s="331"/>
      <c r="E103" s="332"/>
      <c r="F103" s="19" t="s">
        <v>66</v>
      </c>
      <c r="G103" s="4" t="s">
        <v>494</v>
      </c>
      <c r="K103" s="21"/>
      <c r="O103" s="2"/>
    </row>
    <row r="104" spans="2:15" ht="27.75" customHeight="1" x14ac:dyDescent="0.25">
      <c r="B104" s="2"/>
      <c r="D104" s="331"/>
      <c r="E104" s="332"/>
      <c r="F104" s="19" t="s">
        <v>67</v>
      </c>
      <c r="G104" s="365" t="s">
        <v>1753</v>
      </c>
      <c r="H104" s="366"/>
      <c r="I104" s="366"/>
      <c r="J104" s="366"/>
      <c r="K104" s="366"/>
      <c r="L104" s="366"/>
      <c r="M104" s="367"/>
      <c r="O104" s="2"/>
    </row>
    <row r="105" spans="2:15" ht="3.95" customHeight="1" x14ac:dyDescent="0.25">
      <c r="B105" s="2"/>
      <c r="O105" s="2"/>
    </row>
    <row r="106" spans="2:15" ht="197.25" customHeight="1" x14ac:dyDescent="0.25">
      <c r="B106" s="2"/>
      <c r="D106" s="338" t="s">
        <v>68</v>
      </c>
      <c r="E106" s="339"/>
      <c r="F106" s="340" t="s">
        <v>69</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65" t="str">
        <f>+VLOOKUP(H10,tablero!$P$5:$R$201,3,FALSE)</f>
        <v>Director(a) Nutrición</v>
      </c>
      <c r="H108" s="366"/>
      <c r="I108" s="366"/>
      <c r="J108" s="366"/>
      <c r="K108" s="366"/>
      <c r="L108" s="366"/>
      <c r="M108" s="367"/>
      <c r="O108" s="2"/>
    </row>
    <row r="109" spans="2:15" ht="17.25" customHeight="1" x14ac:dyDescent="0.25">
      <c r="B109" s="2"/>
      <c r="D109" s="331"/>
      <c r="E109" s="332"/>
      <c r="F109" s="19" t="s">
        <v>2042</v>
      </c>
      <c r="G109" s="365" t="str">
        <f>+IF(M23="Si","Coordinador(a) Planeación y Sistemas","")</f>
        <v>Coordinador(a) Planeación y Sistemas</v>
      </c>
      <c r="H109" s="366"/>
      <c r="I109" s="366"/>
      <c r="J109" s="366"/>
      <c r="K109" s="366"/>
      <c r="L109" s="366"/>
      <c r="M109" s="367"/>
      <c r="O109" s="2"/>
    </row>
    <row r="110" spans="2:15" ht="17.25" customHeight="1" x14ac:dyDescent="0.25">
      <c r="B110" s="2"/>
      <c r="D110" s="331"/>
      <c r="E110" s="332"/>
      <c r="F110" s="19" t="s">
        <v>2043</v>
      </c>
      <c r="G110" s="365" t="str">
        <f>+IF(M24="Si","Coordinador(a) Centro Zonal","")</f>
        <v>Coordinador(a) Centro Zonal</v>
      </c>
      <c r="H110" s="366"/>
      <c r="I110" s="366"/>
      <c r="J110" s="366"/>
      <c r="K110" s="366"/>
      <c r="L110" s="366"/>
      <c r="M110" s="367"/>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851" priority="33">
      <formula>+IF($F$43="no",1,0)</formula>
    </cfRule>
  </conditionalFormatting>
  <conditionalFormatting sqref="F32:M33">
    <cfRule type="expression" dxfId="2850" priority="32">
      <formula>+IF($Q$30="NA",1,0)</formula>
    </cfRule>
  </conditionalFormatting>
  <conditionalFormatting sqref="F33:M33">
    <cfRule type="expression" dxfId="2849" priority="31">
      <formula>+IF($Q$33=0,1,0)</formula>
    </cfRule>
  </conditionalFormatting>
  <conditionalFormatting sqref="F47:M47">
    <cfRule type="expression" dxfId="2848" priority="30">
      <formula>+IF($Q$47=0,1,0)</formula>
    </cfRule>
  </conditionalFormatting>
  <conditionalFormatting sqref="F73:G73">
    <cfRule type="cellIs" dxfId="2847" priority="16" operator="equal">
      <formula>"optimo"</formula>
    </cfRule>
    <cfRule type="cellIs" dxfId="2846" priority="17" operator="equal">
      <formula>"critico"</formula>
    </cfRule>
  </conditionalFormatting>
  <conditionalFormatting sqref="H73:I73">
    <cfRule type="cellIs" dxfId="2845" priority="14" operator="equal">
      <formula>"Adecuado"</formula>
    </cfRule>
    <cfRule type="cellIs" dxfId="2844" priority="15" operator="equal">
      <formula>"en riesgo"</formula>
    </cfRule>
  </conditionalFormatting>
  <conditionalFormatting sqref="J73:K73">
    <cfRule type="cellIs" dxfId="2843" priority="12" operator="equal">
      <formula>"Adecuado"</formula>
    </cfRule>
    <cfRule type="cellIs" dxfId="2842" priority="13" operator="equal">
      <formula>"en riesgo"</formula>
    </cfRule>
  </conditionalFormatting>
  <conditionalFormatting sqref="L73:M73">
    <cfRule type="cellIs" dxfId="2841" priority="10" operator="equal">
      <formula>"optimo"</formula>
    </cfRule>
    <cfRule type="cellIs" dxfId="2840" priority="11" operator="equal">
      <formula>"critico"</formula>
    </cfRule>
  </conditionalFormatting>
  <conditionalFormatting sqref="F75:M86">
    <cfRule type="expression" dxfId="2839" priority="9">
      <formula>+IF($AK75=0,1)</formula>
    </cfRule>
  </conditionalFormatting>
  <conditionalFormatting sqref="F103:G104">
    <cfRule type="expression" dxfId="2838" priority="8">
      <formula>+IF($G$102="No",1,0)</formula>
    </cfRule>
  </conditionalFormatting>
  <conditionalFormatting sqref="F51">
    <cfRule type="expression" dxfId="2837" priority="7">
      <formula>+IF($F$43="no",1,0)</formula>
    </cfRule>
  </conditionalFormatting>
  <conditionalFormatting sqref="I51">
    <cfRule type="expression" dxfId="2836" priority="6">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0">
    <tabColor rgb="FF0070C0"/>
  </sheetPr>
  <dimension ref="B1:AV113"/>
  <sheetViews>
    <sheetView topLeftCell="A49" zoomScaleNormal="100" workbookViewId="0">
      <selection activeCell="J86" sqref="J86"/>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181</v>
      </c>
      <c r="O10" s="2"/>
    </row>
    <row r="11" spans="2:24" ht="3.95" customHeight="1" x14ac:dyDescent="0.25">
      <c r="B11" s="2"/>
      <c r="D11" s="6"/>
      <c r="O11" s="2"/>
    </row>
    <row r="12" spans="2:24" ht="36" customHeight="1" x14ac:dyDescent="0.25">
      <c r="B12" s="2"/>
      <c r="D12" s="338" t="s">
        <v>5</v>
      </c>
      <c r="E12" s="339"/>
      <c r="F12" s="340" t="s">
        <v>182</v>
      </c>
      <c r="G12" s="341"/>
      <c r="H12" s="341"/>
      <c r="I12" s="341"/>
      <c r="J12" s="341"/>
      <c r="K12" s="341"/>
      <c r="L12" s="341"/>
      <c r="M12" s="342"/>
      <c r="O12" s="2"/>
      <c r="W12" s="3" t="str">
        <f>+F23</f>
        <v>Semestral</v>
      </c>
      <c r="X12" s="3" t="str">
        <f>+F71</f>
        <v>Junio</v>
      </c>
    </row>
    <row r="13" spans="2:24" ht="3.95" customHeight="1" x14ac:dyDescent="0.25">
      <c r="B13" s="2"/>
      <c r="O13" s="2"/>
    </row>
    <row r="14" spans="2:24" ht="36" customHeight="1" x14ac:dyDescent="0.25">
      <c r="B14" s="2"/>
      <c r="D14" s="338" t="s">
        <v>6</v>
      </c>
      <c r="E14" s="339"/>
      <c r="F14" s="340" t="s">
        <v>684</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17">
        <v>0.7</v>
      </c>
      <c r="G22" s="337" t="s">
        <v>9</v>
      </c>
      <c r="H22" s="337"/>
      <c r="I22" s="17">
        <v>0.8</v>
      </c>
      <c r="K22" s="337" t="s">
        <v>10</v>
      </c>
      <c r="L22" s="337"/>
      <c r="M22" s="9" t="s">
        <v>496</v>
      </c>
      <c r="O22" s="2"/>
    </row>
    <row r="23" spans="2:17" ht="19.5" customHeight="1" x14ac:dyDescent="0.25">
      <c r="B23" s="2"/>
      <c r="D23" s="337" t="s">
        <v>11</v>
      </c>
      <c r="E23" s="337"/>
      <c r="F23" s="4" t="s">
        <v>104</v>
      </c>
      <c r="G23" s="337" t="s">
        <v>12</v>
      </c>
      <c r="H23" s="337"/>
      <c r="I23" s="4" t="s">
        <v>497</v>
      </c>
      <c r="K23" s="337" t="s">
        <v>13</v>
      </c>
      <c r="L23" s="337"/>
      <c r="M23" s="9" t="s">
        <v>496</v>
      </c>
      <c r="O23" s="2"/>
    </row>
    <row r="24" spans="2:17" ht="20.100000000000001" customHeight="1" x14ac:dyDescent="0.25">
      <c r="B24" s="2"/>
      <c r="D24" s="337" t="s">
        <v>14</v>
      </c>
      <c r="E24" s="337"/>
      <c r="F24" s="4" t="s">
        <v>498</v>
      </c>
      <c r="G24" s="337" t="s">
        <v>15</v>
      </c>
      <c r="H24" s="337"/>
      <c r="I24" s="4" t="s">
        <v>103</v>
      </c>
      <c r="K24" s="337" t="s">
        <v>16</v>
      </c>
      <c r="L24" s="337"/>
      <c r="M24" s="9" t="s">
        <v>496</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489</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NA</v>
      </c>
    </row>
    <row r="31" spans="2:17" ht="24" customHeight="1" x14ac:dyDescent="0.25">
      <c r="B31" s="2"/>
      <c r="D31" s="347"/>
      <c r="E31" s="348"/>
      <c r="F31" s="4" t="s">
        <v>176</v>
      </c>
      <c r="G31" s="340" t="s">
        <v>177</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500</v>
      </c>
      <c r="G33" s="340"/>
      <c r="H33" s="341"/>
      <c r="I33" s="341"/>
      <c r="J33" s="341"/>
      <c r="K33" s="341"/>
      <c r="L33" s="341"/>
      <c r="M33" s="342"/>
      <c r="O33" s="2"/>
      <c r="Q33" s="3" t="str">
        <f>+IFERROR(IF(VLOOKUP(G33,base!$A$26:$C$40,3,FALSE)=F31,1,0),"")</f>
        <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1714</v>
      </c>
      <c r="G35" s="340" t="s">
        <v>1590</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501</v>
      </c>
      <c r="G45" s="340" t="s">
        <v>502</v>
      </c>
      <c r="H45" s="341"/>
      <c r="I45" s="341"/>
      <c r="J45" s="341"/>
      <c r="K45" s="341"/>
      <c r="L45" s="341"/>
      <c r="M45" s="342"/>
      <c r="O45" s="2"/>
      <c r="Q45" s="3" t="str">
        <f>+IFERROR(VLOOKUP(G45,base!$A$41:$C$45,3,FALSE),"")</f>
        <v>misional</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503</v>
      </c>
      <c r="G47" s="340" t="s">
        <v>504</v>
      </c>
      <c r="H47" s="341"/>
      <c r="I47" s="341"/>
      <c r="J47" s="341"/>
      <c r="K47" s="341"/>
      <c r="L47" s="341"/>
      <c r="M47" s="342"/>
      <c r="O47" s="2"/>
      <c r="Q47" s="3">
        <f>+IF(VLOOKUP(G47,base!$A$46:$C$66,3,FALSE)=F45,1,0)</f>
        <v>1</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505</v>
      </c>
      <c r="G49" s="340" t="s">
        <v>490</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8"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62.25" customHeight="1" x14ac:dyDescent="0.25">
      <c r="B59" s="2"/>
      <c r="D59" s="337" t="s">
        <v>34</v>
      </c>
      <c r="E59" s="337"/>
      <c r="F59" s="344" t="s">
        <v>685</v>
      </c>
      <c r="G59" s="344"/>
      <c r="H59" s="344"/>
      <c r="I59" s="344"/>
      <c r="J59" s="344"/>
      <c r="K59" s="344"/>
      <c r="L59" s="344"/>
      <c r="M59" s="344"/>
      <c r="O59" s="2"/>
    </row>
    <row r="60" spans="2:15" ht="27" customHeight="1" x14ac:dyDescent="0.25">
      <c r="B60" s="2"/>
      <c r="D60" s="359" t="s">
        <v>35</v>
      </c>
      <c r="E60" s="359"/>
      <c r="F60" s="344" t="s">
        <v>686</v>
      </c>
      <c r="G60" s="344"/>
      <c r="H60" s="344"/>
      <c r="I60" s="344"/>
      <c r="J60" s="344"/>
      <c r="K60" s="344"/>
      <c r="L60" s="344"/>
      <c r="M60" s="344"/>
      <c r="O60" s="2"/>
    </row>
    <row r="61" spans="2:15" ht="27" customHeight="1" x14ac:dyDescent="0.25">
      <c r="B61" s="2"/>
      <c r="D61" s="359" t="s">
        <v>36</v>
      </c>
      <c r="E61" s="359"/>
      <c r="F61" s="344" t="s">
        <v>687</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6</v>
      </c>
    </row>
    <row r="70" spans="2:37" ht="3.95" customHeight="1" x14ac:dyDescent="0.25">
      <c r="B70" s="2"/>
      <c r="D70" s="7"/>
      <c r="E70" s="7"/>
      <c r="O70" s="2"/>
    </row>
    <row r="71" spans="2:37" ht="18.75" customHeight="1" x14ac:dyDescent="0.25">
      <c r="B71" s="2"/>
      <c r="D71" s="343" t="s">
        <v>39</v>
      </c>
      <c r="E71" s="343"/>
      <c r="F71" s="4" t="s">
        <v>50</v>
      </c>
      <c r="G71" s="3">
        <v>6</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60" t="s">
        <v>50</v>
      </c>
      <c r="E80" s="360"/>
      <c r="F80" s="16" t="s">
        <v>500</v>
      </c>
      <c r="G80" s="16">
        <v>0.59899999999999998</v>
      </c>
      <c r="H80" s="16">
        <v>0.6</v>
      </c>
      <c r="I80" s="16">
        <v>0.69899999999999995</v>
      </c>
      <c r="J80" s="16">
        <v>0.7</v>
      </c>
      <c r="K80" s="16">
        <v>0.79900000000000004</v>
      </c>
      <c r="L80" s="16">
        <v>0.8</v>
      </c>
      <c r="M80" s="16" t="s">
        <v>500</v>
      </c>
      <c r="O80" s="2"/>
      <c r="AE80" s="3" t="s">
        <v>50</v>
      </c>
      <c r="AF80" s="3">
        <v>6</v>
      </c>
      <c r="AG80" s="3">
        <f t="shared" si="0"/>
        <v>1</v>
      </c>
      <c r="AH80" s="3">
        <f>+IF(AG80=0,0,IF(AG80=1,(SUM($AG$75:AG80)-1),1))</f>
        <v>0</v>
      </c>
      <c r="AI80" s="3">
        <f t="shared" si="1"/>
        <v>0</v>
      </c>
      <c r="AJ80" s="3">
        <f t="shared" si="2"/>
        <v>1</v>
      </c>
      <c r="AK80" s="3">
        <f t="shared" si="3"/>
        <v>1</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1</v>
      </c>
      <c r="AI81" s="3">
        <f t="shared" si="1"/>
        <v>0</v>
      </c>
      <c r="AJ81" s="3">
        <f t="shared" si="2"/>
        <v>0</v>
      </c>
      <c r="AK81" s="3">
        <f t="shared" si="3"/>
        <v>0</v>
      </c>
    </row>
    <row r="82" spans="2:37" x14ac:dyDescent="0.25">
      <c r="B82" s="2"/>
      <c r="D82" s="360" t="s">
        <v>54</v>
      </c>
      <c r="E82" s="360"/>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2</v>
      </c>
      <c r="AI82" s="3">
        <f t="shared" si="1"/>
        <v>0</v>
      </c>
      <c r="AJ82" s="3">
        <f t="shared" si="2"/>
        <v>0</v>
      </c>
      <c r="AK82" s="3">
        <f t="shared" si="3"/>
        <v>0</v>
      </c>
    </row>
    <row r="83" spans="2:37" x14ac:dyDescent="0.25">
      <c r="B83" s="2"/>
      <c r="D83" s="360" t="s">
        <v>55</v>
      </c>
      <c r="E83" s="360"/>
      <c r="F83" s="16" t="s">
        <v>500</v>
      </c>
      <c r="G83" s="16" t="s">
        <v>500</v>
      </c>
      <c r="H83" s="16" t="s">
        <v>500</v>
      </c>
      <c r="I83" s="16" t="s">
        <v>500</v>
      </c>
      <c r="J83" s="16" t="s">
        <v>500</v>
      </c>
      <c r="K83" s="16" t="s">
        <v>500</v>
      </c>
      <c r="L83" s="16" t="s">
        <v>500</v>
      </c>
      <c r="M83" s="16" t="s">
        <v>500</v>
      </c>
      <c r="O83" s="2"/>
      <c r="AE83" s="3" t="s">
        <v>55</v>
      </c>
      <c r="AF83" s="3">
        <v>9</v>
      </c>
      <c r="AG83" s="3">
        <f t="shared" si="0"/>
        <v>1</v>
      </c>
      <c r="AH83" s="3">
        <f>+IF(AG83=0,0,IF(AG83=1,(SUM($AG$75:AG83)-1),1))</f>
        <v>3</v>
      </c>
      <c r="AI83" s="3">
        <f t="shared" si="1"/>
        <v>0</v>
      </c>
      <c r="AJ83" s="3">
        <f t="shared" si="2"/>
        <v>0</v>
      </c>
      <c r="AK83" s="3">
        <f t="shared" si="3"/>
        <v>0</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4</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5</v>
      </c>
      <c r="AI85" s="3">
        <f t="shared" si="1"/>
        <v>0</v>
      </c>
      <c r="AJ85" s="3">
        <f t="shared" si="2"/>
        <v>0</v>
      </c>
      <c r="AK85" s="3">
        <f t="shared" si="3"/>
        <v>0</v>
      </c>
    </row>
    <row r="86" spans="2:37" x14ac:dyDescent="0.25">
      <c r="B86" s="2"/>
      <c r="D86" s="360" t="s">
        <v>58</v>
      </c>
      <c r="E86" s="360"/>
      <c r="F86" s="16" t="s">
        <v>500</v>
      </c>
      <c r="G86" s="16">
        <v>0.59899999999999998</v>
      </c>
      <c r="H86" s="16">
        <v>0.6</v>
      </c>
      <c r="I86" s="16">
        <v>0.69899999999999995</v>
      </c>
      <c r="J86" s="16">
        <v>0.7</v>
      </c>
      <c r="K86" s="16">
        <v>0.79900000000000004</v>
      </c>
      <c r="L86" s="16">
        <v>0.8</v>
      </c>
      <c r="M86" s="16" t="s">
        <v>500</v>
      </c>
      <c r="O86" s="2"/>
      <c r="AE86" s="3" t="s">
        <v>58</v>
      </c>
      <c r="AF86" s="65">
        <v>12</v>
      </c>
      <c r="AG86" s="3">
        <f t="shared" si="0"/>
        <v>1</v>
      </c>
      <c r="AH86" s="3">
        <f>+IF(AG86=0,0,IF(AG86=1,(SUM($AG$75:AG86)-1),1))</f>
        <v>6</v>
      </c>
      <c r="AI86" s="3">
        <f t="shared" si="1"/>
        <v>1</v>
      </c>
      <c r="AJ86" s="3">
        <f t="shared" si="2"/>
        <v>0</v>
      </c>
      <c r="AK86" s="3">
        <f t="shared" si="3"/>
        <v>1</v>
      </c>
    </row>
    <row r="87" spans="2:37" ht="3.75" customHeight="1" x14ac:dyDescent="0.25">
      <c r="B87" s="2"/>
      <c r="O87" s="2"/>
    </row>
    <row r="88" spans="2:37" ht="316.5" customHeight="1" x14ac:dyDescent="0.25">
      <c r="B88" s="2"/>
      <c r="D88" s="338" t="s">
        <v>59</v>
      </c>
      <c r="E88" s="339"/>
      <c r="F88" s="420" t="s">
        <v>644</v>
      </c>
      <c r="G88" s="423"/>
      <c r="H88" s="423"/>
      <c r="I88" s="423"/>
      <c r="J88" s="423"/>
      <c r="K88" s="423"/>
      <c r="L88" s="423"/>
      <c r="M88" s="424"/>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28.5" customHeight="1" x14ac:dyDescent="0.25">
      <c r="B97" s="2"/>
      <c r="D97" s="359" t="s">
        <v>35</v>
      </c>
      <c r="E97" s="359"/>
      <c r="F97" s="344" t="s">
        <v>509</v>
      </c>
      <c r="G97" s="344"/>
      <c r="H97" s="344"/>
      <c r="I97" s="344"/>
      <c r="J97" s="344"/>
      <c r="K97" s="344"/>
      <c r="L97" s="344"/>
      <c r="M97" s="344"/>
      <c r="O97" s="2"/>
    </row>
    <row r="98" spans="2:15" ht="28.5" customHeight="1" x14ac:dyDescent="0.25">
      <c r="B98" s="2"/>
      <c r="D98" s="359" t="s">
        <v>36</v>
      </c>
      <c r="E98" s="359"/>
      <c r="F98" s="344" t="s">
        <v>509</v>
      </c>
      <c r="G98" s="344"/>
      <c r="H98" s="344"/>
      <c r="I98" s="344"/>
      <c r="J98" s="344"/>
      <c r="K98" s="344"/>
      <c r="L98" s="344"/>
      <c r="M98" s="344"/>
      <c r="O98" s="2"/>
    </row>
    <row r="99" spans="2:15" ht="3.95" customHeight="1" x14ac:dyDescent="0.25">
      <c r="B99" s="2"/>
      <c r="O99" s="2"/>
    </row>
    <row r="100" spans="2:15" ht="250.5" customHeight="1" x14ac:dyDescent="0.25">
      <c r="B100" s="2"/>
      <c r="D100" s="338" t="s">
        <v>62</v>
      </c>
      <c r="E100" s="339"/>
      <c r="F100" s="420" t="s">
        <v>646</v>
      </c>
      <c r="G100" s="421"/>
      <c r="H100" s="421"/>
      <c r="I100" s="421"/>
      <c r="J100" s="421"/>
      <c r="K100" s="421"/>
      <c r="L100" s="421"/>
      <c r="M100" s="422"/>
      <c r="O100" s="2"/>
    </row>
    <row r="101" spans="2:15" ht="3.95" customHeight="1" x14ac:dyDescent="0.25">
      <c r="B101" s="2"/>
      <c r="O101" s="2"/>
    </row>
    <row r="102" spans="2:15" ht="19.5" customHeight="1" x14ac:dyDescent="0.25">
      <c r="B102" s="2"/>
      <c r="D102" s="329" t="s">
        <v>64</v>
      </c>
      <c r="E102" s="330"/>
      <c r="F102" s="19" t="s">
        <v>65</v>
      </c>
      <c r="G102" s="4" t="s">
        <v>1</v>
      </c>
      <c r="K102" s="20"/>
      <c r="O102" s="2"/>
    </row>
    <row r="103" spans="2:15" ht="19.5" customHeight="1" x14ac:dyDescent="0.25">
      <c r="B103" s="2"/>
      <c r="D103" s="331"/>
      <c r="E103" s="332"/>
      <c r="F103" s="19" t="s">
        <v>66</v>
      </c>
      <c r="G103" s="4" t="s">
        <v>645</v>
      </c>
      <c r="K103" s="21"/>
      <c r="O103" s="2"/>
    </row>
    <row r="104" spans="2:15" ht="27.75" customHeight="1" x14ac:dyDescent="0.25">
      <c r="B104" s="2"/>
      <c r="D104" s="331"/>
      <c r="E104" s="332"/>
      <c r="F104" s="19" t="s">
        <v>67</v>
      </c>
      <c r="G104" s="365" t="s">
        <v>182</v>
      </c>
      <c r="H104" s="366"/>
      <c r="I104" s="366"/>
      <c r="J104" s="366"/>
      <c r="K104" s="366"/>
      <c r="L104" s="366"/>
      <c r="M104" s="367"/>
      <c r="O104" s="2"/>
    </row>
    <row r="105" spans="2:15" ht="3.95" customHeight="1" x14ac:dyDescent="0.25">
      <c r="B105" s="2"/>
      <c r="O105" s="2"/>
    </row>
    <row r="106" spans="2:15" ht="197.25" customHeight="1" x14ac:dyDescent="0.25">
      <c r="B106" s="2"/>
      <c r="D106" s="338" t="s">
        <v>68</v>
      </c>
      <c r="E106" s="339"/>
      <c r="F106" s="340" t="s">
        <v>69</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65" t="str">
        <f>+VLOOKUP(H10,tablero!$P$5:$R$201,3,FALSE)</f>
        <v>Director(a) Nutrición</v>
      </c>
      <c r="H108" s="366"/>
      <c r="I108" s="366"/>
      <c r="J108" s="366"/>
      <c r="K108" s="366"/>
      <c r="L108" s="366"/>
      <c r="M108" s="367"/>
      <c r="O108" s="2"/>
    </row>
    <row r="109" spans="2:15" ht="17.25" customHeight="1" x14ac:dyDescent="0.25">
      <c r="B109" s="2"/>
      <c r="D109" s="331"/>
      <c r="E109" s="332"/>
      <c r="F109" s="19" t="s">
        <v>2042</v>
      </c>
      <c r="G109" s="365" t="str">
        <f>+IF(M23="Si","Coordinador(a) Planeación y Sistemas","")</f>
        <v>Coordinador(a) Planeación y Sistemas</v>
      </c>
      <c r="H109" s="366"/>
      <c r="I109" s="366"/>
      <c r="J109" s="366"/>
      <c r="K109" s="366"/>
      <c r="L109" s="366"/>
      <c r="M109" s="367"/>
      <c r="O109" s="2"/>
    </row>
    <row r="110" spans="2:15" ht="17.25" customHeight="1" x14ac:dyDescent="0.25">
      <c r="B110" s="2"/>
      <c r="D110" s="331"/>
      <c r="E110" s="332"/>
      <c r="F110" s="19" t="s">
        <v>2043</v>
      </c>
      <c r="G110" s="365" t="str">
        <f>+IF(M24="Si","Coordinador(a) Centro Zonal","")</f>
        <v>Coordinador(a) Centro Zonal</v>
      </c>
      <c r="H110" s="366"/>
      <c r="I110" s="366"/>
      <c r="J110" s="366"/>
      <c r="K110" s="366"/>
      <c r="L110" s="366"/>
      <c r="M110" s="367"/>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835" priority="34">
      <formula>+IF($F$43="no",1,0)</formula>
    </cfRule>
  </conditionalFormatting>
  <conditionalFormatting sqref="F32:M33">
    <cfRule type="expression" dxfId="2834" priority="33">
      <formula>+IF($Q$30="NA",1,0)</formula>
    </cfRule>
  </conditionalFormatting>
  <conditionalFormatting sqref="F33:M33">
    <cfRule type="expression" dxfId="2833" priority="32">
      <formula>+IF($Q$33=0,1,0)</formula>
    </cfRule>
  </conditionalFormatting>
  <conditionalFormatting sqref="F47:M47">
    <cfRule type="expression" dxfId="2832" priority="31">
      <formula>+IF($Q$47=0,1,0)</formula>
    </cfRule>
  </conditionalFormatting>
  <conditionalFormatting sqref="F73:G73">
    <cfRule type="cellIs" dxfId="2831" priority="17" operator="equal">
      <formula>"optimo"</formula>
    </cfRule>
    <cfRule type="cellIs" dxfId="2830" priority="18" operator="equal">
      <formula>"critico"</formula>
    </cfRule>
  </conditionalFormatting>
  <conditionalFormatting sqref="H73:I73">
    <cfRule type="cellIs" dxfId="2829" priority="15" operator="equal">
      <formula>"Adecuado"</formula>
    </cfRule>
    <cfRule type="cellIs" dxfId="2828" priority="16" operator="equal">
      <formula>"en riesgo"</formula>
    </cfRule>
  </conditionalFormatting>
  <conditionalFormatting sqref="J73:K73">
    <cfRule type="cellIs" dxfId="2827" priority="13" operator="equal">
      <formula>"Adecuado"</formula>
    </cfRule>
    <cfRule type="cellIs" dxfId="2826" priority="14" operator="equal">
      <formula>"en riesgo"</formula>
    </cfRule>
  </conditionalFormatting>
  <conditionalFormatting sqref="L73:M73">
    <cfRule type="cellIs" dxfId="2825" priority="11" operator="equal">
      <formula>"optimo"</formula>
    </cfRule>
    <cfRule type="cellIs" dxfId="2824" priority="12" operator="equal">
      <formula>"critico"</formula>
    </cfRule>
  </conditionalFormatting>
  <conditionalFormatting sqref="F75:M86">
    <cfRule type="expression" dxfId="2823" priority="10">
      <formula>+IF($AK75=0,1)</formula>
    </cfRule>
  </conditionalFormatting>
  <conditionalFormatting sqref="F103:G103 F104">
    <cfRule type="expression" dxfId="2822" priority="9">
      <formula>+IF($G$102="No",1,0)</formula>
    </cfRule>
  </conditionalFormatting>
  <conditionalFormatting sqref="F51">
    <cfRule type="expression" dxfId="2821" priority="8">
      <formula>+IF($F$43="no",1,0)</formula>
    </cfRule>
  </conditionalFormatting>
  <conditionalFormatting sqref="I51">
    <cfRule type="expression" dxfId="2820" priority="7">
      <formula>+IF($F$51="no",1,0)</formula>
    </cfRule>
  </conditionalFormatting>
  <conditionalFormatting sqref="G104">
    <cfRule type="expression" dxfId="2819" priority="4">
      <formula>+IF($G$102="No",1,0)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1">
    <tabColor rgb="FF0070C0"/>
  </sheetPr>
  <dimension ref="B1:AV113"/>
  <sheetViews>
    <sheetView topLeftCell="A55" zoomScaleNormal="100" workbookViewId="0">
      <selection activeCell="G80" sqref="G8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183</v>
      </c>
      <c r="O10" s="2"/>
    </row>
    <row r="11" spans="2:24" ht="3.95" customHeight="1" x14ac:dyDescent="0.25">
      <c r="B11" s="2"/>
      <c r="D11" s="6"/>
      <c r="O11" s="2"/>
    </row>
    <row r="12" spans="2:24" ht="36" customHeight="1" x14ac:dyDescent="0.25">
      <c r="B12" s="2"/>
      <c r="D12" s="338" t="s">
        <v>5</v>
      </c>
      <c r="E12" s="339"/>
      <c r="F12" s="340" t="s">
        <v>656</v>
      </c>
      <c r="G12" s="341"/>
      <c r="H12" s="341"/>
      <c r="I12" s="341"/>
      <c r="J12" s="341"/>
      <c r="K12" s="341"/>
      <c r="L12" s="341"/>
      <c r="M12" s="342"/>
      <c r="O12" s="2"/>
      <c r="W12" s="3" t="str">
        <f>+F23</f>
        <v>Mensual</v>
      </c>
      <c r="X12" s="3" t="str">
        <f>+F71</f>
        <v>Enero</v>
      </c>
    </row>
    <row r="13" spans="2:24" ht="3.95" customHeight="1" x14ac:dyDescent="0.25">
      <c r="B13" s="2"/>
      <c r="O13" s="2"/>
    </row>
    <row r="14" spans="2:24" ht="36" customHeight="1" x14ac:dyDescent="0.25">
      <c r="B14" s="2"/>
      <c r="D14" s="338" t="s">
        <v>6</v>
      </c>
      <c r="E14" s="339"/>
      <c r="F14" s="340" t="s">
        <v>1874</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8">
        <v>22000</v>
      </c>
      <c r="G22" s="337" t="s">
        <v>9</v>
      </c>
      <c r="H22" s="337"/>
      <c r="I22" s="8">
        <v>22000</v>
      </c>
      <c r="K22" s="337" t="s">
        <v>10</v>
      </c>
      <c r="L22" s="337"/>
      <c r="M22" s="9" t="s">
        <v>496</v>
      </c>
      <c r="O22" s="2"/>
    </row>
    <row r="23" spans="2:17" ht="19.5" customHeight="1" x14ac:dyDescent="0.25">
      <c r="B23" s="2"/>
      <c r="D23" s="337" t="s">
        <v>11</v>
      </c>
      <c r="E23" s="337"/>
      <c r="F23" s="4" t="s">
        <v>84</v>
      </c>
      <c r="G23" s="337" t="s">
        <v>12</v>
      </c>
      <c r="H23" s="337"/>
      <c r="I23" s="4" t="s">
        <v>647</v>
      </c>
      <c r="K23" s="337" t="s">
        <v>13</v>
      </c>
      <c r="L23" s="337"/>
      <c r="M23" s="9" t="s">
        <v>2</v>
      </c>
      <c r="O23" s="2"/>
    </row>
    <row r="24" spans="2:17" ht="20.100000000000001" customHeight="1" x14ac:dyDescent="0.25">
      <c r="B24" s="2"/>
      <c r="D24" s="337" t="s">
        <v>14</v>
      </c>
      <c r="E24" s="337"/>
      <c r="F24" s="4" t="s">
        <v>498</v>
      </c>
      <c r="G24" s="337" t="s">
        <v>15</v>
      </c>
      <c r="H24" s="337"/>
      <c r="I24" s="4" t="s">
        <v>533</v>
      </c>
      <c r="K24" s="337" t="s">
        <v>16</v>
      </c>
      <c r="L24" s="337"/>
      <c r="M24" s="9" t="s">
        <v>2</v>
      </c>
      <c r="O24" s="2"/>
    </row>
    <row r="25" spans="2:17" ht="20.100000000000001" customHeight="1" x14ac:dyDescent="0.25">
      <c r="B25" s="2"/>
      <c r="D25" s="337" t="s">
        <v>17</v>
      </c>
      <c r="E25" s="337"/>
      <c r="F25" s="4" t="s">
        <v>683</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489</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NA</v>
      </c>
    </row>
    <row r="31" spans="2:17" ht="24" customHeight="1" x14ac:dyDescent="0.25">
      <c r="B31" s="2"/>
      <c r="D31" s="347"/>
      <c r="E31" s="348"/>
      <c r="F31" s="4" t="s">
        <v>176</v>
      </c>
      <c r="G31" s="340" t="s">
        <v>177</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500</v>
      </c>
      <c r="G33" s="340"/>
      <c r="H33" s="341"/>
      <c r="I33" s="341"/>
      <c r="J33" s="341"/>
      <c r="K33" s="341"/>
      <c r="L33" s="341"/>
      <c r="M33" s="342"/>
      <c r="O33" s="2"/>
      <c r="Q33" s="3" t="str">
        <f>+IFERROR(IF(VLOOKUP(G33,base!$A$26:$C$40,3,FALSE)=F31,1,0),"")</f>
        <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1714</v>
      </c>
      <c r="G35" s="340" t="s">
        <v>1590</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501</v>
      </c>
      <c r="G45" s="340" t="s">
        <v>502</v>
      </c>
      <c r="H45" s="341"/>
      <c r="I45" s="341"/>
      <c r="J45" s="341"/>
      <c r="K45" s="341"/>
      <c r="L45" s="341"/>
      <c r="M45" s="342"/>
      <c r="O45" s="2"/>
      <c r="Q45" s="3" t="str">
        <f>+IFERROR(VLOOKUP(G45,base!$A$41:$C$45,3,FALSE),"")</f>
        <v>misional</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503</v>
      </c>
      <c r="G47" s="340" t="s">
        <v>504</v>
      </c>
      <c r="H47" s="341"/>
      <c r="I47" s="341"/>
      <c r="J47" s="341"/>
      <c r="K47" s="341"/>
      <c r="L47" s="341"/>
      <c r="M47" s="342"/>
      <c r="O47" s="2"/>
      <c r="Q47" s="3">
        <f>+IF(VLOOKUP(G47,base!$A$46:$C$66,3,FALSE)=F45,1,0)</f>
        <v>1</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505</v>
      </c>
      <c r="G49" s="340" t="s">
        <v>490</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496</v>
      </c>
      <c r="G51" s="337" t="s">
        <v>32</v>
      </c>
      <c r="H51" s="337"/>
      <c r="I51" s="8">
        <v>88000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3" customHeight="1" x14ac:dyDescent="0.25">
      <c r="B59" s="2"/>
      <c r="D59" s="337" t="s">
        <v>34</v>
      </c>
      <c r="E59" s="337"/>
      <c r="F59" s="344" t="s">
        <v>1913</v>
      </c>
      <c r="G59" s="344"/>
      <c r="H59" s="344"/>
      <c r="I59" s="344"/>
      <c r="J59" s="344"/>
      <c r="K59" s="344"/>
      <c r="L59" s="344"/>
      <c r="M59" s="344"/>
      <c r="O59" s="2"/>
    </row>
    <row r="60" spans="2:15" ht="27" customHeight="1" x14ac:dyDescent="0.25">
      <c r="B60" s="2"/>
      <c r="D60" s="359" t="s">
        <v>35</v>
      </c>
      <c r="E60" s="359"/>
      <c r="F60" s="344" t="s">
        <v>1867</v>
      </c>
      <c r="G60" s="344"/>
      <c r="H60" s="344"/>
      <c r="I60" s="344"/>
      <c r="J60" s="344"/>
      <c r="K60" s="344"/>
      <c r="L60" s="344"/>
      <c r="M60" s="344"/>
      <c r="O60" s="2"/>
    </row>
    <row r="61" spans="2:15" ht="27" customHeight="1" x14ac:dyDescent="0.25">
      <c r="B61" s="2"/>
      <c r="D61" s="359" t="s">
        <v>36</v>
      </c>
      <c r="E61" s="359"/>
      <c r="F61" s="344" t="s">
        <v>1912</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43" t="s">
        <v>39</v>
      </c>
      <c r="E71" s="343"/>
      <c r="F71" s="4" t="s">
        <v>46</v>
      </c>
      <c r="G71" s="3">
        <v>1</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v>0.03</v>
      </c>
      <c r="H75" s="16">
        <v>3.1E-2</v>
      </c>
      <c r="I75" s="16">
        <v>3.9E-2</v>
      </c>
      <c r="J75" s="16">
        <v>0.04</v>
      </c>
      <c r="K75" s="16">
        <v>4.9000000000000002E-2</v>
      </c>
      <c r="L75" s="16">
        <v>0.05</v>
      </c>
      <c r="M75" s="16" t="s">
        <v>500</v>
      </c>
      <c r="O75" s="2"/>
      <c r="AE75" s="3" t="s">
        <v>46</v>
      </c>
      <c r="AF75" s="3">
        <v>1</v>
      </c>
      <c r="AG75" s="3">
        <f>+IF(AF75&gt;=$G$71,1,0)</f>
        <v>1</v>
      </c>
      <c r="AH75" s="3">
        <f>+IF(AG75=0,0,IF(AG75=1,(SUM($AG$75:AG75)-1),1))</f>
        <v>0</v>
      </c>
      <c r="AI75" s="3">
        <f>+IF(AH75=0,0,IF(MOD(AH75,$U$69)=0,1,0))</f>
        <v>0</v>
      </c>
      <c r="AJ75" s="3">
        <f>+IF(AE75=$F$71,1,0)</f>
        <v>1</v>
      </c>
      <c r="AK75" s="3">
        <f>+MAX(AI75:AJ75)</f>
        <v>1</v>
      </c>
    </row>
    <row r="76" spans="2:37" x14ac:dyDescent="0.25">
      <c r="B76" s="2"/>
      <c r="D76" s="360" t="s">
        <v>40</v>
      </c>
      <c r="E76" s="360"/>
      <c r="F76" s="16" t="s">
        <v>500</v>
      </c>
      <c r="G76" s="16">
        <v>0.05</v>
      </c>
      <c r="H76" s="16">
        <v>5.1000000000000004E-2</v>
      </c>
      <c r="I76" s="16">
        <v>8.8999999999999996E-2</v>
      </c>
      <c r="J76" s="16">
        <v>0.09</v>
      </c>
      <c r="K76" s="16">
        <v>0.109</v>
      </c>
      <c r="L76" s="16">
        <v>0.11</v>
      </c>
      <c r="M76" s="16" t="s">
        <v>500</v>
      </c>
      <c r="O76" s="2"/>
      <c r="AE76" s="3" t="s">
        <v>40</v>
      </c>
      <c r="AF76" s="3">
        <v>2</v>
      </c>
      <c r="AG76" s="3">
        <f t="shared" ref="AG76:AG86" si="0">+IF(AF76&gt;=$G$71,1,0)</f>
        <v>1</v>
      </c>
      <c r="AH76" s="3">
        <f>+IF(AG76=0,0,IF(AG76=1,(SUM($AG$75:AG76)-1),1))</f>
        <v>1</v>
      </c>
      <c r="AI76" s="3">
        <f t="shared" ref="AI76:AI86" si="1">+IF(AH76=0,0,IF(MOD(AH76,$U$69)=0,1,0))</f>
        <v>1</v>
      </c>
      <c r="AJ76" s="3">
        <f t="shared" ref="AJ76:AJ86" si="2">+IF(AE76=$F$71,1,0)</f>
        <v>0</v>
      </c>
      <c r="AK76" s="3">
        <f t="shared" ref="AK76:AK86" si="3">+MAX(AI76:AJ76)</f>
        <v>1</v>
      </c>
    </row>
    <row r="77" spans="2:37" x14ac:dyDescent="0.25">
      <c r="B77" s="2"/>
      <c r="D77" s="360" t="s">
        <v>47</v>
      </c>
      <c r="E77" s="360"/>
      <c r="F77" s="16" t="s">
        <v>500</v>
      </c>
      <c r="G77" s="16">
        <v>0.11</v>
      </c>
      <c r="H77" s="16">
        <v>0.111</v>
      </c>
      <c r="I77" s="16">
        <v>0.14899999999999999</v>
      </c>
      <c r="J77" s="16">
        <v>0.15</v>
      </c>
      <c r="K77" s="16">
        <v>0.17899999999999999</v>
      </c>
      <c r="L77" s="16">
        <v>0.18</v>
      </c>
      <c r="M77" s="16" t="s">
        <v>500</v>
      </c>
      <c r="O77" s="2"/>
      <c r="AE77" s="3" t="s">
        <v>47</v>
      </c>
      <c r="AF77" s="3">
        <v>3</v>
      </c>
      <c r="AG77" s="3">
        <f t="shared" si="0"/>
        <v>1</v>
      </c>
      <c r="AH77" s="3">
        <f>+IF(AG77=0,0,IF(AG77=1,(SUM($AG$75:AG77)-1),1))</f>
        <v>2</v>
      </c>
      <c r="AI77" s="3">
        <f t="shared" si="1"/>
        <v>1</v>
      </c>
      <c r="AJ77" s="3">
        <f t="shared" si="2"/>
        <v>0</v>
      </c>
      <c r="AK77" s="3">
        <f t="shared" si="3"/>
        <v>1</v>
      </c>
    </row>
    <row r="78" spans="2:37" x14ac:dyDescent="0.25">
      <c r="B78" s="2"/>
      <c r="D78" s="360" t="s">
        <v>48</v>
      </c>
      <c r="E78" s="360"/>
      <c r="F78" s="16" t="s">
        <v>500</v>
      </c>
      <c r="G78" s="16">
        <v>0.18</v>
      </c>
      <c r="H78" s="16">
        <v>0.18099999999999999</v>
      </c>
      <c r="I78" s="16">
        <v>0.249</v>
      </c>
      <c r="J78" s="16">
        <v>0.25</v>
      </c>
      <c r="K78" s="16">
        <v>0.26900000000000002</v>
      </c>
      <c r="L78" s="16">
        <v>0.27</v>
      </c>
      <c r="M78" s="16" t="s">
        <v>500</v>
      </c>
      <c r="O78" s="2"/>
      <c r="AE78" s="3" t="s">
        <v>48</v>
      </c>
      <c r="AF78" s="3">
        <v>4</v>
      </c>
      <c r="AG78" s="3">
        <f t="shared" si="0"/>
        <v>1</v>
      </c>
      <c r="AH78" s="3">
        <f>+IF(AG78=0,0,IF(AG78=1,(SUM($AG$75:AG78)-1),1))</f>
        <v>3</v>
      </c>
      <c r="AI78" s="3">
        <f t="shared" si="1"/>
        <v>1</v>
      </c>
      <c r="AJ78" s="3">
        <f t="shared" si="2"/>
        <v>0</v>
      </c>
      <c r="AK78" s="3">
        <f t="shared" si="3"/>
        <v>1</v>
      </c>
    </row>
    <row r="79" spans="2:37" x14ac:dyDescent="0.25">
      <c r="B79" s="2"/>
      <c r="D79" s="360" t="s">
        <v>49</v>
      </c>
      <c r="E79" s="360"/>
      <c r="F79" s="16" t="s">
        <v>500</v>
      </c>
      <c r="G79" s="16">
        <v>0.27</v>
      </c>
      <c r="H79" s="16">
        <v>0.27100000000000002</v>
      </c>
      <c r="I79" s="16">
        <v>0.36899999999999999</v>
      </c>
      <c r="J79" s="16">
        <v>0.37</v>
      </c>
      <c r="K79" s="16">
        <v>0.39900000000000002</v>
      </c>
      <c r="L79" s="16">
        <v>0.4</v>
      </c>
      <c r="M79" s="16" t="s">
        <v>500</v>
      </c>
      <c r="O79" s="2"/>
      <c r="AE79" s="3" t="s">
        <v>49</v>
      </c>
      <c r="AF79" s="3">
        <v>5</v>
      </c>
      <c r="AG79" s="3">
        <f t="shared" si="0"/>
        <v>1</v>
      </c>
      <c r="AH79" s="3">
        <f>+IF(AG79=0,0,IF(AG79=1,(SUM($AG$75:AG79)-1),1))</f>
        <v>4</v>
      </c>
      <c r="AI79" s="3">
        <f t="shared" si="1"/>
        <v>1</v>
      </c>
      <c r="AJ79" s="3">
        <f t="shared" si="2"/>
        <v>0</v>
      </c>
      <c r="AK79" s="3">
        <f t="shared" si="3"/>
        <v>1</v>
      </c>
    </row>
    <row r="80" spans="2:37" x14ac:dyDescent="0.25">
      <c r="B80" s="2"/>
      <c r="D80" s="360" t="s">
        <v>50</v>
      </c>
      <c r="E80" s="360"/>
      <c r="F80" s="16" t="s">
        <v>500</v>
      </c>
      <c r="G80" s="16">
        <v>0.4</v>
      </c>
      <c r="H80" s="16">
        <v>0.40100000000000002</v>
      </c>
      <c r="I80" s="16">
        <v>0.44900000000000001</v>
      </c>
      <c r="J80" s="16">
        <v>0.45</v>
      </c>
      <c r="K80" s="16">
        <v>0.46899999999999997</v>
      </c>
      <c r="L80" s="16">
        <v>0.47</v>
      </c>
      <c r="M80" s="16" t="s">
        <v>500</v>
      </c>
      <c r="O80" s="2"/>
      <c r="AE80" s="3" t="s">
        <v>50</v>
      </c>
      <c r="AF80" s="3">
        <v>6</v>
      </c>
      <c r="AG80" s="3">
        <f t="shared" si="0"/>
        <v>1</v>
      </c>
      <c r="AH80" s="3">
        <f>+IF(AG80=0,0,IF(AG80=1,(SUM($AG$75:AG80)-1),1))</f>
        <v>5</v>
      </c>
      <c r="AI80" s="3">
        <f t="shared" si="1"/>
        <v>1</v>
      </c>
      <c r="AJ80" s="3">
        <f t="shared" si="2"/>
        <v>0</v>
      </c>
      <c r="AK80" s="3">
        <f t="shared" si="3"/>
        <v>1</v>
      </c>
    </row>
    <row r="81" spans="2:37" x14ac:dyDescent="0.25">
      <c r="B81" s="2"/>
      <c r="D81" s="360" t="s">
        <v>53</v>
      </c>
      <c r="E81" s="360"/>
      <c r="F81" s="16" t="s">
        <v>500</v>
      </c>
      <c r="G81" s="16">
        <v>0.47</v>
      </c>
      <c r="H81" s="16">
        <v>0.47099999999999997</v>
      </c>
      <c r="I81" s="16">
        <v>0.57899999999999996</v>
      </c>
      <c r="J81" s="16">
        <v>0.57999999999999996</v>
      </c>
      <c r="K81" s="16">
        <v>0.59899999999999998</v>
      </c>
      <c r="L81" s="16">
        <v>0.6</v>
      </c>
      <c r="M81" s="16" t="s">
        <v>500</v>
      </c>
      <c r="O81" s="2"/>
      <c r="AE81" s="3" t="s">
        <v>53</v>
      </c>
      <c r="AF81" s="3">
        <v>7</v>
      </c>
      <c r="AG81" s="3">
        <f t="shared" si="0"/>
        <v>1</v>
      </c>
      <c r="AH81" s="3">
        <f>+IF(AG81=0,0,IF(AG81=1,(SUM($AG$75:AG81)-1),1))</f>
        <v>6</v>
      </c>
      <c r="AI81" s="3">
        <f t="shared" si="1"/>
        <v>1</v>
      </c>
      <c r="AJ81" s="3">
        <f t="shared" si="2"/>
        <v>0</v>
      </c>
      <c r="AK81" s="3">
        <f t="shared" si="3"/>
        <v>1</v>
      </c>
    </row>
    <row r="82" spans="2:37" x14ac:dyDescent="0.25">
      <c r="B82" s="2"/>
      <c r="D82" s="360" t="s">
        <v>54</v>
      </c>
      <c r="E82" s="360"/>
      <c r="F82" s="16" t="s">
        <v>500</v>
      </c>
      <c r="G82" s="16">
        <v>0.6</v>
      </c>
      <c r="H82" s="16">
        <v>0.60099999999999998</v>
      </c>
      <c r="I82" s="16">
        <v>0.65900000000000003</v>
      </c>
      <c r="J82" s="16">
        <v>0.66</v>
      </c>
      <c r="K82" s="16">
        <v>0.68899999999999995</v>
      </c>
      <c r="L82" s="16">
        <v>0.69</v>
      </c>
      <c r="M82" s="16" t="s">
        <v>500</v>
      </c>
      <c r="O82" s="2"/>
      <c r="AE82" s="3" t="s">
        <v>54</v>
      </c>
      <c r="AF82" s="3">
        <v>8</v>
      </c>
      <c r="AG82" s="3">
        <f t="shared" si="0"/>
        <v>1</v>
      </c>
      <c r="AH82" s="3">
        <f>+IF(AG82=0,0,IF(AG82=1,(SUM($AG$75:AG82)-1),1))</f>
        <v>7</v>
      </c>
      <c r="AI82" s="3">
        <f t="shared" si="1"/>
        <v>1</v>
      </c>
      <c r="AJ82" s="3">
        <f t="shared" si="2"/>
        <v>0</v>
      </c>
      <c r="AK82" s="3">
        <f t="shared" si="3"/>
        <v>1</v>
      </c>
    </row>
    <row r="83" spans="2:37" x14ac:dyDescent="0.25">
      <c r="B83" s="2"/>
      <c r="D83" s="360" t="s">
        <v>55</v>
      </c>
      <c r="E83" s="360"/>
      <c r="F83" s="16" t="s">
        <v>500</v>
      </c>
      <c r="G83" s="16">
        <v>0.69</v>
      </c>
      <c r="H83" s="16">
        <v>0.69099999999999995</v>
      </c>
      <c r="I83" s="16">
        <v>0.77900000000000003</v>
      </c>
      <c r="J83" s="16">
        <v>0.78</v>
      </c>
      <c r="K83" s="16">
        <v>0.79900000000000004</v>
      </c>
      <c r="L83" s="16">
        <v>0.8</v>
      </c>
      <c r="M83" s="16" t="s">
        <v>500</v>
      </c>
      <c r="O83" s="2"/>
      <c r="AE83" s="3" t="s">
        <v>55</v>
      </c>
      <c r="AF83" s="3">
        <v>9</v>
      </c>
      <c r="AG83" s="3">
        <f t="shared" si="0"/>
        <v>1</v>
      </c>
      <c r="AH83" s="3">
        <f>+IF(AG83=0,0,IF(AG83=1,(SUM($AG$75:AG83)-1),1))</f>
        <v>8</v>
      </c>
      <c r="AI83" s="3">
        <f t="shared" si="1"/>
        <v>1</v>
      </c>
      <c r="AJ83" s="3">
        <f t="shared" si="2"/>
        <v>0</v>
      </c>
      <c r="AK83" s="3">
        <f t="shared" si="3"/>
        <v>1</v>
      </c>
    </row>
    <row r="84" spans="2:37" x14ac:dyDescent="0.25">
      <c r="B84" s="2"/>
      <c r="D84" s="360" t="s">
        <v>56</v>
      </c>
      <c r="E84" s="360"/>
      <c r="F84" s="16" t="s">
        <v>500</v>
      </c>
      <c r="G84" s="16">
        <v>0.8</v>
      </c>
      <c r="H84" s="16">
        <v>0.80100000000000005</v>
      </c>
      <c r="I84" s="16">
        <v>0.91900000000000004</v>
      </c>
      <c r="J84" s="16">
        <v>0.92</v>
      </c>
      <c r="K84" s="16">
        <v>0.93899999999999995</v>
      </c>
      <c r="L84" s="16">
        <v>0.94</v>
      </c>
      <c r="M84" s="16" t="s">
        <v>500</v>
      </c>
      <c r="O84" s="2"/>
      <c r="AE84" s="3" t="s">
        <v>56</v>
      </c>
      <c r="AF84" s="3">
        <v>10</v>
      </c>
      <c r="AG84" s="3">
        <f t="shared" si="0"/>
        <v>1</v>
      </c>
      <c r="AH84" s="3">
        <f>+IF(AG84=0,0,IF(AG84=1,(SUM($AG$75:AG84)-1),1))</f>
        <v>9</v>
      </c>
      <c r="AI84" s="3">
        <f t="shared" si="1"/>
        <v>1</v>
      </c>
      <c r="AJ84" s="3">
        <f t="shared" si="2"/>
        <v>0</v>
      </c>
      <c r="AK84" s="3">
        <f t="shared" si="3"/>
        <v>1</v>
      </c>
    </row>
    <row r="85" spans="2:37" x14ac:dyDescent="0.25">
      <c r="B85" s="2"/>
      <c r="D85" s="360" t="s">
        <v>57</v>
      </c>
      <c r="E85" s="360"/>
      <c r="F85" s="16" t="s">
        <v>500</v>
      </c>
      <c r="G85" s="16">
        <v>0.94</v>
      </c>
      <c r="H85" s="16">
        <v>0.94099999999999995</v>
      </c>
      <c r="I85" s="16">
        <v>0.96899999999999997</v>
      </c>
      <c r="J85" s="16">
        <v>0.97</v>
      </c>
      <c r="K85" s="16">
        <v>0.999</v>
      </c>
      <c r="L85" s="16">
        <v>1</v>
      </c>
      <c r="M85" s="16"/>
      <c r="O85" s="2"/>
      <c r="AE85" s="3" t="s">
        <v>57</v>
      </c>
      <c r="AF85" s="3">
        <v>11</v>
      </c>
      <c r="AG85" s="3">
        <f t="shared" si="0"/>
        <v>1</v>
      </c>
      <c r="AH85" s="3">
        <f>+IF(AG85=0,0,IF(AG85=1,(SUM($AG$75:AG85)-1),1))</f>
        <v>10</v>
      </c>
      <c r="AI85" s="3">
        <f t="shared" si="1"/>
        <v>1</v>
      </c>
      <c r="AJ85" s="3">
        <f t="shared" si="2"/>
        <v>0</v>
      </c>
      <c r="AK85" s="3">
        <f t="shared" si="3"/>
        <v>1</v>
      </c>
    </row>
    <row r="86" spans="2:37" x14ac:dyDescent="0.25">
      <c r="B86" s="2"/>
      <c r="D86" s="360" t="s">
        <v>58</v>
      </c>
      <c r="E86" s="360"/>
      <c r="F86" s="16" t="s">
        <v>500</v>
      </c>
      <c r="G86" s="16" t="s">
        <v>512</v>
      </c>
      <c r="H86" s="16" t="s">
        <v>512</v>
      </c>
      <c r="I86" s="16" t="s">
        <v>512</v>
      </c>
      <c r="J86" s="16" t="s">
        <v>512</v>
      </c>
      <c r="K86" s="16" t="s">
        <v>512</v>
      </c>
      <c r="L86" s="16" t="s">
        <v>512</v>
      </c>
      <c r="M86" s="16" t="s">
        <v>500</v>
      </c>
      <c r="O86" s="2"/>
      <c r="AE86" s="3" t="s">
        <v>58</v>
      </c>
      <c r="AF86" s="65">
        <v>12</v>
      </c>
      <c r="AG86" s="3">
        <f t="shared" si="0"/>
        <v>1</v>
      </c>
      <c r="AH86" s="3">
        <f>+IF(AG86=0,0,IF(AG86=1,(SUM($AG$75:AG86)-1),1))</f>
        <v>11</v>
      </c>
      <c r="AI86" s="3">
        <f t="shared" si="1"/>
        <v>1</v>
      </c>
      <c r="AJ86" s="3">
        <f t="shared" si="2"/>
        <v>0</v>
      </c>
      <c r="AK86" s="3">
        <f t="shared" si="3"/>
        <v>1</v>
      </c>
    </row>
    <row r="87" spans="2:37" ht="3.75" customHeight="1" x14ac:dyDescent="0.25">
      <c r="B87" s="2"/>
      <c r="O87" s="2"/>
    </row>
    <row r="88" spans="2:37" ht="117.75" customHeight="1" x14ac:dyDescent="0.25">
      <c r="B88" s="2"/>
      <c r="D88" s="338" t="s">
        <v>59</v>
      </c>
      <c r="E88" s="339"/>
      <c r="F88" s="420" t="s">
        <v>1914</v>
      </c>
      <c r="G88" s="423"/>
      <c r="H88" s="423"/>
      <c r="I88" s="423"/>
      <c r="J88" s="423"/>
      <c r="K88" s="423"/>
      <c r="L88" s="423"/>
      <c r="M88" s="424"/>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28.5" customHeight="1" x14ac:dyDescent="0.25">
      <c r="B97" s="2"/>
      <c r="D97" s="359" t="s">
        <v>35</v>
      </c>
      <c r="E97" s="359"/>
      <c r="F97" s="344" t="s">
        <v>1868</v>
      </c>
      <c r="G97" s="344"/>
      <c r="H97" s="344"/>
      <c r="I97" s="344"/>
      <c r="J97" s="344"/>
      <c r="K97" s="344"/>
      <c r="L97" s="344"/>
      <c r="M97" s="344"/>
      <c r="O97" s="2"/>
    </row>
    <row r="98" spans="2:15" ht="28.5" customHeight="1" x14ac:dyDescent="0.25">
      <c r="B98" s="2"/>
      <c r="D98" s="359" t="s">
        <v>36</v>
      </c>
      <c r="E98" s="359"/>
      <c r="F98" s="344" t="s">
        <v>1915</v>
      </c>
      <c r="G98" s="344"/>
      <c r="H98" s="344"/>
      <c r="I98" s="344"/>
      <c r="J98" s="344"/>
      <c r="K98" s="344"/>
      <c r="L98" s="344"/>
      <c r="M98" s="344"/>
      <c r="O98" s="2"/>
    </row>
    <row r="99" spans="2:15" ht="3.95" customHeight="1" x14ac:dyDescent="0.25">
      <c r="B99" s="2"/>
      <c r="O99" s="2"/>
    </row>
    <row r="100" spans="2:15" ht="122.25" customHeight="1" x14ac:dyDescent="0.25">
      <c r="B100" s="2"/>
      <c r="D100" s="338" t="s">
        <v>62</v>
      </c>
      <c r="E100" s="339"/>
      <c r="F100" s="340" t="s">
        <v>648</v>
      </c>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1</v>
      </c>
      <c r="K102" s="20"/>
      <c r="O102" s="2"/>
    </row>
    <row r="103" spans="2:15" ht="19.5" customHeight="1" x14ac:dyDescent="0.25">
      <c r="B103" s="2"/>
      <c r="D103" s="331"/>
      <c r="E103" s="332"/>
      <c r="F103" s="19" t="s">
        <v>66</v>
      </c>
      <c r="G103" s="4" t="s">
        <v>1870</v>
      </c>
      <c r="K103" s="21"/>
      <c r="O103" s="2"/>
    </row>
    <row r="104" spans="2:15" ht="27.75" customHeight="1" x14ac:dyDescent="0.25">
      <c r="B104" s="2"/>
      <c r="D104" s="331"/>
      <c r="E104" s="332"/>
      <c r="F104" s="19" t="s">
        <v>67</v>
      </c>
      <c r="G104" s="333" t="s">
        <v>1869</v>
      </c>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Director(a) Nutrición</v>
      </c>
      <c r="H108" s="334"/>
      <c r="I108" s="334"/>
      <c r="J108" s="334"/>
      <c r="K108" s="334"/>
      <c r="L108" s="334"/>
      <c r="M108" s="335"/>
      <c r="O108" s="2"/>
    </row>
    <row r="109" spans="2:15" ht="17.25" customHeight="1" x14ac:dyDescent="0.25">
      <c r="B109" s="2"/>
      <c r="D109" s="331"/>
      <c r="E109" s="332"/>
      <c r="F109" s="19" t="s">
        <v>2042</v>
      </c>
      <c r="G109" s="333" t="str">
        <f>+IF(M23="Si","Coordinador(a) Planeación y Sistemas","")</f>
        <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818" priority="31">
      <formula>+IF($F$43="no",1,0)</formula>
    </cfRule>
  </conditionalFormatting>
  <conditionalFormatting sqref="F32:M33">
    <cfRule type="expression" dxfId="2817" priority="30">
      <formula>+IF($Q$30="NA",1,0)</formula>
    </cfRule>
  </conditionalFormatting>
  <conditionalFormatting sqref="F33:M33">
    <cfRule type="expression" dxfId="2816" priority="29">
      <formula>+IF($Q$33=0,1,0)</formula>
    </cfRule>
  </conditionalFormatting>
  <conditionalFormatting sqref="F47:M47">
    <cfRule type="expression" dxfId="2815" priority="28">
      <formula>+IF($Q$47=0,1,0)</formula>
    </cfRule>
  </conditionalFormatting>
  <conditionalFormatting sqref="F73:G73">
    <cfRule type="cellIs" dxfId="2814" priority="14" operator="equal">
      <formula>"optimo"</formula>
    </cfRule>
    <cfRule type="cellIs" dxfId="2813" priority="15" operator="equal">
      <formula>"critico"</formula>
    </cfRule>
  </conditionalFormatting>
  <conditionalFormatting sqref="H73:I73">
    <cfRule type="cellIs" dxfId="2812" priority="12" operator="equal">
      <formula>"Adecuado"</formula>
    </cfRule>
    <cfRule type="cellIs" dxfId="2811" priority="13" operator="equal">
      <formula>"en riesgo"</formula>
    </cfRule>
  </conditionalFormatting>
  <conditionalFormatting sqref="J73:K73">
    <cfRule type="cellIs" dxfId="2810" priority="10" operator="equal">
      <formula>"Adecuado"</formula>
    </cfRule>
    <cfRule type="cellIs" dxfId="2809" priority="11" operator="equal">
      <formula>"en riesgo"</formula>
    </cfRule>
  </conditionalFormatting>
  <conditionalFormatting sqref="L73:M73">
    <cfRule type="cellIs" dxfId="2808" priority="8" operator="equal">
      <formula>"optimo"</formula>
    </cfRule>
    <cfRule type="cellIs" dxfId="2807" priority="9" operator="equal">
      <formula>"critico"</formula>
    </cfRule>
  </conditionalFormatting>
  <conditionalFormatting sqref="F75:M86">
    <cfRule type="expression" dxfId="2806" priority="7">
      <formula>+IF($AK75=0,1)</formula>
    </cfRule>
  </conditionalFormatting>
  <conditionalFormatting sqref="F103:G104">
    <cfRule type="expression" dxfId="2805" priority="6">
      <formula>+IF($G$102="No",1,0)</formula>
    </cfRule>
  </conditionalFormatting>
  <conditionalFormatting sqref="F51">
    <cfRule type="expression" dxfId="2804" priority="5">
      <formula>+IF($F$43="no",1,0)</formula>
    </cfRule>
  </conditionalFormatting>
  <conditionalFormatting sqref="I51">
    <cfRule type="expression" dxfId="2803"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2">
    <tabColor rgb="FF0070C0"/>
  </sheetPr>
  <dimension ref="B1:AV113"/>
  <sheetViews>
    <sheetView topLeftCell="A55" zoomScaleNormal="100" workbookViewId="0">
      <selection activeCell="L85" sqref="L85"/>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184</v>
      </c>
      <c r="O10" s="2"/>
    </row>
    <row r="11" spans="2:24" ht="3.95" customHeight="1" x14ac:dyDescent="0.25">
      <c r="B11" s="2"/>
      <c r="D11" s="6"/>
      <c r="O11" s="2"/>
    </row>
    <row r="12" spans="2:24" ht="36" customHeight="1" x14ac:dyDescent="0.25">
      <c r="B12" s="2"/>
      <c r="D12" s="338" t="s">
        <v>5</v>
      </c>
      <c r="E12" s="339"/>
      <c r="F12" s="340" t="s">
        <v>657</v>
      </c>
      <c r="G12" s="341"/>
      <c r="H12" s="341"/>
      <c r="I12" s="341"/>
      <c r="J12" s="341"/>
      <c r="K12" s="341"/>
      <c r="L12" s="341"/>
      <c r="M12" s="342"/>
      <c r="O12" s="2"/>
      <c r="W12" s="3" t="str">
        <f>+F23</f>
        <v>Mensual</v>
      </c>
      <c r="X12" s="3" t="str">
        <f>+F71</f>
        <v>Febrero</v>
      </c>
    </row>
    <row r="13" spans="2:24" ht="3.95" customHeight="1" x14ac:dyDescent="0.25">
      <c r="B13" s="2"/>
      <c r="O13" s="2"/>
    </row>
    <row r="14" spans="2:24" ht="36" customHeight="1" x14ac:dyDescent="0.25">
      <c r="B14" s="2"/>
      <c r="D14" s="338" t="s">
        <v>6</v>
      </c>
      <c r="E14" s="339"/>
      <c r="F14" s="340" t="s">
        <v>1921</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8">
        <v>22000</v>
      </c>
      <c r="G22" s="337" t="s">
        <v>9</v>
      </c>
      <c r="H22" s="337"/>
      <c r="I22" s="8">
        <v>22000</v>
      </c>
      <c r="K22" s="337" t="s">
        <v>10</v>
      </c>
      <c r="L22" s="337"/>
      <c r="M22" s="9" t="s">
        <v>496</v>
      </c>
      <c r="O22" s="2"/>
    </row>
    <row r="23" spans="2:17" ht="19.5" customHeight="1" x14ac:dyDescent="0.25">
      <c r="B23" s="2"/>
      <c r="D23" s="337" t="s">
        <v>11</v>
      </c>
      <c r="E23" s="337"/>
      <c r="F23" s="4" t="s">
        <v>84</v>
      </c>
      <c r="G23" s="337" t="s">
        <v>12</v>
      </c>
      <c r="H23" s="337"/>
      <c r="I23" s="4" t="s">
        <v>647</v>
      </c>
      <c r="K23" s="337" t="s">
        <v>13</v>
      </c>
      <c r="L23" s="337"/>
      <c r="M23" s="9" t="s">
        <v>2</v>
      </c>
      <c r="O23" s="2"/>
    </row>
    <row r="24" spans="2:17" ht="20.100000000000001" customHeight="1" x14ac:dyDescent="0.25">
      <c r="B24" s="2"/>
      <c r="D24" s="337" t="s">
        <v>14</v>
      </c>
      <c r="E24" s="337"/>
      <c r="F24" s="4" t="s">
        <v>498</v>
      </c>
      <c r="G24" s="337" t="s">
        <v>15</v>
      </c>
      <c r="H24" s="337"/>
      <c r="I24" s="4" t="s">
        <v>533</v>
      </c>
      <c r="K24" s="337" t="s">
        <v>16</v>
      </c>
      <c r="L24" s="337"/>
      <c r="M24" s="9" t="s">
        <v>2</v>
      </c>
      <c r="O24" s="2"/>
    </row>
    <row r="25" spans="2:17" ht="20.100000000000001" customHeight="1" x14ac:dyDescent="0.25">
      <c r="B25" s="2"/>
      <c r="D25" s="337" t="s">
        <v>17</v>
      </c>
      <c r="E25" s="337"/>
      <c r="F25" s="4" t="s">
        <v>683</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489</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NA</v>
      </c>
    </row>
    <row r="31" spans="2:17" ht="24" customHeight="1" x14ac:dyDescent="0.25">
      <c r="B31" s="2"/>
      <c r="D31" s="347"/>
      <c r="E31" s="348"/>
      <c r="F31" s="4" t="s">
        <v>176</v>
      </c>
      <c r="G31" s="340" t="s">
        <v>177</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500</v>
      </c>
      <c r="G33" s="340"/>
      <c r="H33" s="341"/>
      <c r="I33" s="341"/>
      <c r="J33" s="341"/>
      <c r="K33" s="341"/>
      <c r="L33" s="341"/>
      <c r="M33" s="342"/>
      <c r="O33" s="2"/>
      <c r="Q33" s="3" t="str">
        <f>+IFERROR(IF(VLOOKUP(G33,base!$A$26:$C$40,3,FALSE)=F31,1,0),"")</f>
        <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1714</v>
      </c>
      <c r="G35" s="340" t="s">
        <v>1590</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501</v>
      </c>
      <c r="G45" s="340" t="s">
        <v>502</v>
      </c>
      <c r="H45" s="341"/>
      <c r="I45" s="341"/>
      <c r="J45" s="341"/>
      <c r="K45" s="341"/>
      <c r="L45" s="341"/>
      <c r="M45" s="342"/>
      <c r="O45" s="2"/>
      <c r="Q45" s="3" t="str">
        <f>+IFERROR(VLOOKUP(G45,base!$A$41:$C$45,3,FALSE),"")</f>
        <v>misional</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503</v>
      </c>
      <c r="G47" s="340" t="s">
        <v>504</v>
      </c>
      <c r="H47" s="341"/>
      <c r="I47" s="341"/>
      <c r="J47" s="341"/>
      <c r="K47" s="341"/>
      <c r="L47" s="341"/>
      <c r="M47" s="342"/>
      <c r="O47" s="2"/>
      <c r="Q47" s="3">
        <f>+IF(VLOOKUP(G47,base!$A$46:$C$66,3,FALSE)=F45,1,0)</f>
        <v>1</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505</v>
      </c>
      <c r="G49" s="340" t="s">
        <v>490</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496</v>
      </c>
      <c r="G51" s="337" t="s">
        <v>32</v>
      </c>
      <c r="H51" s="337"/>
      <c r="I51" s="8">
        <v>88000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75" customHeight="1" x14ac:dyDescent="0.25">
      <c r="B59" s="2"/>
      <c r="D59" s="337" t="s">
        <v>34</v>
      </c>
      <c r="E59" s="337"/>
      <c r="F59" s="344" t="s">
        <v>1919</v>
      </c>
      <c r="G59" s="344"/>
      <c r="H59" s="344"/>
      <c r="I59" s="344"/>
      <c r="J59" s="344"/>
      <c r="K59" s="344"/>
      <c r="L59" s="344"/>
      <c r="M59" s="344"/>
      <c r="O59" s="2"/>
    </row>
    <row r="60" spans="2:15" ht="27" customHeight="1" x14ac:dyDescent="0.25">
      <c r="B60" s="2"/>
      <c r="D60" s="359" t="s">
        <v>35</v>
      </c>
      <c r="E60" s="359"/>
      <c r="F60" s="344" t="s">
        <v>1920</v>
      </c>
      <c r="G60" s="344"/>
      <c r="H60" s="344"/>
      <c r="I60" s="344"/>
      <c r="J60" s="344"/>
      <c r="K60" s="344"/>
      <c r="L60" s="344"/>
      <c r="M60" s="344"/>
      <c r="O60" s="2"/>
    </row>
    <row r="61" spans="2:15" ht="27" customHeight="1" x14ac:dyDescent="0.25">
      <c r="B61" s="2"/>
      <c r="D61" s="359" t="s">
        <v>36</v>
      </c>
      <c r="E61" s="359"/>
      <c r="F61" s="344" t="s">
        <v>1916</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43" t="s">
        <v>39</v>
      </c>
      <c r="E71" s="343"/>
      <c r="F71" s="4" t="s">
        <v>40</v>
      </c>
      <c r="G71" s="3">
        <v>2</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c r="G76" s="16">
        <v>0.03</v>
      </c>
      <c r="H76" s="16">
        <v>3.1E-2</v>
      </c>
      <c r="I76" s="16">
        <v>4.9000000000000002E-2</v>
      </c>
      <c r="J76" s="16">
        <v>0.05</v>
      </c>
      <c r="K76" s="16">
        <v>5.8999999999999997E-2</v>
      </c>
      <c r="L76" s="16">
        <v>0.06</v>
      </c>
      <c r="M76" s="16"/>
      <c r="O76" s="2"/>
      <c r="AE76" s="3" t="s">
        <v>40</v>
      </c>
      <c r="AF76" s="3">
        <v>2</v>
      </c>
      <c r="AG76" s="3">
        <f t="shared" ref="AG76:AG86" si="0">+IF(AF76&gt;=$G$71,1,0)</f>
        <v>1</v>
      </c>
      <c r="AH76" s="3">
        <f>+IF(AG76=0,0,IF(AG76=1,(SUM($AG$75:AG76)-1),1))</f>
        <v>0</v>
      </c>
      <c r="AI76" s="3">
        <f t="shared" ref="AI76:AI86" si="1">+IF(AH76=0,0,IF(MOD(AH76,$U$69)=0,1,0))</f>
        <v>0</v>
      </c>
      <c r="AJ76" s="3">
        <f t="shared" ref="AJ76:AJ86" si="2">+IF(AE76=$F$71,1,0)</f>
        <v>1</v>
      </c>
      <c r="AK76" s="3">
        <f t="shared" ref="AK76:AK86" si="3">+MAX(AI76:AJ76)</f>
        <v>1</v>
      </c>
    </row>
    <row r="77" spans="2:37" x14ac:dyDescent="0.25">
      <c r="B77" s="2"/>
      <c r="D77" s="360" t="s">
        <v>47</v>
      </c>
      <c r="E77" s="360"/>
      <c r="F77" s="16"/>
      <c r="G77" s="16">
        <v>0.06</v>
      </c>
      <c r="H77" s="16">
        <v>6.0999999999999999E-2</v>
      </c>
      <c r="I77" s="16">
        <v>8.8999999999999996E-2</v>
      </c>
      <c r="J77" s="16">
        <v>0.09</v>
      </c>
      <c r="K77" s="16">
        <v>0.11899999999999999</v>
      </c>
      <c r="L77" s="16">
        <v>0.12</v>
      </c>
      <c r="M77" s="16"/>
      <c r="O77" s="2"/>
      <c r="AE77" s="3" t="s">
        <v>47</v>
      </c>
      <c r="AF77" s="3">
        <v>3</v>
      </c>
      <c r="AG77" s="3">
        <f t="shared" si="0"/>
        <v>1</v>
      </c>
      <c r="AH77" s="3">
        <f>+IF(AG77=0,0,IF(AG77=1,(SUM($AG$75:AG77)-1),1))</f>
        <v>1</v>
      </c>
      <c r="AI77" s="3">
        <f t="shared" si="1"/>
        <v>1</v>
      </c>
      <c r="AJ77" s="3">
        <f t="shared" si="2"/>
        <v>0</v>
      </c>
      <c r="AK77" s="3">
        <f t="shared" si="3"/>
        <v>1</v>
      </c>
    </row>
    <row r="78" spans="2:37" x14ac:dyDescent="0.25">
      <c r="B78" s="2"/>
      <c r="D78" s="360" t="s">
        <v>48</v>
      </c>
      <c r="E78" s="360"/>
      <c r="F78" s="16"/>
      <c r="G78" s="16">
        <v>0.12</v>
      </c>
      <c r="H78" s="16">
        <v>0.121</v>
      </c>
      <c r="I78" s="16">
        <v>0.14899999999999999</v>
      </c>
      <c r="J78" s="16">
        <v>0.15</v>
      </c>
      <c r="K78" s="16">
        <v>0.19900000000000001</v>
      </c>
      <c r="L78" s="16">
        <v>0.2</v>
      </c>
      <c r="M78" s="16"/>
      <c r="O78" s="2"/>
      <c r="AE78" s="3" t="s">
        <v>48</v>
      </c>
      <c r="AF78" s="3">
        <v>4</v>
      </c>
      <c r="AG78" s="3">
        <f t="shared" si="0"/>
        <v>1</v>
      </c>
      <c r="AH78" s="3">
        <f>+IF(AG78=0,0,IF(AG78=1,(SUM($AG$75:AG78)-1),1))</f>
        <v>2</v>
      </c>
      <c r="AI78" s="3">
        <f t="shared" si="1"/>
        <v>1</v>
      </c>
      <c r="AJ78" s="3">
        <f t="shared" si="2"/>
        <v>0</v>
      </c>
      <c r="AK78" s="3">
        <f t="shared" si="3"/>
        <v>1</v>
      </c>
    </row>
    <row r="79" spans="2:37" x14ac:dyDescent="0.25">
      <c r="B79" s="2"/>
      <c r="D79" s="360" t="s">
        <v>49</v>
      </c>
      <c r="E79" s="360"/>
      <c r="F79" s="16"/>
      <c r="G79" s="16">
        <v>0.2</v>
      </c>
      <c r="H79" s="16">
        <v>0.20100000000000001</v>
      </c>
      <c r="I79" s="16">
        <v>0.249</v>
      </c>
      <c r="J79" s="16">
        <v>0.25</v>
      </c>
      <c r="K79" s="16">
        <v>0.31900000000000001</v>
      </c>
      <c r="L79" s="16">
        <v>0.32</v>
      </c>
      <c r="M79" s="16"/>
      <c r="O79" s="2"/>
      <c r="AE79" s="3" t="s">
        <v>49</v>
      </c>
      <c r="AF79" s="3">
        <v>5</v>
      </c>
      <c r="AG79" s="3">
        <f t="shared" si="0"/>
        <v>1</v>
      </c>
      <c r="AH79" s="3">
        <f>+IF(AG79=0,0,IF(AG79=1,(SUM($AG$75:AG79)-1),1))</f>
        <v>3</v>
      </c>
      <c r="AI79" s="3">
        <f t="shared" si="1"/>
        <v>1</v>
      </c>
      <c r="AJ79" s="3">
        <f t="shared" si="2"/>
        <v>0</v>
      </c>
      <c r="AK79" s="3">
        <f t="shared" si="3"/>
        <v>1</v>
      </c>
    </row>
    <row r="80" spans="2:37" x14ac:dyDescent="0.25">
      <c r="B80" s="2"/>
      <c r="D80" s="360" t="s">
        <v>50</v>
      </c>
      <c r="E80" s="360"/>
      <c r="F80" s="16"/>
      <c r="G80" s="16">
        <v>0.32</v>
      </c>
      <c r="H80" s="16">
        <v>0.32100000000000001</v>
      </c>
      <c r="I80" s="16">
        <v>0.34899999999999998</v>
      </c>
      <c r="J80" s="16">
        <v>0.35</v>
      </c>
      <c r="K80" s="16">
        <v>0.38900000000000001</v>
      </c>
      <c r="L80" s="16">
        <v>0.39</v>
      </c>
      <c r="M80" s="16"/>
      <c r="O80" s="2"/>
      <c r="AE80" s="3" t="s">
        <v>50</v>
      </c>
      <c r="AF80" s="3">
        <v>6</v>
      </c>
      <c r="AG80" s="3">
        <f t="shared" si="0"/>
        <v>1</v>
      </c>
      <c r="AH80" s="3">
        <f>+IF(AG80=0,0,IF(AG80=1,(SUM($AG$75:AG80)-1),1))</f>
        <v>4</v>
      </c>
      <c r="AI80" s="3">
        <f t="shared" si="1"/>
        <v>1</v>
      </c>
      <c r="AJ80" s="3">
        <f t="shared" si="2"/>
        <v>0</v>
      </c>
      <c r="AK80" s="3">
        <f t="shared" si="3"/>
        <v>1</v>
      </c>
    </row>
    <row r="81" spans="2:37" x14ac:dyDescent="0.25">
      <c r="B81" s="2"/>
      <c r="D81" s="360" t="s">
        <v>53</v>
      </c>
      <c r="E81" s="360"/>
      <c r="F81" s="16"/>
      <c r="G81" s="16">
        <v>0.39</v>
      </c>
      <c r="H81" s="16">
        <v>0.39100000000000001</v>
      </c>
      <c r="I81" s="16">
        <v>0.44900000000000001</v>
      </c>
      <c r="J81" s="16">
        <v>0.45</v>
      </c>
      <c r="K81" s="16">
        <v>0.50900000000000001</v>
      </c>
      <c r="L81" s="16">
        <v>0.51</v>
      </c>
      <c r="M81" s="16"/>
      <c r="O81" s="2"/>
      <c r="AE81" s="3" t="s">
        <v>53</v>
      </c>
      <c r="AF81" s="3">
        <v>7</v>
      </c>
      <c r="AG81" s="3">
        <f t="shared" si="0"/>
        <v>1</v>
      </c>
      <c r="AH81" s="3">
        <f>+IF(AG81=0,0,IF(AG81=1,(SUM($AG$75:AG81)-1),1))</f>
        <v>5</v>
      </c>
      <c r="AI81" s="3">
        <f t="shared" si="1"/>
        <v>1</v>
      </c>
      <c r="AJ81" s="3">
        <f t="shared" si="2"/>
        <v>0</v>
      </c>
      <c r="AK81" s="3">
        <f t="shared" si="3"/>
        <v>1</v>
      </c>
    </row>
    <row r="82" spans="2:37" x14ac:dyDescent="0.25">
      <c r="B82" s="2"/>
      <c r="D82" s="360" t="s">
        <v>54</v>
      </c>
      <c r="E82" s="360"/>
      <c r="F82" s="16"/>
      <c r="G82" s="16">
        <v>0.51</v>
      </c>
      <c r="H82" s="16">
        <v>0.51100000000000001</v>
      </c>
      <c r="I82" s="16">
        <v>0.53900000000000003</v>
      </c>
      <c r="J82" s="16">
        <v>0.54</v>
      </c>
      <c r="K82" s="16">
        <v>0.57899999999999996</v>
      </c>
      <c r="L82" s="16">
        <v>0.57999999999999996</v>
      </c>
      <c r="M82" s="16"/>
      <c r="O82" s="2"/>
      <c r="AE82" s="3" t="s">
        <v>54</v>
      </c>
      <c r="AF82" s="3">
        <v>8</v>
      </c>
      <c r="AG82" s="3">
        <f t="shared" si="0"/>
        <v>1</v>
      </c>
      <c r="AH82" s="3">
        <f>+IF(AG82=0,0,IF(AG82=1,(SUM($AG$75:AG82)-1),1))</f>
        <v>6</v>
      </c>
      <c r="AI82" s="3">
        <f t="shared" si="1"/>
        <v>1</v>
      </c>
      <c r="AJ82" s="3">
        <f t="shared" si="2"/>
        <v>0</v>
      </c>
      <c r="AK82" s="3">
        <f t="shared" si="3"/>
        <v>1</v>
      </c>
    </row>
    <row r="83" spans="2:37" x14ac:dyDescent="0.25">
      <c r="B83" s="2"/>
      <c r="D83" s="360" t="s">
        <v>55</v>
      </c>
      <c r="E83" s="360"/>
      <c r="F83" s="16"/>
      <c r="G83" s="16">
        <v>0.57999999999999996</v>
      </c>
      <c r="H83" s="16">
        <v>0.58099999999999996</v>
      </c>
      <c r="I83" s="16">
        <v>0.629</v>
      </c>
      <c r="J83" s="16">
        <v>0.63</v>
      </c>
      <c r="K83" s="16">
        <v>0.68899999999999995</v>
      </c>
      <c r="L83" s="16">
        <v>0.69</v>
      </c>
      <c r="M83" s="16"/>
      <c r="O83" s="2"/>
      <c r="AE83" s="3" t="s">
        <v>55</v>
      </c>
      <c r="AF83" s="3">
        <v>9</v>
      </c>
      <c r="AG83" s="3">
        <f t="shared" si="0"/>
        <v>1</v>
      </c>
      <c r="AH83" s="3">
        <f>+IF(AG83=0,0,IF(AG83=1,(SUM($AG$75:AG83)-1),1))</f>
        <v>7</v>
      </c>
      <c r="AI83" s="3">
        <f t="shared" si="1"/>
        <v>1</v>
      </c>
      <c r="AJ83" s="3">
        <f t="shared" si="2"/>
        <v>0</v>
      </c>
      <c r="AK83" s="3">
        <f t="shared" si="3"/>
        <v>1</v>
      </c>
    </row>
    <row r="84" spans="2:37" x14ac:dyDescent="0.25">
      <c r="B84" s="2"/>
      <c r="D84" s="360" t="s">
        <v>56</v>
      </c>
      <c r="E84" s="360"/>
      <c r="F84" s="16"/>
      <c r="G84" s="16">
        <v>0.69</v>
      </c>
      <c r="H84" s="16">
        <v>0.69099999999999995</v>
      </c>
      <c r="I84" s="16">
        <v>0.77900000000000003</v>
      </c>
      <c r="J84" s="16">
        <v>0.78</v>
      </c>
      <c r="K84" s="16">
        <v>0.85899999999999999</v>
      </c>
      <c r="L84" s="16">
        <v>0.86</v>
      </c>
      <c r="M84" s="16"/>
      <c r="O84" s="2"/>
      <c r="AE84" s="3" t="s">
        <v>56</v>
      </c>
      <c r="AF84" s="3">
        <v>10</v>
      </c>
      <c r="AG84" s="3">
        <f t="shared" si="0"/>
        <v>1</v>
      </c>
      <c r="AH84" s="3">
        <f>+IF(AG84=0,0,IF(AG84=1,(SUM($AG$75:AG84)-1),1))</f>
        <v>8</v>
      </c>
      <c r="AI84" s="3">
        <f t="shared" si="1"/>
        <v>1</v>
      </c>
      <c r="AJ84" s="3">
        <f t="shared" si="2"/>
        <v>0</v>
      </c>
      <c r="AK84" s="3">
        <f t="shared" si="3"/>
        <v>1</v>
      </c>
    </row>
    <row r="85" spans="2:37" x14ac:dyDescent="0.25">
      <c r="B85" s="2"/>
      <c r="D85" s="360" t="s">
        <v>57</v>
      </c>
      <c r="E85" s="360"/>
      <c r="F85" s="16"/>
      <c r="G85" s="16">
        <v>0.86</v>
      </c>
      <c r="H85" s="16">
        <v>0.86099999999999999</v>
      </c>
      <c r="I85" s="16">
        <v>0.89900000000000002</v>
      </c>
      <c r="J85" s="16">
        <v>0.9</v>
      </c>
      <c r="K85" s="16">
        <v>0.999</v>
      </c>
      <c r="L85" s="16">
        <v>1</v>
      </c>
      <c r="M85" s="16"/>
      <c r="O85" s="2"/>
      <c r="AE85" s="3" t="s">
        <v>57</v>
      </c>
      <c r="AF85" s="3">
        <v>11</v>
      </c>
      <c r="AG85" s="3">
        <f t="shared" si="0"/>
        <v>1</v>
      </c>
      <c r="AH85" s="3">
        <f>+IF(AG85=0,0,IF(AG85=1,(SUM($AG$75:AG85)-1),1))</f>
        <v>9</v>
      </c>
      <c r="AI85" s="3">
        <f t="shared" si="1"/>
        <v>1</v>
      </c>
      <c r="AJ85" s="3">
        <f t="shared" si="2"/>
        <v>0</v>
      </c>
      <c r="AK85" s="3">
        <f t="shared" si="3"/>
        <v>1</v>
      </c>
    </row>
    <row r="86" spans="2:37" x14ac:dyDescent="0.25">
      <c r="B86" s="2"/>
      <c r="D86" s="360" t="s">
        <v>58</v>
      </c>
      <c r="E86" s="360"/>
      <c r="F86" s="16" t="s">
        <v>500</v>
      </c>
      <c r="G86" s="16" t="s">
        <v>512</v>
      </c>
      <c r="H86" s="16" t="s">
        <v>512</v>
      </c>
      <c r="I86" s="16" t="s">
        <v>512</v>
      </c>
      <c r="J86" s="16" t="s">
        <v>512</v>
      </c>
      <c r="K86" s="16" t="s">
        <v>512</v>
      </c>
      <c r="L86" s="16" t="s">
        <v>512</v>
      </c>
      <c r="M86" s="16" t="s">
        <v>500</v>
      </c>
      <c r="O86" s="2"/>
      <c r="AE86" s="3" t="s">
        <v>58</v>
      </c>
      <c r="AF86" s="65">
        <v>12</v>
      </c>
      <c r="AG86" s="3">
        <f t="shared" si="0"/>
        <v>1</v>
      </c>
      <c r="AH86" s="3">
        <f>+IF(AG86=0,0,IF(AG86=1,(SUM($AG$75:AG86)-1),1))</f>
        <v>10</v>
      </c>
      <c r="AI86" s="3">
        <f t="shared" si="1"/>
        <v>1</v>
      </c>
      <c r="AJ86" s="3">
        <f t="shared" si="2"/>
        <v>0</v>
      </c>
      <c r="AK86" s="3">
        <f t="shared" si="3"/>
        <v>1</v>
      </c>
    </row>
    <row r="87" spans="2:37" ht="3.75" customHeight="1" x14ac:dyDescent="0.25">
      <c r="B87" s="2"/>
      <c r="O87" s="2"/>
    </row>
    <row r="88" spans="2:37" ht="73.5" customHeight="1" x14ac:dyDescent="0.25">
      <c r="B88" s="2"/>
      <c r="D88" s="338" t="s">
        <v>59</v>
      </c>
      <c r="E88" s="339"/>
      <c r="F88" s="420" t="s">
        <v>1917</v>
      </c>
      <c r="G88" s="423"/>
      <c r="H88" s="423"/>
      <c r="I88" s="423"/>
      <c r="J88" s="423"/>
      <c r="K88" s="423"/>
      <c r="L88" s="423"/>
      <c r="M88" s="424"/>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28.5" customHeight="1" x14ac:dyDescent="0.25">
      <c r="B97" s="2"/>
      <c r="D97" s="359" t="s">
        <v>35</v>
      </c>
      <c r="E97" s="359"/>
      <c r="F97" s="344" t="s">
        <v>1875</v>
      </c>
      <c r="G97" s="344"/>
      <c r="H97" s="344"/>
      <c r="I97" s="344"/>
      <c r="J97" s="344"/>
      <c r="K97" s="344"/>
      <c r="L97" s="344"/>
      <c r="M97" s="344"/>
      <c r="O97" s="2"/>
    </row>
    <row r="98" spans="2:15" ht="28.5" customHeight="1" x14ac:dyDescent="0.25">
      <c r="B98" s="2"/>
      <c r="D98" s="359" t="s">
        <v>36</v>
      </c>
      <c r="E98" s="359"/>
      <c r="F98" s="344" t="s">
        <v>1918</v>
      </c>
      <c r="G98" s="344"/>
      <c r="H98" s="344"/>
      <c r="I98" s="344"/>
      <c r="J98" s="344"/>
      <c r="K98" s="344"/>
      <c r="L98" s="344"/>
      <c r="M98" s="344"/>
      <c r="O98" s="2"/>
    </row>
    <row r="99" spans="2:15" ht="3.95" customHeight="1" x14ac:dyDescent="0.25">
      <c r="B99" s="2"/>
      <c r="O99" s="2"/>
    </row>
    <row r="100" spans="2:15" ht="58.5" customHeight="1" x14ac:dyDescent="0.25">
      <c r="B100" s="2"/>
      <c r="D100" s="338" t="s">
        <v>62</v>
      </c>
      <c r="E100" s="339"/>
      <c r="F100" s="340" t="s">
        <v>649</v>
      </c>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1</v>
      </c>
      <c r="K102" s="20"/>
      <c r="O102" s="2"/>
    </row>
    <row r="103" spans="2:15" ht="19.5" customHeight="1" x14ac:dyDescent="0.25">
      <c r="B103" s="2"/>
      <c r="D103" s="331"/>
      <c r="E103" s="332"/>
      <c r="F103" s="19" t="s">
        <v>66</v>
      </c>
      <c r="G103" s="4" t="s">
        <v>1872</v>
      </c>
      <c r="K103" s="21"/>
      <c r="O103" s="2"/>
    </row>
    <row r="104" spans="2:15" ht="27.75" customHeight="1" x14ac:dyDescent="0.25">
      <c r="B104" s="2"/>
      <c r="D104" s="331"/>
      <c r="E104" s="332"/>
      <c r="F104" s="19" t="s">
        <v>67</v>
      </c>
      <c r="G104" s="333" t="s">
        <v>1871</v>
      </c>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Director(a) Nutrición</v>
      </c>
      <c r="H108" s="334"/>
      <c r="I108" s="334"/>
      <c r="J108" s="334"/>
      <c r="K108" s="334"/>
      <c r="L108" s="334"/>
      <c r="M108" s="335"/>
      <c r="O108" s="2"/>
    </row>
    <row r="109" spans="2:15" ht="17.25" customHeight="1" x14ac:dyDescent="0.25">
      <c r="B109" s="2"/>
      <c r="D109" s="331"/>
      <c r="E109" s="332"/>
      <c r="F109" s="19" t="s">
        <v>2042</v>
      </c>
      <c r="G109" s="333" t="str">
        <f>+IF(M23="Si","Coordinador(a) Planeación y Sistemas","")</f>
        <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802" priority="32">
      <formula>+IF($F$43="no",1,0)</formula>
    </cfRule>
  </conditionalFormatting>
  <conditionalFormatting sqref="F32:M33">
    <cfRule type="expression" dxfId="2801" priority="31">
      <formula>+IF($Q$30="NA",1,0)</formula>
    </cfRule>
  </conditionalFormatting>
  <conditionalFormatting sqref="F33:M33">
    <cfRule type="expression" dxfId="2800" priority="30">
      <formula>+IF($Q$33=0,1,0)</formula>
    </cfRule>
  </conditionalFormatting>
  <conditionalFormatting sqref="F47:M47">
    <cfRule type="expression" dxfId="2799" priority="29">
      <formula>+IF($Q$47=0,1,0)</formula>
    </cfRule>
  </conditionalFormatting>
  <conditionalFormatting sqref="F73:G73">
    <cfRule type="cellIs" dxfId="2798" priority="22" operator="equal">
      <formula>"optimo"</formula>
    </cfRule>
    <cfRule type="cellIs" dxfId="2797" priority="23" operator="equal">
      <formula>"critico"</formula>
    </cfRule>
  </conditionalFormatting>
  <conditionalFormatting sqref="H73:I73">
    <cfRule type="cellIs" dxfId="2796" priority="20" operator="equal">
      <formula>"Adecuado"</formula>
    </cfRule>
    <cfRule type="cellIs" dxfId="2795" priority="21" operator="equal">
      <formula>"en riesgo"</formula>
    </cfRule>
  </conditionalFormatting>
  <conditionalFormatting sqref="J73:K73">
    <cfRule type="cellIs" dxfId="2794" priority="18" operator="equal">
      <formula>"Adecuado"</formula>
    </cfRule>
    <cfRule type="cellIs" dxfId="2793" priority="19" operator="equal">
      <formula>"en riesgo"</formula>
    </cfRule>
  </conditionalFormatting>
  <conditionalFormatting sqref="L73:M73">
    <cfRule type="cellIs" dxfId="2792" priority="16" operator="equal">
      <formula>"optimo"</formula>
    </cfRule>
    <cfRule type="cellIs" dxfId="2791" priority="17" operator="equal">
      <formula>"critico"</formula>
    </cfRule>
  </conditionalFormatting>
  <conditionalFormatting sqref="F75:M85">
    <cfRule type="expression" dxfId="2790" priority="15">
      <formula>+IF($AK75=0,1)</formula>
    </cfRule>
  </conditionalFormatting>
  <conditionalFormatting sqref="F103:G104">
    <cfRule type="expression" dxfId="2789" priority="14">
      <formula>+IF($G$102="No",1,0)</formula>
    </cfRule>
  </conditionalFormatting>
  <conditionalFormatting sqref="F51">
    <cfRule type="expression" dxfId="2788" priority="13">
      <formula>+IF($F$43="no",1,0)</formula>
    </cfRule>
  </conditionalFormatting>
  <conditionalFormatting sqref="I51">
    <cfRule type="expression" dxfId="2787" priority="12">
      <formula>+IF($F$51="no",1,0)</formula>
    </cfRule>
  </conditionalFormatting>
  <conditionalFormatting sqref="F86:M86">
    <cfRule type="expression" dxfId="2786" priority="4">
      <formula>+IF($AK86=0,1)</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3">
    <tabColor rgb="FF0070C0"/>
  </sheetPr>
  <dimension ref="B1:AV113"/>
  <sheetViews>
    <sheetView topLeftCell="A58" zoomScaleNormal="100" workbookViewId="0">
      <selection activeCell="J80" sqref="J80:K8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185</v>
      </c>
      <c r="O10" s="2"/>
    </row>
    <row r="11" spans="2:24" ht="3.95" customHeight="1" x14ac:dyDescent="0.25">
      <c r="B11" s="2"/>
      <c r="D11" s="6"/>
      <c r="O11" s="2"/>
    </row>
    <row r="12" spans="2:24" ht="36" customHeight="1" x14ac:dyDescent="0.25">
      <c r="B12" s="2"/>
      <c r="D12" s="338" t="s">
        <v>5</v>
      </c>
      <c r="E12" s="339"/>
      <c r="F12" s="340" t="s">
        <v>186</v>
      </c>
      <c r="G12" s="341"/>
      <c r="H12" s="341"/>
      <c r="I12" s="341"/>
      <c r="J12" s="341"/>
      <c r="K12" s="341"/>
      <c r="L12" s="341"/>
      <c r="M12" s="342"/>
      <c r="O12" s="2"/>
      <c r="W12" s="3" t="str">
        <f>+F23</f>
        <v>Semestral</v>
      </c>
      <c r="X12" s="3" t="str">
        <f>+F71</f>
        <v>Junio</v>
      </c>
    </row>
    <row r="13" spans="2:24" ht="3.95" customHeight="1" x14ac:dyDescent="0.25">
      <c r="B13" s="2"/>
      <c r="O13" s="2"/>
    </row>
    <row r="14" spans="2:24" ht="36" customHeight="1" x14ac:dyDescent="0.25">
      <c r="B14" s="2"/>
      <c r="D14" s="338" t="s">
        <v>6</v>
      </c>
      <c r="E14" s="339"/>
      <c r="F14" s="340" t="s">
        <v>766</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17" t="s">
        <v>512</v>
      </c>
      <c r="G22" s="337" t="s">
        <v>9</v>
      </c>
      <c r="H22" s="337"/>
      <c r="I22" s="17">
        <v>0.7</v>
      </c>
      <c r="K22" s="337" t="s">
        <v>10</v>
      </c>
      <c r="L22" s="337"/>
      <c r="M22" s="9" t="s">
        <v>496</v>
      </c>
      <c r="O22" s="2"/>
    </row>
    <row r="23" spans="2:17" ht="19.5" customHeight="1" x14ac:dyDescent="0.25">
      <c r="B23" s="2"/>
      <c r="D23" s="337" t="s">
        <v>11</v>
      </c>
      <c r="E23" s="337"/>
      <c r="F23" s="4" t="s">
        <v>104</v>
      </c>
      <c r="G23" s="337" t="s">
        <v>12</v>
      </c>
      <c r="H23" s="337"/>
      <c r="I23" s="4" t="s">
        <v>497</v>
      </c>
      <c r="K23" s="337" t="s">
        <v>13</v>
      </c>
      <c r="L23" s="337"/>
      <c r="M23" s="9" t="s">
        <v>496</v>
      </c>
      <c r="O23" s="2"/>
    </row>
    <row r="24" spans="2:17" ht="20.100000000000001" customHeight="1" x14ac:dyDescent="0.25">
      <c r="B24" s="2"/>
      <c r="D24" s="337" t="s">
        <v>14</v>
      </c>
      <c r="E24" s="337"/>
      <c r="F24" s="4" t="s">
        <v>498</v>
      </c>
      <c r="G24" s="337" t="s">
        <v>15</v>
      </c>
      <c r="H24" s="337"/>
      <c r="I24" s="4" t="s">
        <v>103</v>
      </c>
      <c r="K24" s="337" t="s">
        <v>16</v>
      </c>
      <c r="L24" s="337"/>
      <c r="M24" s="9" t="s">
        <v>496</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489</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NA</v>
      </c>
    </row>
    <row r="31" spans="2:17" ht="24" customHeight="1" x14ac:dyDescent="0.25">
      <c r="B31" s="2"/>
      <c r="D31" s="347"/>
      <c r="E31" s="348"/>
      <c r="F31" s="4" t="s">
        <v>176</v>
      </c>
      <c r="G31" s="340" t="s">
        <v>177</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500</v>
      </c>
      <c r="G33" s="340"/>
      <c r="H33" s="341"/>
      <c r="I33" s="341"/>
      <c r="J33" s="341"/>
      <c r="K33" s="341"/>
      <c r="L33" s="341"/>
      <c r="M33" s="342"/>
      <c r="O33" s="2"/>
      <c r="Q33" s="3" t="str">
        <f>+IFERROR(IF(VLOOKUP(G33,base!$A$26:$C$40,3,FALSE)=F31,1,0),"")</f>
        <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1714</v>
      </c>
      <c r="G35" s="340" t="s">
        <v>1590</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501</v>
      </c>
      <c r="G45" s="340" t="s">
        <v>502</v>
      </c>
      <c r="H45" s="341"/>
      <c r="I45" s="341"/>
      <c r="J45" s="341"/>
      <c r="K45" s="341"/>
      <c r="L45" s="341"/>
      <c r="M45" s="342"/>
      <c r="O45" s="2"/>
      <c r="Q45" s="3" t="str">
        <f>+IFERROR(VLOOKUP(G45,base!$A$41:$C$45,3,FALSE),"")</f>
        <v>misional</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503</v>
      </c>
      <c r="G47" s="340" t="s">
        <v>504</v>
      </c>
      <c r="H47" s="341"/>
      <c r="I47" s="341"/>
      <c r="J47" s="341"/>
      <c r="K47" s="341"/>
      <c r="L47" s="341"/>
      <c r="M47" s="342"/>
      <c r="O47" s="2"/>
      <c r="Q47" s="3">
        <f>+IF(VLOOKUP(G47,base!$A$46:$C$66,3,FALSE)=F45,1,0)</f>
        <v>1</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505</v>
      </c>
      <c r="G49" s="340" t="s">
        <v>490</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496</v>
      </c>
      <c r="G51" s="337" t="s">
        <v>32</v>
      </c>
      <c r="H51" s="337"/>
      <c r="I51" s="17">
        <v>0.8</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3.25" customHeight="1" x14ac:dyDescent="0.25">
      <c r="B59" s="2"/>
      <c r="D59" s="337" t="s">
        <v>34</v>
      </c>
      <c r="E59" s="337"/>
      <c r="F59" s="344" t="s">
        <v>767</v>
      </c>
      <c r="G59" s="344"/>
      <c r="H59" s="344"/>
      <c r="I59" s="344"/>
      <c r="J59" s="344"/>
      <c r="K59" s="344"/>
      <c r="L59" s="344"/>
      <c r="M59" s="344"/>
      <c r="O59" s="2"/>
    </row>
    <row r="60" spans="2:15" ht="27" customHeight="1" x14ac:dyDescent="0.25">
      <c r="B60" s="2"/>
      <c r="D60" s="359" t="s">
        <v>35</v>
      </c>
      <c r="E60" s="359"/>
      <c r="F60" s="344" t="s">
        <v>768</v>
      </c>
      <c r="G60" s="344"/>
      <c r="H60" s="344"/>
      <c r="I60" s="344"/>
      <c r="J60" s="344"/>
      <c r="K60" s="344"/>
      <c r="L60" s="344"/>
      <c r="M60" s="344"/>
      <c r="O60" s="2"/>
    </row>
    <row r="61" spans="2:15" ht="27" customHeight="1" x14ac:dyDescent="0.25">
      <c r="B61" s="2"/>
      <c r="D61" s="359" t="s">
        <v>36</v>
      </c>
      <c r="E61" s="359"/>
      <c r="F61" s="344" t="s">
        <v>769</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6</v>
      </c>
    </row>
    <row r="70" spans="2:37" ht="3.95" customHeight="1" x14ac:dyDescent="0.25">
      <c r="B70" s="2"/>
      <c r="D70" s="7"/>
      <c r="E70" s="7"/>
      <c r="O70" s="2"/>
    </row>
    <row r="71" spans="2:37" ht="18.75" customHeight="1" x14ac:dyDescent="0.25">
      <c r="B71" s="2"/>
      <c r="D71" s="343" t="s">
        <v>39</v>
      </c>
      <c r="E71" s="343"/>
      <c r="F71" s="4" t="s">
        <v>50</v>
      </c>
      <c r="G71" s="3">
        <v>6</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60" t="s">
        <v>50</v>
      </c>
      <c r="E80" s="360"/>
      <c r="F80" s="16" t="s">
        <v>500</v>
      </c>
      <c r="G80" s="16">
        <v>0.5</v>
      </c>
      <c r="H80" s="16">
        <v>0.501</v>
      </c>
      <c r="I80" s="16">
        <v>0.59899999999999998</v>
      </c>
      <c r="J80" s="16">
        <v>0.6</v>
      </c>
      <c r="K80" s="16">
        <v>0.69899999999999995</v>
      </c>
      <c r="L80" s="16">
        <v>0.7</v>
      </c>
      <c r="M80" s="16" t="s">
        <v>500</v>
      </c>
      <c r="O80" s="2"/>
      <c r="AE80" s="3" t="s">
        <v>50</v>
      </c>
      <c r="AF80" s="3">
        <v>6</v>
      </c>
      <c r="AG80" s="3">
        <f t="shared" si="0"/>
        <v>1</v>
      </c>
      <c r="AH80" s="3">
        <f>+IF(AG80=0,0,IF(AG80=1,(SUM($AG$75:AG80)-1),1))</f>
        <v>0</v>
      </c>
      <c r="AI80" s="3">
        <f t="shared" si="1"/>
        <v>0</v>
      </c>
      <c r="AJ80" s="3">
        <f t="shared" si="2"/>
        <v>1</v>
      </c>
      <c r="AK80" s="3">
        <f t="shared" si="3"/>
        <v>1</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1</v>
      </c>
      <c r="AI81" s="3">
        <f t="shared" si="1"/>
        <v>0</v>
      </c>
      <c r="AJ81" s="3">
        <f t="shared" si="2"/>
        <v>0</v>
      </c>
      <c r="AK81" s="3">
        <f t="shared" si="3"/>
        <v>0</v>
      </c>
    </row>
    <row r="82" spans="2:37" x14ac:dyDescent="0.25">
      <c r="B82" s="2"/>
      <c r="D82" s="360" t="s">
        <v>54</v>
      </c>
      <c r="E82" s="360"/>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2</v>
      </c>
      <c r="AI82" s="3">
        <f t="shared" si="1"/>
        <v>0</v>
      </c>
      <c r="AJ82" s="3">
        <f t="shared" si="2"/>
        <v>0</v>
      </c>
      <c r="AK82" s="3">
        <f t="shared" si="3"/>
        <v>0</v>
      </c>
    </row>
    <row r="83" spans="2:37" x14ac:dyDescent="0.25">
      <c r="B83" s="2"/>
      <c r="D83" s="360" t="s">
        <v>55</v>
      </c>
      <c r="E83" s="360"/>
      <c r="F83" s="16" t="s">
        <v>500</v>
      </c>
      <c r="G83" s="16" t="s">
        <v>500</v>
      </c>
      <c r="H83" s="16" t="s">
        <v>500</v>
      </c>
      <c r="I83" s="16" t="s">
        <v>500</v>
      </c>
      <c r="J83" s="16" t="s">
        <v>500</v>
      </c>
      <c r="K83" s="16" t="s">
        <v>500</v>
      </c>
      <c r="L83" s="16" t="s">
        <v>500</v>
      </c>
      <c r="M83" s="16" t="s">
        <v>500</v>
      </c>
      <c r="O83" s="2"/>
      <c r="AE83" s="3" t="s">
        <v>55</v>
      </c>
      <c r="AF83" s="3">
        <v>9</v>
      </c>
      <c r="AG83" s="3">
        <f t="shared" si="0"/>
        <v>1</v>
      </c>
      <c r="AH83" s="3">
        <f>+IF(AG83=0,0,IF(AG83=1,(SUM($AG$75:AG83)-1),1))</f>
        <v>3</v>
      </c>
      <c r="AI83" s="3">
        <f t="shared" si="1"/>
        <v>0</v>
      </c>
      <c r="AJ83" s="3">
        <f t="shared" si="2"/>
        <v>0</v>
      </c>
      <c r="AK83" s="3">
        <f t="shared" si="3"/>
        <v>0</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4</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5</v>
      </c>
      <c r="AI85" s="3">
        <f t="shared" si="1"/>
        <v>0</v>
      </c>
      <c r="AJ85" s="3">
        <f t="shared" si="2"/>
        <v>0</v>
      </c>
      <c r="AK85" s="3">
        <f t="shared" si="3"/>
        <v>0</v>
      </c>
    </row>
    <row r="86" spans="2:37" x14ac:dyDescent="0.25">
      <c r="B86" s="2"/>
      <c r="D86" s="360" t="s">
        <v>58</v>
      </c>
      <c r="E86" s="360"/>
      <c r="F86" s="16" t="s">
        <v>500</v>
      </c>
      <c r="G86" s="16">
        <v>0.5</v>
      </c>
      <c r="H86" s="16">
        <v>0.501</v>
      </c>
      <c r="I86" s="16">
        <v>0.59899999999999998</v>
      </c>
      <c r="J86" s="16">
        <v>0.6</v>
      </c>
      <c r="K86" s="16">
        <v>0.69899999999999995</v>
      </c>
      <c r="L86" s="16">
        <v>0.7</v>
      </c>
      <c r="M86" s="16" t="s">
        <v>500</v>
      </c>
      <c r="O86" s="2"/>
      <c r="AE86" s="3" t="s">
        <v>58</v>
      </c>
      <c r="AF86" s="65">
        <v>12</v>
      </c>
      <c r="AG86" s="3">
        <f t="shared" si="0"/>
        <v>1</v>
      </c>
      <c r="AH86" s="3">
        <f>+IF(AG86=0,0,IF(AG86=1,(SUM($AG$75:AG86)-1),1))</f>
        <v>6</v>
      </c>
      <c r="AI86" s="3">
        <f t="shared" si="1"/>
        <v>1</v>
      </c>
      <c r="AJ86" s="3">
        <f t="shared" si="2"/>
        <v>0</v>
      </c>
      <c r="AK86" s="3">
        <f t="shared" si="3"/>
        <v>1</v>
      </c>
    </row>
    <row r="87" spans="2:37" ht="3.75" customHeight="1" x14ac:dyDescent="0.25">
      <c r="B87" s="2"/>
      <c r="O87" s="2"/>
    </row>
    <row r="88" spans="2:37" ht="204.75" customHeight="1" x14ac:dyDescent="0.25">
      <c r="B88" s="2"/>
      <c r="D88" s="338" t="s">
        <v>59</v>
      </c>
      <c r="E88" s="339"/>
      <c r="F88" s="420" t="s">
        <v>693</v>
      </c>
      <c r="G88" s="423"/>
      <c r="H88" s="423"/>
      <c r="I88" s="423"/>
      <c r="J88" s="423"/>
      <c r="K88" s="423"/>
      <c r="L88" s="423"/>
      <c r="M88" s="424"/>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28.5" customHeight="1" x14ac:dyDescent="0.25">
      <c r="B97" s="2"/>
      <c r="D97" s="359" t="s">
        <v>35</v>
      </c>
      <c r="E97" s="359"/>
      <c r="F97" s="344" t="s">
        <v>509</v>
      </c>
      <c r="G97" s="344"/>
      <c r="H97" s="344"/>
      <c r="I97" s="344"/>
      <c r="J97" s="344"/>
      <c r="K97" s="344"/>
      <c r="L97" s="344"/>
      <c r="M97" s="344"/>
      <c r="O97" s="2"/>
    </row>
    <row r="98" spans="2:15" ht="28.5" customHeight="1" x14ac:dyDescent="0.25">
      <c r="B98" s="2"/>
      <c r="D98" s="359" t="s">
        <v>36</v>
      </c>
      <c r="E98" s="359"/>
      <c r="F98" s="344" t="s">
        <v>509</v>
      </c>
      <c r="G98" s="344"/>
      <c r="H98" s="344"/>
      <c r="I98" s="344"/>
      <c r="J98" s="344"/>
      <c r="K98" s="344"/>
      <c r="L98" s="344"/>
      <c r="M98" s="344"/>
      <c r="O98" s="2"/>
    </row>
    <row r="99" spans="2:15" ht="3.95" customHeight="1" x14ac:dyDescent="0.25">
      <c r="B99" s="2"/>
      <c r="O99" s="2"/>
    </row>
    <row r="100" spans="2:15" ht="201" customHeight="1" x14ac:dyDescent="0.25">
      <c r="B100" s="2"/>
      <c r="D100" s="338" t="s">
        <v>62</v>
      </c>
      <c r="E100" s="339"/>
      <c r="F100" s="340" t="s">
        <v>692</v>
      </c>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2</v>
      </c>
      <c r="K102" s="20"/>
      <c r="O102" s="2"/>
    </row>
    <row r="103" spans="2:15" ht="19.5" customHeight="1" x14ac:dyDescent="0.25">
      <c r="B103" s="2"/>
      <c r="D103" s="331"/>
      <c r="E103" s="332"/>
      <c r="F103" s="19" t="s">
        <v>66</v>
      </c>
      <c r="G103" s="4"/>
      <c r="K103" s="21"/>
      <c r="O103" s="2"/>
    </row>
    <row r="104" spans="2:15" ht="27.75" customHeight="1" x14ac:dyDescent="0.25">
      <c r="B104" s="2"/>
      <c r="D104" s="331"/>
      <c r="E104" s="332"/>
      <c r="F104" s="19" t="s">
        <v>67</v>
      </c>
      <c r="G104" s="333"/>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Director(a) Nutrición</v>
      </c>
      <c r="H108" s="334"/>
      <c r="I108" s="334"/>
      <c r="J108" s="334"/>
      <c r="K108" s="334"/>
      <c r="L108" s="334"/>
      <c r="M108" s="335"/>
      <c r="O108" s="2"/>
    </row>
    <row r="109" spans="2:15" ht="17.25" customHeight="1" x14ac:dyDescent="0.25">
      <c r="B109" s="2"/>
      <c r="D109" s="331"/>
      <c r="E109" s="332"/>
      <c r="F109" s="19" t="s">
        <v>2042</v>
      </c>
      <c r="G109" s="333" t="str">
        <f>+IF(M23="Si","Coordinador(a) Planeación y Sistemas","")</f>
        <v>Coordinador(a) Planeación y Sistemas</v>
      </c>
      <c r="H109" s="334"/>
      <c r="I109" s="334"/>
      <c r="J109" s="334"/>
      <c r="K109" s="334"/>
      <c r="L109" s="334"/>
      <c r="M109" s="335"/>
      <c r="O109" s="2"/>
    </row>
    <row r="110" spans="2:15" ht="17.25" customHeight="1" x14ac:dyDescent="0.25">
      <c r="B110" s="2"/>
      <c r="D110" s="331"/>
      <c r="E110" s="332"/>
      <c r="F110" s="19" t="s">
        <v>2043</v>
      </c>
      <c r="G110" s="333" t="str">
        <f>+IF(M24="Si","Coordinador(a) Centro Zonal","")</f>
        <v>Coordinador(a) Centro Zonal</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785" priority="32">
      <formula>+IF($F$43="no",1,0)</formula>
    </cfRule>
  </conditionalFormatting>
  <conditionalFormatting sqref="F32:M33">
    <cfRule type="expression" dxfId="2784" priority="31">
      <formula>+IF($Q$30="NA",1,0)</formula>
    </cfRule>
  </conditionalFormatting>
  <conditionalFormatting sqref="F33:M33">
    <cfRule type="expression" dxfId="2783" priority="30">
      <formula>+IF($Q$33=0,1,0)</formula>
    </cfRule>
  </conditionalFormatting>
  <conditionalFormatting sqref="F47:M47">
    <cfRule type="expression" dxfId="2782" priority="29">
      <formula>+IF($Q$47=0,1,0)</formula>
    </cfRule>
  </conditionalFormatting>
  <conditionalFormatting sqref="F73:G73">
    <cfRule type="cellIs" dxfId="2781" priority="16" operator="equal">
      <formula>"optimo"</formula>
    </cfRule>
    <cfRule type="cellIs" dxfId="2780" priority="17" operator="equal">
      <formula>"critico"</formula>
    </cfRule>
  </conditionalFormatting>
  <conditionalFormatting sqref="H73:I73">
    <cfRule type="cellIs" dxfId="2779" priority="14" operator="equal">
      <formula>"Adecuado"</formula>
    </cfRule>
    <cfRule type="cellIs" dxfId="2778" priority="15" operator="equal">
      <formula>"en riesgo"</formula>
    </cfRule>
  </conditionalFormatting>
  <conditionalFormatting sqref="J73:K73">
    <cfRule type="cellIs" dxfId="2777" priority="12" operator="equal">
      <formula>"Adecuado"</formula>
    </cfRule>
    <cfRule type="cellIs" dxfId="2776" priority="13" operator="equal">
      <formula>"en riesgo"</formula>
    </cfRule>
  </conditionalFormatting>
  <conditionalFormatting sqref="L73:M73">
    <cfRule type="cellIs" dxfId="2775" priority="10" operator="equal">
      <formula>"optimo"</formula>
    </cfRule>
    <cfRule type="cellIs" dxfId="2774" priority="11" operator="equal">
      <formula>"critico"</formula>
    </cfRule>
  </conditionalFormatting>
  <conditionalFormatting sqref="F75:M86">
    <cfRule type="expression" dxfId="2773" priority="9">
      <formula>+IF($AK75=0,1)</formula>
    </cfRule>
  </conditionalFormatting>
  <conditionalFormatting sqref="F103:G104">
    <cfRule type="expression" dxfId="2772" priority="8">
      <formula>+IF($G$102="No",1,0)</formula>
    </cfRule>
  </conditionalFormatting>
  <conditionalFormatting sqref="F51">
    <cfRule type="expression" dxfId="2771" priority="7">
      <formula>+IF($F$43="no",1,0)</formula>
    </cfRule>
  </conditionalFormatting>
  <conditionalFormatting sqref="I51">
    <cfRule type="expression" dxfId="2770" priority="6">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4">
    <tabColor rgb="FF0070C0"/>
  </sheetPr>
  <dimension ref="B1:AV113"/>
  <sheetViews>
    <sheetView topLeftCell="A58" zoomScaleNormal="100" workbookViewId="0">
      <selection activeCell="J80" sqref="J80:K8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c r="P3" s="3" t="s">
        <v>1675</v>
      </c>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187</v>
      </c>
      <c r="O10" s="2"/>
    </row>
    <row r="11" spans="2:24" ht="3.95" customHeight="1" x14ac:dyDescent="0.25">
      <c r="B11" s="2"/>
      <c r="D11" s="6"/>
      <c r="O11" s="2"/>
    </row>
    <row r="12" spans="2:24" ht="36" customHeight="1" x14ac:dyDescent="0.25">
      <c r="B12" s="2"/>
      <c r="D12" s="338" t="s">
        <v>5</v>
      </c>
      <c r="E12" s="339"/>
      <c r="F12" s="340" t="s">
        <v>2117</v>
      </c>
      <c r="G12" s="341"/>
      <c r="H12" s="341"/>
      <c r="I12" s="341"/>
      <c r="J12" s="341"/>
      <c r="K12" s="341"/>
      <c r="L12" s="341"/>
      <c r="M12" s="342"/>
      <c r="O12" s="2"/>
      <c r="W12" s="3" t="str">
        <f>+F23</f>
        <v>Semestral</v>
      </c>
      <c r="X12" s="3" t="str">
        <f>+F71</f>
        <v>Junio</v>
      </c>
    </row>
    <row r="13" spans="2:24" ht="3.95" customHeight="1" x14ac:dyDescent="0.25">
      <c r="B13" s="2"/>
      <c r="O13" s="2"/>
    </row>
    <row r="14" spans="2:24" ht="36" customHeight="1" x14ac:dyDescent="0.25">
      <c r="B14" s="2"/>
      <c r="D14" s="338" t="s">
        <v>6</v>
      </c>
      <c r="E14" s="339"/>
      <c r="F14" s="340" t="s">
        <v>765</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17">
        <v>0.7</v>
      </c>
      <c r="G22" s="337" t="s">
        <v>9</v>
      </c>
      <c r="H22" s="337"/>
      <c r="I22" s="17">
        <v>0.8</v>
      </c>
      <c r="K22" s="337" t="s">
        <v>10</v>
      </c>
      <c r="L22" s="337"/>
      <c r="M22" s="9" t="s">
        <v>496</v>
      </c>
      <c r="O22" s="2"/>
    </row>
    <row r="23" spans="2:17" ht="19.5" customHeight="1" x14ac:dyDescent="0.25">
      <c r="B23" s="2"/>
      <c r="D23" s="337" t="s">
        <v>11</v>
      </c>
      <c r="E23" s="337"/>
      <c r="F23" s="4" t="s">
        <v>104</v>
      </c>
      <c r="G23" s="337" t="s">
        <v>12</v>
      </c>
      <c r="H23" s="337"/>
      <c r="I23" s="4" t="s">
        <v>514</v>
      </c>
      <c r="K23" s="337" t="s">
        <v>13</v>
      </c>
      <c r="L23" s="337"/>
      <c r="M23" s="9" t="s">
        <v>496</v>
      </c>
      <c r="O23" s="2"/>
    </row>
    <row r="24" spans="2:17" ht="20.100000000000001" customHeight="1" x14ac:dyDescent="0.25">
      <c r="B24" s="2"/>
      <c r="D24" s="337" t="s">
        <v>14</v>
      </c>
      <c r="E24" s="337"/>
      <c r="F24" s="4" t="s">
        <v>498</v>
      </c>
      <c r="G24" s="337" t="s">
        <v>15</v>
      </c>
      <c r="H24" s="337"/>
      <c r="I24" s="4" t="s">
        <v>103</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489</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NA</v>
      </c>
    </row>
    <row r="31" spans="2:17" ht="24" customHeight="1" x14ac:dyDescent="0.25">
      <c r="B31" s="2"/>
      <c r="D31" s="347"/>
      <c r="E31" s="348"/>
      <c r="F31" s="4" t="s">
        <v>176</v>
      </c>
      <c r="G31" s="340" t="s">
        <v>177</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500</v>
      </c>
      <c r="G33" s="340"/>
      <c r="H33" s="341"/>
      <c r="I33" s="341"/>
      <c r="J33" s="341"/>
      <c r="K33" s="341"/>
      <c r="L33" s="341"/>
      <c r="M33" s="342"/>
      <c r="O33" s="2"/>
      <c r="Q33" s="3" t="str">
        <f>+IFERROR(IF(VLOOKUP(G33,base!$A$26:$C$40,3,FALSE)=F31,1,0),"")</f>
        <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1714</v>
      </c>
      <c r="G35" s="340" t="s">
        <v>1590</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501</v>
      </c>
      <c r="G45" s="340" t="s">
        <v>502</v>
      </c>
      <c r="H45" s="341"/>
      <c r="I45" s="341"/>
      <c r="J45" s="341"/>
      <c r="K45" s="341"/>
      <c r="L45" s="341"/>
      <c r="M45" s="342"/>
      <c r="O45" s="2"/>
      <c r="Q45" s="3" t="str">
        <f>+IFERROR(VLOOKUP(G45,base!$A$41:$C$45,3,FALSE),"")</f>
        <v>misional</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503</v>
      </c>
      <c r="G47" s="340" t="s">
        <v>504</v>
      </c>
      <c r="H47" s="341"/>
      <c r="I47" s="341"/>
      <c r="J47" s="341"/>
      <c r="K47" s="341"/>
      <c r="L47" s="341"/>
      <c r="M47" s="342"/>
      <c r="O47" s="2"/>
      <c r="Q47" s="3">
        <f>+IF(VLOOKUP(G47,base!$A$46:$C$66,3,FALSE)=F45,1,0)</f>
        <v>1</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505</v>
      </c>
      <c r="G49" s="340" t="s">
        <v>490</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496</v>
      </c>
      <c r="G51" s="337" t="s">
        <v>32</v>
      </c>
      <c r="H51" s="337"/>
      <c r="I51" s="17">
        <v>0.8</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3.25" customHeight="1" x14ac:dyDescent="0.25">
      <c r="B59" s="2"/>
      <c r="D59" s="337" t="s">
        <v>34</v>
      </c>
      <c r="E59" s="337"/>
      <c r="F59" s="344" t="s">
        <v>2120</v>
      </c>
      <c r="G59" s="344"/>
      <c r="H59" s="344"/>
      <c r="I59" s="344"/>
      <c r="J59" s="344"/>
      <c r="K59" s="344"/>
      <c r="L59" s="344"/>
      <c r="M59" s="344"/>
      <c r="O59" s="2"/>
    </row>
    <row r="60" spans="2:15" ht="27" customHeight="1" x14ac:dyDescent="0.25">
      <c r="B60" s="2"/>
      <c r="D60" s="359" t="s">
        <v>35</v>
      </c>
      <c r="E60" s="359"/>
      <c r="F60" s="344" t="s">
        <v>2118</v>
      </c>
      <c r="G60" s="344"/>
      <c r="H60" s="344"/>
      <c r="I60" s="344"/>
      <c r="J60" s="344"/>
      <c r="K60" s="344"/>
      <c r="L60" s="344"/>
      <c r="M60" s="344"/>
      <c r="O60" s="2"/>
    </row>
    <row r="61" spans="2:15" ht="27" customHeight="1" x14ac:dyDescent="0.25">
      <c r="B61" s="2"/>
      <c r="D61" s="359" t="s">
        <v>36</v>
      </c>
      <c r="E61" s="359"/>
      <c r="F61" s="344" t="s">
        <v>2119</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6</v>
      </c>
    </row>
    <row r="70" spans="2:37" ht="3.95" customHeight="1" x14ac:dyDescent="0.25">
      <c r="B70" s="2"/>
      <c r="D70" s="7"/>
      <c r="E70" s="7"/>
      <c r="O70" s="2"/>
    </row>
    <row r="71" spans="2:37" ht="18.75" customHeight="1" x14ac:dyDescent="0.25">
      <c r="B71" s="2"/>
      <c r="D71" s="343" t="s">
        <v>39</v>
      </c>
      <c r="E71" s="343"/>
      <c r="F71" s="4" t="s">
        <v>50</v>
      </c>
      <c r="G71" s="3">
        <v>6</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60" t="s">
        <v>50</v>
      </c>
      <c r="E80" s="360"/>
      <c r="F80" s="16" t="s">
        <v>500</v>
      </c>
      <c r="G80" s="16">
        <v>0.59899999999999998</v>
      </c>
      <c r="H80" s="16">
        <v>0.6</v>
      </c>
      <c r="I80" s="16">
        <v>0.69899999999999995</v>
      </c>
      <c r="J80" s="16">
        <v>0.7</v>
      </c>
      <c r="K80" s="16">
        <v>0.79900000000000004</v>
      </c>
      <c r="L80" s="16">
        <v>0.8</v>
      </c>
      <c r="M80" s="16" t="s">
        <v>500</v>
      </c>
      <c r="O80" s="2"/>
      <c r="AE80" s="3" t="s">
        <v>50</v>
      </c>
      <c r="AF80" s="3">
        <v>6</v>
      </c>
      <c r="AG80" s="3">
        <f t="shared" si="0"/>
        <v>1</v>
      </c>
      <c r="AH80" s="3">
        <f>+IF(AG80=0,0,IF(AG80=1,(SUM($AG$75:AG80)-1),1))</f>
        <v>0</v>
      </c>
      <c r="AI80" s="3">
        <f t="shared" si="1"/>
        <v>0</v>
      </c>
      <c r="AJ80" s="3">
        <f t="shared" si="2"/>
        <v>1</v>
      </c>
      <c r="AK80" s="3">
        <f t="shared" si="3"/>
        <v>1</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1</v>
      </c>
      <c r="AI81" s="3">
        <f t="shared" si="1"/>
        <v>0</v>
      </c>
      <c r="AJ81" s="3">
        <f t="shared" si="2"/>
        <v>0</v>
      </c>
      <c r="AK81" s="3">
        <f t="shared" si="3"/>
        <v>0</v>
      </c>
    </row>
    <row r="82" spans="2:37" x14ac:dyDescent="0.25">
      <c r="B82" s="2"/>
      <c r="D82" s="360" t="s">
        <v>54</v>
      </c>
      <c r="E82" s="360"/>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2</v>
      </c>
      <c r="AI82" s="3">
        <f t="shared" si="1"/>
        <v>0</v>
      </c>
      <c r="AJ82" s="3">
        <f t="shared" si="2"/>
        <v>0</v>
      </c>
      <c r="AK82" s="3">
        <f t="shared" si="3"/>
        <v>0</v>
      </c>
    </row>
    <row r="83" spans="2:37" x14ac:dyDescent="0.25">
      <c r="B83" s="2"/>
      <c r="D83" s="360" t="s">
        <v>55</v>
      </c>
      <c r="E83" s="360"/>
      <c r="F83" s="16" t="s">
        <v>500</v>
      </c>
      <c r="G83" s="16" t="s">
        <v>500</v>
      </c>
      <c r="H83" s="16" t="s">
        <v>500</v>
      </c>
      <c r="I83" s="16" t="s">
        <v>500</v>
      </c>
      <c r="J83" s="16" t="s">
        <v>500</v>
      </c>
      <c r="K83" s="16" t="s">
        <v>500</v>
      </c>
      <c r="L83" s="16" t="s">
        <v>500</v>
      </c>
      <c r="M83" s="16" t="s">
        <v>500</v>
      </c>
      <c r="O83" s="2"/>
      <c r="AE83" s="3" t="s">
        <v>55</v>
      </c>
      <c r="AF83" s="3">
        <v>9</v>
      </c>
      <c r="AG83" s="3">
        <f t="shared" si="0"/>
        <v>1</v>
      </c>
      <c r="AH83" s="3">
        <f>+IF(AG83=0,0,IF(AG83=1,(SUM($AG$75:AG83)-1),1))</f>
        <v>3</v>
      </c>
      <c r="AI83" s="3">
        <f t="shared" si="1"/>
        <v>0</v>
      </c>
      <c r="AJ83" s="3">
        <f t="shared" si="2"/>
        <v>0</v>
      </c>
      <c r="AK83" s="3">
        <f t="shared" si="3"/>
        <v>0</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4</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5</v>
      </c>
      <c r="AI85" s="3">
        <f t="shared" si="1"/>
        <v>0</v>
      </c>
      <c r="AJ85" s="3">
        <f t="shared" si="2"/>
        <v>0</v>
      </c>
      <c r="AK85" s="3">
        <f t="shared" si="3"/>
        <v>0</v>
      </c>
    </row>
    <row r="86" spans="2:37" x14ac:dyDescent="0.25">
      <c r="B86" s="2"/>
      <c r="D86" s="360" t="s">
        <v>58</v>
      </c>
      <c r="E86" s="360"/>
      <c r="F86" s="16" t="s">
        <v>500</v>
      </c>
      <c r="G86" s="16">
        <v>0.59899999999999998</v>
      </c>
      <c r="H86" s="16">
        <v>0.6</v>
      </c>
      <c r="I86" s="16">
        <v>0.69899999999999995</v>
      </c>
      <c r="J86" s="16">
        <v>0.7</v>
      </c>
      <c r="K86" s="16">
        <v>0.79900000000000004</v>
      </c>
      <c r="L86" s="16">
        <v>0.8</v>
      </c>
      <c r="M86" s="16" t="s">
        <v>500</v>
      </c>
      <c r="O86" s="2"/>
      <c r="AE86" s="3" t="s">
        <v>58</v>
      </c>
      <c r="AF86" s="65">
        <v>12</v>
      </c>
      <c r="AG86" s="3">
        <f t="shared" si="0"/>
        <v>1</v>
      </c>
      <c r="AH86" s="3">
        <f>+IF(AG86=0,0,IF(AG86=1,(SUM($AG$75:AG86)-1),1))</f>
        <v>6</v>
      </c>
      <c r="AI86" s="3">
        <f t="shared" si="1"/>
        <v>1</v>
      </c>
      <c r="AJ86" s="3">
        <f t="shared" si="2"/>
        <v>0</v>
      </c>
      <c r="AK86" s="3">
        <f t="shared" si="3"/>
        <v>1</v>
      </c>
    </row>
    <row r="87" spans="2:37" ht="3.75" customHeight="1" x14ac:dyDescent="0.25">
      <c r="B87" s="2"/>
      <c r="O87" s="2"/>
    </row>
    <row r="88" spans="2:37" ht="77.25" customHeight="1" x14ac:dyDescent="0.25">
      <c r="B88" s="2"/>
      <c r="D88" s="338" t="s">
        <v>59</v>
      </c>
      <c r="E88" s="339"/>
      <c r="F88" s="420" t="s">
        <v>695</v>
      </c>
      <c r="G88" s="423"/>
      <c r="H88" s="423"/>
      <c r="I88" s="423"/>
      <c r="J88" s="423"/>
      <c r="K88" s="423"/>
      <c r="L88" s="423"/>
      <c r="M88" s="424"/>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28.5" customHeight="1" x14ac:dyDescent="0.25">
      <c r="B97" s="2"/>
      <c r="D97" s="359" t="s">
        <v>35</v>
      </c>
      <c r="E97" s="359"/>
      <c r="F97" s="344" t="s">
        <v>694</v>
      </c>
      <c r="G97" s="344"/>
      <c r="H97" s="344"/>
      <c r="I97" s="344"/>
      <c r="J97" s="344"/>
      <c r="K97" s="344"/>
      <c r="L97" s="344"/>
      <c r="M97" s="344"/>
      <c r="O97" s="2"/>
    </row>
    <row r="98" spans="2:15" ht="28.5" customHeight="1" x14ac:dyDescent="0.25">
      <c r="B98" s="2"/>
      <c r="D98" s="359" t="s">
        <v>36</v>
      </c>
      <c r="E98" s="359"/>
      <c r="F98" s="344" t="s">
        <v>694</v>
      </c>
      <c r="G98" s="344"/>
      <c r="H98" s="344"/>
      <c r="I98" s="344"/>
      <c r="J98" s="344"/>
      <c r="K98" s="344"/>
      <c r="L98" s="344"/>
      <c r="M98" s="344"/>
      <c r="O98" s="2"/>
    </row>
    <row r="99" spans="2:15" ht="3.95" customHeight="1" x14ac:dyDescent="0.25">
      <c r="B99" s="2"/>
      <c r="O99" s="2"/>
    </row>
    <row r="100" spans="2:15" ht="313.5" customHeight="1" x14ac:dyDescent="0.25">
      <c r="B100" s="2"/>
      <c r="D100" s="338" t="s">
        <v>62</v>
      </c>
      <c r="E100" s="339"/>
      <c r="F100" s="340" t="s">
        <v>646</v>
      </c>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2</v>
      </c>
      <c r="K102" s="20"/>
      <c r="O102" s="2"/>
    </row>
    <row r="103" spans="2:15" ht="19.5" customHeight="1" x14ac:dyDescent="0.25">
      <c r="B103" s="2"/>
      <c r="D103" s="331"/>
      <c r="E103" s="332"/>
      <c r="F103" s="19" t="s">
        <v>66</v>
      </c>
      <c r="G103" s="4"/>
      <c r="K103" s="21"/>
      <c r="O103" s="2"/>
    </row>
    <row r="104" spans="2:15" ht="27.75" customHeight="1" x14ac:dyDescent="0.25">
      <c r="B104" s="2"/>
      <c r="D104" s="331"/>
      <c r="E104" s="332"/>
      <c r="F104" s="19" t="s">
        <v>67</v>
      </c>
      <c r="G104" s="333"/>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Director(a) Nutrición</v>
      </c>
      <c r="H108" s="334"/>
      <c r="I108" s="334"/>
      <c r="J108" s="334"/>
      <c r="K108" s="334"/>
      <c r="L108" s="334"/>
      <c r="M108" s="335"/>
      <c r="O108" s="2"/>
    </row>
    <row r="109" spans="2:15" ht="17.25" customHeight="1" x14ac:dyDescent="0.25">
      <c r="B109" s="2"/>
      <c r="D109" s="331"/>
      <c r="E109" s="332"/>
      <c r="F109" s="19" t="s">
        <v>2042</v>
      </c>
      <c r="G109" s="333" t="str">
        <f>+IF(M23="Si","Coordinador(a) Planeación y Sistemas","")</f>
        <v>Coordinador(a) Planeación y Sistemas</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769" priority="31">
      <formula>+IF($F$43="no",1,0)</formula>
    </cfRule>
  </conditionalFormatting>
  <conditionalFormatting sqref="F32:M33">
    <cfRule type="expression" dxfId="2768" priority="30">
      <formula>+IF($Q$30="NA",1,0)</formula>
    </cfRule>
  </conditionalFormatting>
  <conditionalFormatting sqref="F33:M33">
    <cfRule type="expression" dxfId="2767" priority="29">
      <formula>+IF($Q$33=0,1,0)</formula>
    </cfRule>
  </conditionalFormatting>
  <conditionalFormatting sqref="F47:M47">
    <cfRule type="expression" dxfId="2766" priority="28">
      <formula>+IF($Q$47=0,1,0)</formula>
    </cfRule>
  </conditionalFormatting>
  <conditionalFormatting sqref="F73:G73">
    <cfRule type="cellIs" dxfId="2765" priority="15" operator="equal">
      <formula>"optimo"</formula>
    </cfRule>
    <cfRule type="cellIs" dxfId="2764" priority="16" operator="equal">
      <formula>"critico"</formula>
    </cfRule>
  </conditionalFormatting>
  <conditionalFormatting sqref="H73:I73">
    <cfRule type="cellIs" dxfId="2763" priority="13" operator="equal">
      <formula>"Adecuado"</formula>
    </cfRule>
    <cfRule type="cellIs" dxfId="2762" priority="14" operator="equal">
      <formula>"en riesgo"</formula>
    </cfRule>
  </conditionalFormatting>
  <conditionalFormatting sqref="J73:K73">
    <cfRule type="cellIs" dxfId="2761" priority="11" operator="equal">
      <formula>"Adecuado"</formula>
    </cfRule>
    <cfRule type="cellIs" dxfId="2760" priority="12" operator="equal">
      <formula>"en riesgo"</formula>
    </cfRule>
  </conditionalFormatting>
  <conditionalFormatting sqref="L73:M73">
    <cfRule type="cellIs" dxfId="2759" priority="9" operator="equal">
      <formula>"optimo"</formula>
    </cfRule>
    <cfRule type="cellIs" dxfId="2758" priority="10" operator="equal">
      <formula>"critico"</formula>
    </cfRule>
  </conditionalFormatting>
  <conditionalFormatting sqref="F75:M86">
    <cfRule type="expression" dxfId="2757" priority="8">
      <formula>+IF($AK75=0,1)</formula>
    </cfRule>
  </conditionalFormatting>
  <conditionalFormatting sqref="F103:G104">
    <cfRule type="expression" dxfId="2756" priority="7">
      <formula>+IF($G$102="No",1,0)</formula>
    </cfRule>
  </conditionalFormatting>
  <conditionalFormatting sqref="F51">
    <cfRule type="expression" dxfId="2755" priority="6">
      <formula>+IF($F$43="no",1,0)</formula>
    </cfRule>
  </conditionalFormatting>
  <conditionalFormatting sqref="I51">
    <cfRule type="expression" dxfId="2754" priority="5">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5">
    <tabColor rgb="FF0070C0"/>
  </sheetPr>
  <dimension ref="B1:AV113"/>
  <sheetViews>
    <sheetView topLeftCell="A49" zoomScaleNormal="100" workbookViewId="0">
      <selection activeCell="G80" sqref="G80:L8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188</v>
      </c>
      <c r="O10" s="2"/>
    </row>
    <row r="11" spans="2:24" ht="3.95" customHeight="1" x14ac:dyDescent="0.25">
      <c r="B11" s="2"/>
      <c r="D11" s="6"/>
      <c r="O11" s="2"/>
    </row>
    <row r="12" spans="2:24" ht="36" customHeight="1" x14ac:dyDescent="0.25">
      <c r="B12" s="2"/>
      <c r="D12" s="338" t="s">
        <v>5</v>
      </c>
      <c r="E12" s="339"/>
      <c r="F12" s="340" t="s">
        <v>658</v>
      </c>
      <c r="G12" s="341"/>
      <c r="H12" s="341"/>
      <c r="I12" s="341"/>
      <c r="J12" s="341"/>
      <c r="K12" s="341"/>
      <c r="L12" s="341"/>
      <c r="M12" s="342"/>
      <c r="O12" s="2"/>
      <c r="W12" s="3" t="str">
        <f>+F23</f>
        <v>Semestral</v>
      </c>
      <c r="X12" s="3" t="str">
        <f>+F71</f>
        <v>Junio</v>
      </c>
    </row>
    <row r="13" spans="2:24" ht="3.95" customHeight="1" x14ac:dyDescent="0.25">
      <c r="B13" s="2"/>
      <c r="O13" s="2"/>
    </row>
    <row r="14" spans="2:24" ht="36" customHeight="1" x14ac:dyDescent="0.25">
      <c r="B14" s="2"/>
      <c r="D14" s="338" t="s">
        <v>6</v>
      </c>
      <c r="E14" s="339"/>
      <c r="F14" s="340" t="s">
        <v>763</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8" t="s">
        <v>512</v>
      </c>
      <c r="G22" s="337" t="s">
        <v>9</v>
      </c>
      <c r="H22" s="337"/>
      <c r="I22" s="8">
        <v>16</v>
      </c>
      <c r="K22" s="337" t="s">
        <v>10</v>
      </c>
      <c r="L22" s="337"/>
      <c r="M22" s="9" t="s">
        <v>496</v>
      </c>
      <c r="O22" s="2"/>
    </row>
    <row r="23" spans="2:17" ht="19.5" customHeight="1" x14ac:dyDescent="0.25">
      <c r="B23" s="2"/>
      <c r="D23" s="337" t="s">
        <v>11</v>
      </c>
      <c r="E23" s="337"/>
      <c r="F23" s="4" t="s">
        <v>104</v>
      </c>
      <c r="G23" s="337" t="s">
        <v>12</v>
      </c>
      <c r="H23" s="337"/>
      <c r="I23" s="4" t="s">
        <v>514</v>
      </c>
      <c r="K23" s="337" t="s">
        <v>13</v>
      </c>
      <c r="L23" s="337"/>
      <c r="M23" s="9" t="s">
        <v>2</v>
      </c>
      <c r="O23" s="2"/>
    </row>
    <row r="24" spans="2:17" ht="20.100000000000001" customHeight="1" x14ac:dyDescent="0.25">
      <c r="B24" s="2"/>
      <c r="D24" s="337" t="s">
        <v>14</v>
      </c>
      <c r="E24" s="337"/>
      <c r="F24" s="4" t="s">
        <v>498</v>
      </c>
      <c r="G24" s="337" t="s">
        <v>15</v>
      </c>
      <c r="H24" s="337"/>
      <c r="I24" s="4" t="s">
        <v>519</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489</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NA</v>
      </c>
    </row>
    <row r="31" spans="2:17" ht="24" customHeight="1" x14ac:dyDescent="0.25">
      <c r="B31" s="2"/>
      <c r="D31" s="347"/>
      <c r="E31" s="348"/>
      <c r="F31" s="4" t="s">
        <v>176</v>
      </c>
      <c r="G31" s="340" t="s">
        <v>177</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500</v>
      </c>
      <c r="G33" s="340"/>
      <c r="H33" s="341"/>
      <c r="I33" s="341"/>
      <c r="J33" s="341"/>
      <c r="K33" s="341"/>
      <c r="L33" s="341"/>
      <c r="M33" s="342"/>
      <c r="O33" s="2"/>
      <c r="Q33" s="3" t="str">
        <f>+IFERROR(IF(VLOOKUP(G33,base!$A$26:$C$40,3,FALSE)=F31,1,0),"")</f>
        <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1714</v>
      </c>
      <c r="G35" s="340" t="s">
        <v>1590</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501</v>
      </c>
      <c r="G45" s="340" t="s">
        <v>502</v>
      </c>
      <c r="H45" s="341"/>
      <c r="I45" s="341"/>
      <c r="J45" s="341"/>
      <c r="K45" s="341"/>
      <c r="L45" s="341"/>
      <c r="M45" s="342"/>
      <c r="O45" s="2"/>
      <c r="Q45" s="3" t="str">
        <f>+IFERROR(VLOOKUP(G45,base!$A$41:$C$45,3,FALSE),"")</f>
        <v>misional</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503</v>
      </c>
      <c r="G47" s="340" t="s">
        <v>504</v>
      </c>
      <c r="H47" s="341"/>
      <c r="I47" s="341"/>
      <c r="J47" s="341"/>
      <c r="K47" s="341"/>
      <c r="L47" s="341"/>
      <c r="M47" s="342"/>
      <c r="O47" s="2"/>
      <c r="Q47" s="3">
        <f>+IF(VLOOKUP(G47,base!$A$46:$C$66,3,FALSE)=F45,1,0)</f>
        <v>1</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505</v>
      </c>
      <c r="G49" s="340" t="s">
        <v>490</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496</v>
      </c>
      <c r="G51" s="337" t="s">
        <v>32</v>
      </c>
      <c r="H51" s="337"/>
      <c r="I51" s="8">
        <v>33</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3.25" customHeight="1" x14ac:dyDescent="0.25">
      <c r="B59" s="2"/>
      <c r="D59" s="337" t="s">
        <v>34</v>
      </c>
      <c r="E59" s="337"/>
      <c r="F59" s="344" t="s">
        <v>764</v>
      </c>
      <c r="G59" s="344"/>
      <c r="H59" s="344"/>
      <c r="I59" s="344"/>
      <c r="J59" s="344"/>
      <c r="K59" s="344"/>
      <c r="L59" s="344"/>
      <c r="M59" s="344"/>
      <c r="O59" s="2"/>
    </row>
    <row r="60" spans="2:15" ht="27" customHeight="1" x14ac:dyDescent="0.25">
      <c r="B60" s="2"/>
      <c r="D60" s="359" t="s">
        <v>35</v>
      </c>
      <c r="E60" s="359"/>
      <c r="F60" s="340" t="s">
        <v>697</v>
      </c>
      <c r="G60" s="341"/>
      <c r="H60" s="341"/>
      <c r="I60" s="341"/>
      <c r="J60" s="341"/>
      <c r="K60" s="341"/>
      <c r="L60" s="341"/>
      <c r="M60" s="342"/>
      <c r="O60" s="2"/>
    </row>
    <row r="61" spans="2:15" ht="27" customHeight="1" x14ac:dyDescent="0.25">
      <c r="B61" s="2"/>
      <c r="D61" s="359" t="s">
        <v>36</v>
      </c>
      <c r="E61" s="359"/>
      <c r="F61" s="344" t="s">
        <v>698</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6</v>
      </c>
    </row>
    <row r="70" spans="2:37" ht="3.95" customHeight="1" x14ac:dyDescent="0.25">
      <c r="B70" s="2"/>
      <c r="D70" s="7"/>
      <c r="E70" s="7"/>
      <c r="O70" s="2"/>
    </row>
    <row r="71" spans="2:37" ht="18.75" customHeight="1" x14ac:dyDescent="0.25">
      <c r="B71" s="2"/>
      <c r="D71" s="343" t="s">
        <v>39</v>
      </c>
      <c r="E71" s="343"/>
      <c r="F71" s="4" t="s">
        <v>50</v>
      </c>
      <c r="G71" s="3">
        <v>6</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60" t="s">
        <v>50</v>
      </c>
      <c r="E80" s="360"/>
      <c r="F80" s="16" t="s">
        <v>500</v>
      </c>
      <c r="G80" s="16">
        <v>0.14899999999999999</v>
      </c>
      <c r="H80" s="16">
        <v>0.15</v>
      </c>
      <c r="I80" s="16">
        <v>0.249</v>
      </c>
      <c r="J80" s="16">
        <v>0.25</v>
      </c>
      <c r="K80" s="16">
        <v>0.499</v>
      </c>
      <c r="L80" s="16">
        <v>0.5</v>
      </c>
      <c r="M80" s="16" t="s">
        <v>500</v>
      </c>
      <c r="O80" s="2"/>
      <c r="AE80" s="3" t="s">
        <v>50</v>
      </c>
      <c r="AF80" s="3">
        <v>6</v>
      </c>
      <c r="AG80" s="3">
        <f t="shared" si="0"/>
        <v>1</v>
      </c>
      <c r="AH80" s="3">
        <f>+IF(AG80=0,0,IF(AG80=1,(SUM($AG$75:AG80)-1),1))</f>
        <v>0</v>
      </c>
      <c r="AI80" s="3">
        <f t="shared" si="1"/>
        <v>0</v>
      </c>
      <c r="AJ80" s="3">
        <f t="shared" si="2"/>
        <v>1</v>
      </c>
      <c r="AK80" s="3">
        <f t="shared" si="3"/>
        <v>1</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1</v>
      </c>
      <c r="AI81" s="3">
        <f t="shared" si="1"/>
        <v>0</v>
      </c>
      <c r="AJ81" s="3">
        <f t="shared" si="2"/>
        <v>0</v>
      </c>
      <c r="AK81" s="3">
        <f t="shared" si="3"/>
        <v>0</v>
      </c>
    </row>
    <row r="82" spans="2:37" x14ac:dyDescent="0.25">
      <c r="B82" s="2"/>
      <c r="D82" s="360" t="s">
        <v>54</v>
      </c>
      <c r="E82" s="360"/>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2</v>
      </c>
      <c r="AI82" s="3">
        <f t="shared" si="1"/>
        <v>0</v>
      </c>
      <c r="AJ82" s="3">
        <f t="shared" si="2"/>
        <v>0</v>
      </c>
      <c r="AK82" s="3">
        <f t="shared" si="3"/>
        <v>0</v>
      </c>
    </row>
    <row r="83" spans="2:37" x14ac:dyDescent="0.25">
      <c r="B83" s="2"/>
      <c r="D83" s="360" t="s">
        <v>55</v>
      </c>
      <c r="E83" s="360"/>
      <c r="F83" s="16" t="s">
        <v>500</v>
      </c>
      <c r="G83" s="16" t="s">
        <v>500</v>
      </c>
      <c r="H83" s="16" t="s">
        <v>500</v>
      </c>
      <c r="I83" s="16" t="s">
        <v>500</v>
      </c>
      <c r="J83" s="16" t="s">
        <v>500</v>
      </c>
      <c r="K83" s="16" t="s">
        <v>500</v>
      </c>
      <c r="L83" s="16" t="s">
        <v>500</v>
      </c>
      <c r="M83" s="16" t="s">
        <v>500</v>
      </c>
      <c r="O83" s="2"/>
      <c r="AE83" s="3" t="s">
        <v>55</v>
      </c>
      <c r="AF83" s="3">
        <v>9</v>
      </c>
      <c r="AG83" s="3">
        <f t="shared" si="0"/>
        <v>1</v>
      </c>
      <c r="AH83" s="3">
        <f>+IF(AG83=0,0,IF(AG83=1,(SUM($AG$75:AG83)-1),1))</f>
        <v>3</v>
      </c>
      <c r="AI83" s="3">
        <f t="shared" si="1"/>
        <v>0</v>
      </c>
      <c r="AJ83" s="3">
        <f t="shared" si="2"/>
        <v>0</v>
      </c>
      <c r="AK83" s="3">
        <f t="shared" si="3"/>
        <v>0</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4</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5</v>
      </c>
      <c r="AI85" s="3">
        <f t="shared" si="1"/>
        <v>0</v>
      </c>
      <c r="AJ85" s="3">
        <f t="shared" si="2"/>
        <v>0</v>
      </c>
      <c r="AK85" s="3">
        <f t="shared" si="3"/>
        <v>0</v>
      </c>
    </row>
    <row r="86" spans="2:37" x14ac:dyDescent="0.25">
      <c r="B86" s="2"/>
      <c r="D86" s="360" t="s">
        <v>58</v>
      </c>
      <c r="E86" s="360"/>
      <c r="F86" s="16" t="s">
        <v>500</v>
      </c>
      <c r="G86" s="16">
        <v>0.749</v>
      </c>
      <c r="H86" s="16">
        <v>0.75</v>
      </c>
      <c r="I86" s="16">
        <v>0.89900000000000002</v>
      </c>
      <c r="J86" s="16">
        <v>0.9</v>
      </c>
      <c r="K86" s="16">
        <v>0.999</v>
      </c>
      <c r="L86" s="16" t="s">
        <v>500</v>
      </c>
      <c r="M86" s="16">
        <v>1</v>
      </c>
      <c r="O86" s="2"/>
      <c r="AE86" s="3" t="s">
        <v>58</v>
      </c>
      <c r="AF86" s="65">
        <v>12</v>
      </c>
      <c r="AG86" s="3">
        <f t="shared" si="0"/>
        <v>1</v>
      </c>
      <c r="AH86" s="3">
        <f>+IF(AG86=0,0,IF(AG86=1,(SUM($AG$75:AG86)-1),1))</f>
        <v>6</v>
      </c>
      <c r="AI86" s="3">
        <f t="shared" si="1"/>
        <v>1</v>
      </c>
      <c r="AJ86" s="3">
        <f t="shared" si="2"/>
        <v>0</v>
      </c>
      <c r="AK86" s="3">
        <f t="shared" si="3"/>
        <v>1</v>
      </c>
    </row>
    <row r="87" spans="2:37" ht="3.75" customHeight="1" x14ac:dyDescent="0.25">
      <c r="B87" s="2"/>
      <c r="O87" s="2"/>
    </row>
    <row r="88" spans="2:37" ht="93.75" customHeight="1" x14ac:dyDescent="0.25">
      <c r="B88" s="2"/>
      <c r="D88" s="338" t="s">
        <v>59</v>
      </c>
      <c r="E88" s="339"/>
      <c r="F88" s="420" t="s">
        <v>699</v>
      </c>
      <c r="G88" s="423"/>
      <c r="H88" s="423"/>
      <c r="I88" s="423"/>
      <c r="J88" s="423"/>
      <c r="K88" s="423"/>
      <c r="L88" s="423"/>
      <c r="M88" s="424"/>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28.5" customHeight="1" x14ac:dyDescent="0.25">
      <c r="B97" s="2"/>
      <c r="D97" s="359" t="s">
        <v>35</v>
      </c>
      <c r="E97" s="359"/>
      <c r="F97" s="344" t="s">
        <v>700</v>
      </c>
      <c r="G97" s="344"/>
      <c r="H97" s="344"/>
      <c r="I97" s="344"/>
      <c r="J97" s="344"/>
      <c r="K97" s="344"/>
      <c r="L97" s="344"/>
      <c r="M97" s="344"/>
      <c r="O97" s="2"/>
    </row>
    <row r="98" spans="2:15" ht="28.5" customHeight="1" x14ac:dyDescent="0.25">
      <c r="B98" s="2"/>
      <c r="D98" s="359" t="s">
        <v>36</v>
      </c>
      <c r="E98" s="359"/>
      <c r="F98" s="344" t="s">
        <v>696</v>
      </c>
      <c r="G98" s="344"/>
      <c r="H98" s="344"/>
      <c r="I98" s="344"/>
      <c r="J98" s="344"/>
      <c r="K98" s="344"/>
      <c r="L98" s="344"/>
      <c r="M98" s="344"/>
      <c r="O98" s="2"/>
    </row>
    <row r="99" spans="2:15" ht="3.95" customHeight="1" x14ac:dyDescent="0.25">
      <c r="B99" s="2"/>
      <c r="O99" s="2"/>
    </row>
    <row r="100" spans="2:15" ht="58.5" customHeight="1" x14ac:dyDescent="0.25">
      <c r="B100" s="2"/>
      <c r="D100" s="338" t="s">
        <v>62</v>
      </c>
      <c r="E100" s="339"/>
      <c r="F100" s="333"/>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2</v>
      </c>
      <c r="K102" s="20"/>
      <c r="O102" s="2"/>
    </row>
    <row r="103" spans="2:15" ht="19.5" customHeight="1" x14ac:dyDescent="0.25">
      <c r="B103" s="2"/>
      <c r="D103" s="331"/>
      <c r="E103" s="332"/>
      <c r="F103" s="19" t="s">
        <v>66</v>
      </c>
      <c r="G103" s="4"/>
      <c r="K103" s="21"/>
      <c r="O103" s="2"/>
    </row>
    <row r="104" spans="2:15" ht="27.75" customHeight="1" x14ac:dyDescent="0.25">
      <c r="B104" s="2"/>
      <c r="D104" s="331"/>
      <c r="E104" s="332"/>
      <c r="F104" s="19" t="s">
        <v>67</v>
      </c>
      <c r="G104" s="333"/>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Director(a) Nutrición</v>
      </c>
      <c r="H108" s="334"/>
      <c r="I108" s="334"/>
      <c r="J108" s="334"/>
      <c r="K108" s="334"/>
      <c r="L108" s="334"/>
      <c r="M108" s="335"/>
      <c r="O108" s="2"/>
    </row>
    <row r="109" spans="2:15" ht="17.25" customHeight="1" x14ac:dyDescent="0.25">
      <c r="B109" s="2"/>
      <c r="D109" s="331"/>
      <c r="E109" s="332"/>
      <c r="F109" s="19" t="s">
        <v>2042</v>
      </c>
      <c r="G109" s="333" t="str">
        <f>+IF(M23="Si","Coordinador(a) Planeación y Sistemas","")</f>
        <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753" priority="31">
      <formula>+IF($F$43="no",1,0)</formula>
    </cfRule>
  </conditionalFormatting>
  <conditionalFormatting sqref="F32:M33">
    <cfRule type="expression" dxfId="2752" priority="30">
      <formula>+IF($Q$30="NA",1,0)</formula>
    </cfRule>
  </conditionalFormatting>
  <conditionalFormatting sqref="F33:M33">
    <cfRule type="expression" dxfId="2751" priority="29">
      <formula>+IF($Q$33=0,1,0)</formula>
    </cfRule>
  </conditionalFormatting>
  <conditionalFormatting sqref="F47:M47">
    <cfRule type="expression" dxfId="2750" priority="28">
      <formula>+IF($Q$47=0,1,0)</formula>
    </cfRule>
  </conditionalFormatting>
  <conditionalFormatting sqref="F73:G73">
    <cfRule type="cellIs" dxfId="2749" priority="14" operator="equal">
      <formula>"optimo"</formula>
    </cfRule>
    <cfRule type="cellIs" dxfId="2748" priority="15" operator="equal">
      <formula>"critico"</formula>
    </cfRule>
  </conditionalFormatting>
  <conditionalFormatting sqref="H73:I73">
    <cfRule type="cellIs" dxfId="2747" priority="12" operator="equal">
      <formula>"Adecuado"</formula>
    </cfRule>
    <cfRule type="cellIs" dxfId="2746" priority="13" operator="equal">
      <formula>"en riesgo"</formula>
    </cfRule>
  </conditionalFormatting>
  <conditionalFormatting sqref="J73:K73">
    <cfRule type="cellIs" dxfId="2745" priority="10" operator="equal">
      <formula>"Adecuado"</formula>
    </cfRule>
    <cfRule type="cellIs" dxfId="2744" priority="11" operator="equal">
      <formula>"en riesgo"</formula>
    </cfRule>
  </conditionalFormatting>
  <conditionalFormatting sqref="L73:M73">
    <cfRule type="cellIs" dxfId="2743" priority="8" operator="equal">
      <formula>"optimo"</formula>
    </cfRule>
    <cfRule type="cellIs" dxfId="2742" priority="9" operator="equal">
      <formula>"critico"</formula>
    </cfRule>
  </conditionalFormatting>
  <conditionalFormatting sqref="F75:M86">
    <cfRule type="expression" dxfId="2741" priority="7">
      <formula>+IF($AK75=0,1)</formula>
    </cfRule>
  </conditionalFormatting>
  <conditionalFormatting sqref="F103:G104">
    <cfRule type="expression" dxfId="2740" priority="6">
      <formula>+IF($G$102="No",1,0)</formula>
    </cfRule>
  </conditionalFormatting>
  <conditionalFormatting sqref="F51">
    <cfRule type="expression" dxfId="2739" priority="5">
      <formula>+IF($F$43="no",1,0)</formula>
    </cfRule>
  </conditionalFormatting>
  <conditionalFormatting sqref="I51">
    <cfRule type="expression" dxfId="2738"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1:F66"/>
  <sheetViews>
    <sheetView workbookViewId="0">
      <selection activeCell="I115" sqref="I115"/>
    </sheetView>
  </sheetViews>
  <sheetFormatPr baseColWidth="10" defaultRowHeight="15" x14ac:dyDescent="0.25"/>
  <cols>
    <col min="1" max="4" width="11.42578125" style="67"/>
    <col min="5" max="6" width="11.42578125" style="66"/>
    <col min="7" max="16384" width="11.42578125" style="67"/>
  </cols>
  <sheetData>
    <row r="1" spans="1:6" x14ac:dyDescent="0.25">
      <c r="A1" s="66" t="s">
        <v>84</v>
      </c>
      <c r="B1" s="66">
        <v>1</v>
      </c>
      <c r="E1" s="66" t="s">
        <v>1711</v>
      </c>
      <c r="F1" s="66" t="s">
        <v>1587</v>
      </c>
    </row>
    <row r="2" spans="1:6" x14ac:dyDescent="0.25">
      <c r="A2" s="66" t="s">
        <v>513</v>
      </c>
      <c r="B2" s="66">
        <v>2</v>
      </c>
      <c r="E2" s="66" t="s">
        <v>1712</v>
      </c>
      <c r="F2" s="66" t="s">
        <v>1588</v>
      </c>
    </row>
    <row r="3" spans="1:6" x14ac:dyDescent="0.25">
      <c r="A3" s="66" t="s">
        <v>71</v>
      </c>
      <c r="B3" s="66">
        <v>3</v>
      </c>
      <c r="E3" s="66" t="s">
        <v>1713</v>
      </c>
      <c r="F3" s="66" t="s">
        <v>1589</v>
      </c>
    </row>
    <row r="4" spans="1:6" x14ac:dyDescent="0.25">
      <c r="A4" s="66" t="s">
        <v>1069</v>
      </c>
      <c r="B4" s="66">
        <v>4</v>
      </c>
      <c r="E4" s="66" t="s">
        <v>1714</v>
      </c>
      <c r="F4" s="66" t="s">
        <v>1590</v>
      </c>
    </row>
    <row r="5" spans="1:6" x14ac:dyDescent="0.25">
      <c r="A5" s="66" t="s">
        <v>104</v>
      </c>
      <c r="B5" s="66">
        <v>6</v>
      </c>
      <c r="E5" s="66" t="s">
        <v>1715</v>
      </c>
      <c r="F5" s="66" t="s">
        <v>1591</v>
      </c>
    </row>
    <row r="6" spans="1:6" x14ac:dyDescent="0.25">
      <c r="A6" s="66" t="s">
        <v>1249</v>
      </c>
      <c r="B6" s="66">
        <v>12</v>
      </c>
      <c r="E6" s="66" t="s">
        <v>1716</v>
      </c>
      <c r="F6" s="66" t="s">
        <v>1592</v>
      </c>
    </row>
    <row r="7" spans="1:6" x14ac:dyDescent="0.25">
      <c r="E7" s="66" t="s">
        <v>1717</v>
      </c>
      <c r="F7" s="66" t="s">
        <v>1594</v>
      </c>
    </row>
    <row r="8" spans="1:6" x14ac:dyDescent="0.25">
      <c r="E8" s="66" t="s">
        <v>1718</v>
      </c>
      <c r="F8" s="66" t="s">
        <v>1595</v>
      </c>
    </row>
    <row r="9" spans="1:6" x14ac:dyDescent="0.25">
      <c r="A9" s="68" t="s">
        <v>110</v>
      </c>
      <c r="B9" s="68" t="s">
        <v>109</v>
      </c>
      <c r="C9" s="66" t="s">
        <v>1683</v>
      </c>
      <c r="E9" s="66" t="s">
        <v>1719</v>
      </c>
      <c r="F9" s="66" t="s">
        <v>1596</v>
      </c>
    </row>
    <row r="10" spans="1:6" x14ac:dyDescent="0.25">
      <c r="A10" s="68" t="s">
        <v>145</v>
      </c>
      <c r="B10" s="68" t="s">
        <v>144</v>
      </c>
      <c r="C10" s="66" t="s">
        <v>1683</v>
      </c>
      <c r="E10" s="66" t="s">
        <v>1720</v>
      </c>
      <c r="F10" s="66" t="s">
        <v>1597</v>
      </c>
    </row>
    <row r="11" spans="1:6" x14ac:dyDescent="0.25">
      <c r="A11" s="68" t="s">
        <v>169</v>
      </c>
      <c r="B11" s="68" t="s">
        <v>168</v>
      </c>
      <c r="C11" s="66" t="s">
        <v>1683</v>
      </c>
    </row>
    <row r="12" spans="1:6" x14ac:dyDescent="0.25">
      <c r="A12" s="68" t="s">
        <v>177</v>
      </c>
      <c r="B12" s="68" t="s">
        <v>176</v>
      </c>
      <c r="C12" s="66" t="s">
        <v>1683</v>
      </c>
    </row>
    <row r="13" spans="1:6" x14ac:dyDescent="0.25">
      <c r="A13" s="68" t="s">
        <v>203</v>
      </c>
      <c r="B13" s="68" t="s">
        <v>202</v>
      </c>
      <c r="C13" s="66" t="s">
        <v>1684</v>
      </c>
    </row>
    <row r="14" spans="1:6" x14ac:dyDescent="0.25">
      <c r="A14" s="68" t="s">
        <v>258</v>
      </c>
      <c r="B14" s="68" t="s">
        <v>257</v>
      </c>
      <c r="C14" s="66" t="s">
        <v>1685</v>
      </c>
    </row>
    <row r="15" spans="1:6" x14ac:dyDescent="0.25">
      <c r="A15" s="68" t="s">
        <v>355</v>
      </c>
      <c r="B15" s="68" t="s">
        <v>354</v>
      </c>
      <c r="C15" s="66" t="s">
        <v>1683</v>
      </c>
    </row>
    <row r="16" spans="1:6" x14ac:dyDescent="0.25">
      <c r="A16" s="68" t="s">
        <v>364</v>
      </c>
      <c r="B16" s="68" t="s">
        <v>363</v>
      </c>
      <c r="C16" s="66" t="s">
        <v>1683</v>
      </c>
    </row>
    <row r="17" spans="1:3" x14ac:dyDescent="0.25">
      <c r="A17" s="68" t="s">
        <v>371</v>
      </c>
      <c r="B17" s="68" t="s">
        <v>370</v>
      </c>
      <c r="C17" s="66" t="s">
        <v>1683</v>
      </c>
    </row>
    <row r="18" spans="1:3" x14ac:dyDescent="0.25">
      <c r="A18" s="68" t="s">
        <v>380</v>
      </c>
      <c r="B18" s="68" t="s">
        <v>379</v>
      </c>
      <c r="C18" s="66" t="s">
        <v>1686</v>
      </c>
    </row>
    <row r="19" spans="1:3" x14ac:dyDescent="0.25">
      <c r="A19" s="68" t="s">
        <v>392</v>
      </c>
      <c r="B19" s="68" t="s">
        <v>391</v>
      </c>
      <c r="C19" s="66" t="s">
        <v>1683</v>
      </c>
    </row>
    <row r="20" spans="1:3" x14ac:dyDescent="0.25">
      <c r="A20" s="68" t="s">
        <v>406</v>
      </c>
      <c r="B20" s="68" t="s">
        <v>405</v>
      </c>
      <c r="C20" s="66" t="s">
        <v>1683</v>
      </c>
    </row>
    <row r="21" spans="1:3" x14ac:dyDescent="0.25">
      <c r="A21" s="68" t="s">
        <v>412</v>
      </c>
      <c r="B21" s="68" t="s">
        <v>411</v>
      </c>
      <c r="C21" s="66" t="s">
        <v>1683</v>
      </c>
    </row>
    <row r="22" spans="1:3" x14ac:dyDescent="0.25">
      <c r="A22" s="68" t="s">
        <v>426</v>
      </c>
      <c r="B22" s="68" t="s">
        <v>425</v>
      </c>
      <c r="C22" s="66" t="s">
        <v>1683</v>
      </c>
    </row>
    <row r="23" spans="1:3" x14ac:dyDescent="0.25">
      <c r="A23" s="68" t="s">
        <v>442</v>
      </c>
      <c r="B23" s="68" t="s">
        <v>441</v>
      </c>
      <c r="C23" s="66" t="s">
        <v>1683</v>
      </c>
    </row>
    <row r="24" spans="1:3" x14ac:dyDescent="0.25">
      <c r="A24" s="68" t="s">
        <v>455</v>
      </c>
      <c r="B24" s="68" t="s">
        <v>454</v>
      </c>
      <c r="C24" s="66" t="s">
        <v>1687</v>
      </c>
    </row>
    <row r="25" spans="1:3" x14ac:dyDescent="0.25">
      <c r="A25" s="68" t="s">
        <v>475</v>
      </c>
      <c r="B25" s="68" t="s">
        <v>474</v>
      </c>
      <c r="C25" s="66" t="s">
        <v>1688</v>
      </c>
    </row>
    <row r="26" spans="1:3" x14ac:dyDescent="0.25">
      <c r="A26" s="68" t="s">
        <v>719</v>
      </c>
      <c r="B26" s="68" t="s">
        <v>792</v>
      </c>
      <c r="C26" s="68" t="s">
        <v>202</v>
      </c>
    </row>
    <row r="27" spans="1:3" x14ac:dyDescent="0.25">
      <c r="A27" s="68" t="s">
        <v>737</v>
      </c>
      <c r="B27" s="68" t="s">
        <v>785</v>
      </c>
      <c r="C27" s="68" t="s">
        <v>202</v>
      </c>
    </row>
    <row r="28" spans="1:3" x14ac:dyDescent="0.25">
      <c r="A28" s="68" t="s">
        <v>742</v>
      </c>
      <c r="B28" s="68" t="s">
        <v>873</v>
      </c>
      <c r="C28" s="68" t="s">
        <v>202</v>
      </c>
    </row>
    <row r="29" spans="1:3" x14ac:dyDescent="0.25">
      <c r="A29" s="68" t="s">
        <v>892</v>
      </c>
      <c r="B29" s="68" t="s">
        <v>918</v>
      </c>
      <c r="C29" s="68" t="s">
        <v>257</v>
      </c>
    </row>
    <row r="30" spans="1:3" x14ac:dyDescent="0.25">
      <c r="A30" s="68" t="s">
        <v>991</v>
      </c>
      <c r="B30" s="68" t="s">
        <v>1600</v>
      </c>
      <c r="C30" s="68" t="s">
        <v>257</v>
      </c>
    </row>
    <row r="31" spans="1:3" x14ac:dyDescent="0.25">
      <c r="A31" s="68" t="s">
        <v>994</v>
      </c>
      <c r="B31" s="68" t="s">
        <v>1001</v>
      </c>
      <c r="C31" s="68" t="s">
        <v>257</v>
      </c>
    </row>
    <row r="32" spans="1:3" x14ac:dyDescent="0.25">
      <c r="A32" s="68" t="s">
        <v>1015</v>
      </c>
      <c r="B32" s="68" t="s">
        <v>1025</v>
      </c>
      <c r="C32" s="68" t="s">
        <v>257</v>
      </c>
    </row>
    <row r="33" spans="1:3" x14ac:dyDescent="0.25">
      <c r="A33" s="68" t="s">
        <v>1550</v>
      </c>
      <c r="B33" s="68" t="s">
        <v>1602</v>
      </c>
      <c r="C33" s="68" t="s">
        <v>257</v>
      </c>
    </row>
    <row r="34" spans="1:3" x14ac:dyDescent="0.25">
      <c r="A34" s="68" t="s">
        <v>1160</v>
      </c>
      <c r="B34" s="68" t="s">
        <v>1165</v>
      </c>
      <c r="C34" s="68" t="s">
        <v>257</v>
      </c>
    </row>
    <row r="35" spans="1:3" x14ac:dyDescent="0.25">
      <c r="A35" s="68" t="s">
        <v>1607</v>
      </c>
      <c r="B35" s="68" t="s">
        <v>1606</v>
      </c>
      <c r="C35" s="68" t="s">
        <v>379</v>
      </c>
    </row>
    <row r="36" spans="1:3" x14ac:dyDescent="0.25">
      <c r="A36" s="68" t="s">
        <v>1610</v>
      </c>
      <c r="B36" s="68" t="s">
        <v>1609</v>
      </c>
      <c r="C36" s="68" t="s">
        <v>379</v>
      </c>
    </row>
    <row r="37" spans="1:3" x14ac:dyDescent="0.25">
      <c r="A37" s="68" t="s">
        <v>1616</v>
      </c>
      <c r="B37" s="68" t="s">
        <v>1615</v>
      </c>
      <c r="C37" s="68" t="s">
        <v>454</v>
      </c>
    </row>
    <row r="38" spans="1:3" x14ac:dyDescent="0.25">
      <c r="A38" s="68" t="s">
        <v>1618</v>
      </c>
      <c r="B38" s="68" t="s">
        <v>1617</v>
      </c>
      <c r="C38" s="68" t="s">
        <v>454</v>
      </c>
    </row>
    <row r="39" spans="1:3" x14ac:dyDescent="0.25">
      <c r="A39" s="68" t="s">
        <v>1520</v>
      </c>
      <c r="B39" s="68" t="s">
        <v>1529</v>
      </c>
      <c r="C39" s="68" t="s">
        <v>474</v>
      </c>
    </row>
    <row r="40" spans="1:3" x14ac:dyDescent="0.25">
      <c r="A40" s="68" t="s">
        <v>1525</v>
      </c>
      <c r="B40" s="68" t="s">
        <v>1535</v>
      </c>
      <c r="C40" s="68" t="s">
        <v>474</v>
      </c>
    </row>
    <row r="41" spans="1:3" x14ac:dyDescent="0.25">
      <c r="A41" s="66" t="s">
        <v>502</v>
      </c>
      <c r="B41" s="66" t="s">
        <v>501</v>
      </c>
      <c r="C41" s="66" t="s">
        <v>1689</v>
      </c>
    </row>
    <row r="42" spans="1:3" x14ac:dyDescent="0.25">
      <c r="A42" s="66" t="s">
        <v>1251</v>
      </c>
      <c r="B42" s="66" t="s">
        <v>1250</v>
      </c>
      <c r="C42" s="66" t="s">
        <v>1690</v>
      </c>
    </row>
    <row r="43" spans="1:3" x14ac:dyDescent="0.25">
      <c r="A43" s="66" t="s">
        <v>949</v>
      </c>
      <c r="B43" s="66" t="s">
        <v>948</v>
      </c>
      <c r="C43" s="66" t="s">
        <v>1691</v>
      </c>
    </row>
    <row r="44" spans="1:3" x14ac:dyDescent="0.25">
      <c r="A44" s="66" t="s">
        <v>1127</v>
      </c>
      <c r="B44" s="66" t="s">
        <v>1126</v>
      </c>
      <c r="C44" s="66" t="s">
        <v>1692</v>
      </c>
    </row>
    <row r="45" spans="1:3" x14ac:dyDescent="0.25">
      <c r="A45" s="66" t="s">
        <v>1693</v>
      </c>
      <c r="B45" s="66" t="s">
        <v>1328</v>
      </c>
      <c r="C45" s="66" t="s">
        <v>1694</v>
      </c>
    </row>
    <row r="46" spans="1:3" x14ac:dyDescent="0.25">
      <c r="A46" s="66" t="s">
        <v>995</v>
      </c>
      <c r="B46" s="66" t="s">
        <v>503</v>
      </c>
      <c r="C46" s="66" t="s">
        <v>501</v>
      </c>
    </row>
    <row r="47" spans="1:3" x14ac:dyDescent="0.25">
      <c r="A47" s="66" t="s">
        <v>1695</v>
      </c>
      <c r="B47" s="66" t="s">
        <v>1627</v>
      </c>
      <c r="C47" s="66" t="s">
        <v>1250</v>
      </c>
    </row>
    <row r="48" spans="1:3" x14ac:dyDescent="0.25">
      <c r="A48" s="66" t="s">
        <v>1696</v>
      </c>
      <c r="B48" s="66" t="s">
        <v>1697</v>
      </c>
      <c r="C48" s="66" t="s">
        <v>1250</v>
      </c>
    </row>
    <row r="49" spans="1:3" x14ac:dyDescent="0.25">
      <c r="A49" s="66" t="s">
        <v>1620</v>
      </c>
      <c r="B49" s="66" t="s">
        <v>1632</v>
      </c>
      <c r="C49" s="66" t="s">
        <v>1250</v>
      </c>
    </row>
    <row r="50" spans="1:3" x14ac:dyDescent="0.25">
      <c r="A50" s="66" t="s">
        <v>1698</v>
      </c>
      <c r="B50" s="66" t="s">
        <v>1518</v>
      </c>
      <c r="C50" s="66" t="s">
        <v>1250</v>
      </c>
    </row>
    <row r="51" spans="1:3" x14ac:dyDescent="0.25">
      <c r="A51" s="66" t="s">
        <v>1699</v>
      </c>
      <c r="B51" s="66" t="s">
        <v>1626</v>
      </c>
      <c r="C51" s="66" t="s">
        <v>1250</v>
      </c>
    </row>
    <row r="52" spans="1:3" x14ac:dyDescent="0.25">
      <c r="A52" s="66" t="s">
        <v>951</v>
      </c>
      <c r="B52" s="66" t="s">
        <v>950</v>
      </c>
      <c r="C52" s="66" t="s">
        <v>948</v>
      </c>
    </row>
    <row r="53" spans="1:3" x14ac:dyDescent="0.25">
      <c r="A53" s="66" t="s">
        <v>968</v>
      </c>
      <c r="B53" s="66" t="s">
        <v>967</v>
      </c>
      <c r="C53" s="66" t="s">
        <v>948</v>
      </c>
    </row>
    <row r="54" spans="1:3" x14ac:dyDescent="0.25">
      <c r="A54" s="66" t="s">
        <v>959</v>
      </c>
      <c r="B54" s="66" t="s">
        <v>958</v>
      </c>
      <c r="C54" s="66" t="s">
        <v>948</v>
      </c>
    </row>
    <row r="55" spans="1:3" x14ac:dyDescent="0.25">
      <c r="A55" s="66" t="s">
        <v>976</v>
      </c>
      <c r="B55" s="66" t="s">
        <v>975</v>
      </c>
      <c r="C55" s="66" t="s">
        <v>948</v>
      </c>
    </row>
    <row r="56" spans="1:3" x14ac:dyDescent="0.25">
      <c r="A56" s="66" t="s">
        <v>1700</v>
      </c>
      <c r="B56" s="66" t="s">
        <v>1630</v>
      </c>
      <c r="C56" s="66" t="s">
        <v>1126</v>
      </c>
    </row>
    <row r="57" spans="1:3" x14ac:dyDescent="0.25">
      <c r="A57" s="66" t="s">
        <v>1701</v>
      </c>
      <c r="B57" s="66" t="s">
        <v>1624</v>
      </c>
      <c r="C57" s="66" t="s">
        <v>1126</v>
      </c>
    </row>
    <row r="58" spans="1:3" x14ac:dyDescent="0.25">
      <c r="A58" s="66" t="s">
        <v>1702</v>
      </c>
      <c r="B58" s="66" t="s">
        <v>1631</v>
      </c>
      <c r="C58" s="66" t="s">
        <v>1126</v>
      </c>
    </row>
    <row r="59" spans="1:3" x14ac:dyDescent="0.25">
      <c r="A59" s="66" t="s">
        <v>1703</v>
      </c>
      <c r="B59" s="66" t="s">
        <v>1623</v>
      </c>
      <c r="C59" s="66" t="s">
        <v>1126</v>
      </c>
    </row>
    <row r="60" spans="1:3" x14ac:dyDescent="0.25">
      <c r="A60" s="66" t="s">
        <v>1273</v>
      </c>
      <c r="B60" s="66" t="s">
        <v>1288</v>
      </c>
      <c r="C60" s="66" t="s">
        <v>1126</v>
      </c>
    </row>
    <row r="61" spans="1:3" x14ac:dyDescent="0.25">
      <c r="A61" s="66" t="s">
        <v>1704</v>
      </c>
      <c r="B61" s="66" t="s">
        <v>1625</v>
      </c>
      <c r="C61" s="66" t="s">
        <v>1126</v>
      </c>
    </row>
    <row r="62" spans="1:3" x14ac:dyDescent="0.25">
      <c r="A62" s="66" t="s">
        <v>1705</v>
      </c>
      <c r="B62" s="66" t="s">
        <v>1706</v>
      </c>
      <c r="C62" s="66" t="s">
        <v>1126</v>
      </c>
    </row>
    <row r="63" spans="1:3" x14ac:dyDescent="0.25">
      <c r="A63" s="66" t="s">
        <v>1707</v>
      </c>
      <c r="B63" s="66" t="s">
        <v>1628</v>
      </c>
      <c r="C63" s="66" t="s">
        <v>1328</v>
      </c>
    </row>
    <row r="64" spans="1:3" x14ac:dyDescent="0.25">
      <c r="A64" s="66" t="s">
        <v>992</v>
      </c>
      <c r="B64" s="66" t="s">
        <v>1621</v>
      </c>
      <c r="C64" s="66" t="s">
        <v>1328</v>
      </c>
    </row>
    <row r="65" spans="1:3" x14ac:dyDescent="0.25">
      <c r="A65" s="66" t="s">
        <v>1619</v>
      </c>
      <c r="B65" s="66" t="s">
        <v>1629</v>
      </c>
      <c r="C65" s="66" t="s">
        <v>1328</v>
      </c>
    </row>
    <row r="66" spans="1:3" x14ac:dyDescent="0.25">
      <c r="A66" s="66" t="s">
        <v>1601</v>
      </c>
      <c r="B66" s="66" t="s">
        <v>1622</v>
      </c>
      <c r="C66" s="66" t="s">
        <v>1328</v>
      </c>
    </row>
  </sheetData>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6">
    <tabColor rgb="FF0070C0"/>
  </sheetPr>
  <dimension ref="B1:AV113"/>
  <sheetViews>
    <sheetView topLeftCell="A49" zoomScaleNormal="100" workbookViewId="0">
      <selection activeCell="M80" sqref="M8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189</v>
      </c>
      <c r="O10" s="2"/>
    </row>
    <row r="11" spans="2:24" ht="3.95" customHeight="1" x14ac:dyDescent="0.25">
      <c r="B11" s="2"/>
      <c r="D11" s="6"/>
      <c r="O11" s="2"/>
    </row>
    <row r="12" spans="2:24" ht="36" customHeight="1" x14ac:dyDescent="0.25">
      <c r="B12" s="2"/>
      <c r="D12" s="338" t="s">
        <v>5</v>
      </c>
      <c r="E12" s="339"/>
      <c r="F12" s="340" t="s">
        <v>659</v>
      </c>
      <c r="G12" s="341"/>
      <c r="H12" s="341"/>
      <c r="I12" s="341"/>
      <c r="J12" s="341"/>
      <c r="K12" s="341"/>
      <c r="L12" s="341"/>
      <c r="M12" s="342"/>
      <c r="O12" s="2"/>
      <c r="W12" s="3" t="str">
        <f>+F23</f>
        <v>Semestral</v>
      </c>
      <c r="X12" s="3" t="str">
        <f>+F71</f>
        <v>Junio</v>
      </c>
    </row>
    <row r="13" spans="2:24" ht="3.95" customHeight="1" x14ac:dyDescent="0.25">
      <c r="B13" s="2"/>
      <c r="O13" s="2"/>
    </row>
    <row r="14" spans="2:24" ht="36" customHeight="1" x14ac:dyDescent="0.25">
      <c r="B14" s="2"/>
      <c r="D14" s="338" t="s">
        <v>6</v>
      </c>
      <c r="E14" s="339"/>
      <c r="F14" s="340" t="s">
        <v>761</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8" t="s">
        <v>512</v>
      </c>
      <c r="G22" s="337" t="s">
        <v>9</v>
      </c>
      <c r="H22" s="337"/>
      <c r="I22" s="8">
        <v>1050</v>
      </c>
      <c r="K22" s="337" t="s">
        <v>10</v>
      </c>
      <c r="L22" s="337"/>
      <c r="M22" s="9" t="s">
        <v>496</v>
      </c>
      <c r="O22" s="2"/>
    </row>
    <row r="23" spans="2:17" ht="19.5" customHeight="1" x14ac:dyDescent="0.25">
      <c r="B23" s="2"/>
      <c r="D23" s="337" t="s">
        <v>11</v>
      </c>
      <c r="E23" s="337"/>
      <c r="F23" s="4" t="s">
        <v>104</v>
      </c>
      <c r="G23" s="337" t="s">
        <v>12</v>
      </c>
      <c r="H23" s="337"/>
      <c r="I23" s="4" t="s">
        <v>514</v>
      </c>
      <c r="K23" s="337" t="s">
        <v>13</v>
      </c>
      <c r="L23" s="337"/>
      <c r="M23" s="9" t="s">
        <v>2</v>
      </c>
      <c r="O23" s="2"/>
    </row>
    <row r="24" spans="2:17" ht="20.100000000000001" customHeight="1" x14ac:dyDescent="0.25">
      <c r="B24" s="2"/>
      <c r="D24" s="337" t="s">
        <v>14</v>
      </c>
      <c r="E24" s="337"/>
      <c r="F24" s="4" t="s">
        <v>498</v>
      </c>
      <c r="G24" s="337" t="s">
        <v>15</v>
      </c>
      <c r="H24" s="337"/>
      <c r="I24" s="4" t="s">
        <v>519</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489</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NA</v>
      </c>
    </row>
    <row r="31" spans="2:17" ht="24" customHeight="1" x14ac:dyDescent="0.25">
      <c r="B31" s="2"/>
      <c r="D31" s="347"/>
      <c r="E31" s="348"/>
      <c r="F31" s="4" t="s">
        <v>176</v>
      </c>
      <c r="G31" s="340" t="s">
        <v>177</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500</v>
      </c>
      <c r="G33" s="340"/>
      <c r="H33" s="341"/>
      <c r="I33" s="341"/>
      <c r="J33" s="341"/>
      <c r="K33" s="341"/>
      <c r="L33" s="341"/>
      <c r="M33" s="342"/>
      <c r="O33" s="2"/>
      <c r="Q33" s="3" t="str">
        <f>+IFERROR(IF(VLOOKUP(G33,base!$A$26:$C$40,3,FALSE)=F31,1,0),"")</f>
        <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1714</v>
      </c>
      <c r="G35" s="340" t="s">
        <v>1590</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501</v>
      </c>
      <c r="G45" s="340" t="s">
        <v>502</v>
      </c>
      <c r="H45" s="341"/>
      <c r="I45" s="341"/>
      <c r="J45" s="341"/>
      <c r="K45" s="341"/>
      <c r="L45" s="341"/>
      <c r="M45" s="342"/>
      <c r="O45" s="2"/>
      <c r="Q45" s="3" t="str">
        <f>+IFERROR(VLOOKUP(G45,base!$A$41:$C$45,3,FALSE),"")</f>
        <v>misional</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503</v>
      </c>
      <c r="G47" s="340" t="s">
        <v>504</v>
      </c>
      <c r="H47" s="341"/>
      <c r="I47" s="341"/>
      <c r="J47" s="341"/>
      <c r="K47" s="341"/>
      <c r="L47" s="341"/>
      <c r="M47" s="342"/>
      <c r="O47" s="2"/>
      <c r="Q47" s="3">
        <f>+IF(VLOOKUP(G47,base!$A$46:$C$66,3,FALSE)=F45,1,0)</f>
        <v>1</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505</v>
      </c>
      <c r="G49" s="340" t="s">
        <v>490</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496</v>
      </c>
      <c r="G51" s="337" t="s">
        <v>32</v>
      </c>
      <c r="H51" s="337"/>
      <c r="I51" s="8">
        <v>4758</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2.5" customHeight="1" x14ac:dyDescent="0.25">
      <c r="B59" s="2"/>
      <c r="D59" s="337" t="s">
        <v>34</v>
      </c>
      <c r="E59" s="337"/>
      <c r="F59" s="344" t="s">
        <v>762</v>
      </c>
      <c r="G59" s="344"/>
      <c r="H59" s="344"/>
      <c r="I59" s="344"/>
      <c r="J59" s="344"/>
      <c r="K59" s="344"/>
      <c r="L59" s="344"/>
      <c r="M59" s="344"/>
      <c r="O59" s="2"/>
    </row>
    <row r="60" spans="2:15" ht="27" customHeight="1" x14ac:dyDescent="0.25">
      <c r="B60" s="2"/>
      <c r="D60" s="359" t="s">
        <v>35</v>
      </c>
      <c r="E60" s="359"/>
      <c r="F60" s="344" t="s">
        <v>704</v>
      </c>
      <c r="G60" s="344"/>
      <c r="H60" s="344"/>
      <c r="I60" s="344"/>
      <c r="J60" s="344"/>
      <c r="K60" s="344"/>
      <c r="L60" s="344"/>
      <c r="M60" s="344"/>
      <c r="O60" s="2"/>
    </row>
    <row r="61" spans="2:15" ht="27" customHeight="1" x14ac:dyDescent="0.25">
      <c r="B61" s="2"/>
      <c r="D61" s="359" t="s">
        <v>36</v>
      </c>
      <c r="E61" s="359"/>
      <c r="F61" s="344" t="s">
        <v>705</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6</v>
      </c>
    </row>
    <row r="70" spans="2:37" ht="3.95" customHeight="1" x14ac:dyDescent="0.25">
      <c r="B70" s="2"/>
      <c r="D70" s="7"/>
      <c r="E70" s="7"/>
      <c r="O70" s="2"/>
    </row>
    <row r="71" spans="2:37" ht="18.75" customHeight="1" x14ac:dyDescent="0.25">
      <c r="B71" s="2"/>
      <c r="D71" s="343" t="s">
        <v>39</v>
      </c>
      <c r="E71" s="343"/>
      <c r="F71" s="4" t="s">
        <v>50</v>
      </c>
      <c r="G71" s="3">
        <v>6</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60" t="s">
        <v>50</v>
      </c>
      <c r="E80" s="360"/>
      <c r="F80" s="16" t="s">
        <v>500</v>
      </c>
      <c r="G80" s="16">
        <v>0.14899999999999999</v>
      </c>
      <c r="H80" s="16">
        <v>0.15</v>
      </c>
      <c r="I80" s="16">
        <v>0.249</v>
      </c>
      <c r="J80" s="16">
        <v>0.25</v>
      </c>
      <c r="K80" s="16">
        <v>0.499</v>
      </c>
      <c r="L80" s="16">
        <v>0.5</v>
      </c>
      <c r="M80" s="16" t="s">
        <v>500</v>
      </c>
      <c r="O80" s="2"/>
      <c r="AE80" s="3" t="s">
        <v>50</v>
      </c>
      <c r="AF80" s="3">
        <v>6</v>
      </c>
      <c r="AG80" s="3">
        <f t="shared" si="0"/>
        <v>1</v>
      </c>
      <c r="AH80" s="3">
        <f>+IF(AG80=0,0,IF(AG80=1,(SUM($AG$75:AG80)-1),1))</f>
        <v>0</v>
      </c>
      <c r="AI80" s="3">
        <f t="shared" si="1"/>
        <v>0</v>
      </c>
      <c r="AJ80" s="3">
        <f t="shared" si="2"/>
        <v>1</v>
      </c>
      <c r="AK80" s="3">
        <f t="shared" si="3"/>
        <v>1</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1</v>
      </c>
      <c r="AI81" s="3">
        <f t="shared" si="1"/>
        <v>0</v>
      </c>
      <c r="AJ81" s="3">
        <f t="shared" si="2"/>
        <v>0</v>
      </c>
      <c r="AK81" s="3">
        <f t="shared" si="3"/>
        <v>0</v>
      </c>
    </row>
    <row r="82" spans="2:37" x14ac:dyDescent="0.25">
      <c r="B82" s="2"/>
      <c r="D82" s="360" t="s">
        <v>54</v>
      </c>
      <c r="E82" s="360"/>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2</v>
      </c>
      <c r="AI82" s="3">
        <f t="shared" si="1"/>
        <v>0</v>
      </c>
      <c r="AJ82" s="3">
        <f t="shared" si="2"/>
        <v>0</v>
      </c>
      <c r="AK82" s="3">
        <f t="shared" si="3"/>
        <v>0</v>
      </c>
    </row>
    <row r="83" spans="2:37" x14ac:dyDescent="0.25">
      <c r="B83" s="2"/>
      <c r="D83" s="360" t="s">
        <v>55</v>
      </c>
      <c r="E83" s="360"/>
      <c r="F83" s="16" t="s">
        <v>500</v>
      </c>
      <c r="G83" s="16" t="s">
        <v>500</v>
      </c>
      <c r="H83" s="16" t="s">
        <v>500</v>
      </c>
      <c r="I83" s="16" t="s">
        <v>500</v>
      </c>
      <c r="J83" s="16" t="s">
        <v>500</v>
      </c>
      <c r="K83" s="16" t="s">
        <v>500</v>
      </c>
      <c r="L83" s="16" t="s">
        <v>500</v>
      </c>
      <c r="M83" s="16" t="s">
        <v>500</v>
      </c>
      <c r="O83" s="2"/>
      <c r="AE83" s="3" t="s">
        <v>55</v>
      </c>
      <c r="AF83" s="3">
        <v>9</v>
      </c>
      <c r="AG83" s="3">
        <f t="shared" si="0"/>
        <v>1</v>
      </c>
      <c r="AH83" s="3">
        <f>+IF(AG83=0,0,IF(AG83=1,(SUM($AG$75:AG83)-1),1))</f>
        <v>3</v>
      </c>
      <c r="AI83" s="3">
        <f t="shared" si="1"/>
        <v>0</v>
      </c>
      <c r="AJ83" s="3">
        <f t="shared" si="2"/>
        <v>0</v>
      </c>
      <c r="AK83" s="3">
        <f t="shared" si="3"/>
        <v>0</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4</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5</v>
      </c>
      <c r="AI85" s="3">
        <f t="shared" si="1"/>
        <v>0</v>
      </c>
      <c r="AJ85" s="3">
        <f t="shared" si="2"/>
        <v>0</v>
      </c>
      <c r="AK85" s="3">
        <f t="shared" si="3"/>
        <v>0</v>
      </c>
    </row>
    <row r="86" spans="2:37" x14ac:dyDescent="0.25">
      <c r="B86" s="2"/>
      <c r="D86" s="360" t="s">
        <v>58</v>
      </c>
      <c r="E86" s="360"/>
      <c r="F86" s="16" t="s">
        <v>500</v>
      </c>
      <c r="G86" s="16">
        <v>0.749</v>
      </c>
      <c r="H86" s="16">
        <v>0.75</v>
      </c>
      <c r="I86" s="16">
        <v>0.89900000000000002</v>
      </c>
      <c r="J86" s="16">
        <v>0.9</v>
      </c>
      <c r="K86" s="16">
        <v>0.999</v>
      </c>
      <c r="L86" s="16" t="s">
        <v>500</v>
      </c>
      <c r="M86" s="16">
        <v>1</v>
      </c>
      <c r="O86" s="2"/>
      <c r="AE86" s="3" t="s">
        <v>58</v>
      </c>
      <c r="AF86" s="65">
        <v>12</v>
      </c>
      <c r="AG86" s="3">
        <f t="shared" si="0"/>
        <v>1</v>
      </c>
      <c r="AH86" s="3">
        <f>+IF(AG86=0,0,IF(AG86=1,(SUM($AG$75:AG86)-1),1))</f>
        <v>6</v>
      </c>
      <c r="AI86" s="3">
        <f t="shared" si="1"/>
        <v>1</v>
      </c>
      <c r="AJ86" s="3">
        <f t="shared" si="2"/>
        <v>0</v>
      </c>
      <c r="AK86" s="3">
        <f t="shared" si="3"/>
        <v>1</v>
      </c>
    </row>
    <row r="87" spans="2:37" ht="3.75" customHeight="1" x14ac:dyDescent="0.25">
      <c r="B87" s="2"/>
      <c r="O87" s="2"/>
    </row>
    <row r="88" spans="2:37" ht="84" customHeight="1" x14ac:dyDescent="0.25">
      <c r="B88" s="2"/>
      <c r="D88" s="338" t="s">
        <v>59</v>
      </c>
      <c r="E88" s="339"/>
      <c r="F88" s="420" t="s">
        <v>703</v>
      </c>
      <c r="G88" s="423"/>
      <c r="H88" s="423"/>
      <c r="I88" s="423"/>
      <c r="J88" s="423"/>
      <c r="K88" s="423"/>
      <c r="L88" s="423"/>
      <c r="M88" s="424"/>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32.25" customHeight="1" x14ac:dyDescent="0.25">
      <c r="B97" s="2"/>
      <c r="D97" s="359" t="s">
        <v>35</v>
      </c>
      <c r="E97" s="359"/>
      <c r="F97" s="344" t="s">
        <v>701</v>
      </c>
      <c r="G97" s="344"/>
      <c r="H97" s="344"/>
      <c r="I97" s="344"/>
      <c r="J97" s="344"/>
      <c r="K97" s="344"/>
      <c r="L97" s="344"/>
      <c r="M97" s="344"/>
      <c r="O97" s="2"/>
    </row>
    <row r="98" spans="2:15" ht="28.5" customHeight="1" x14ac:dyDescent="0.25">
      <c r="B98" s="2"/>
      <c r="D98" s="359" t="s">
        <v>36</v>
      </c>
      <c r="E98" s="359"/>
      <c r="F98" s="344" t="s">
        <v>702</v>
      </c>
      <c r="G98" s="344"/>
      <c r="H98" s="344"/>
      <c r="I98" s="344"/>
      <c r="J98" s="344"/>
      <c r="K98" s="344"/>
      <c r="L98" s="344"/>
      <c r="M98" s="344"/>
      <c r="O98" s="2"/>
    </row>
    <row r="99" spans="2:15" ht="3.95" customHeight="1" x14ac:dyDescent="0.25">
      <c r="B99" s="2"/>
      <c r="O99" s="2"/>
    </row>
    <row r="100" spans="2:15" ht="58.5" customHeight="1" x14ac:dyDescent="0.25">
      <c r="B100" s="2"/>
      <c r="D100" s="338" t="s">
        <v>62</v>
      </c>
      <c r="E100" s="339"/>
      <c r="F100" s="333"/>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2</v>
      </c>
      <c r="K102" s="20"/>
      <c r="O102" s="2"/>
    </row>
    <row r="103" spans="2:15" ht="19.5" customHeight="1" x14ac:dyDescent="0.25">
      <c r="B103" s="2"/>
      <c r="D103" s="331"/>
      <c r="E103" s="332"/>
      <c r="F103" s="19" t="s">
        <v>66</v>
      </c>
      <c r="G103" s="4"/>
      <c r="K103" s="21"/>
      <c r="O103" s="2"/>
    </row>
    <row r="104" spans="2:15" ht="27.75" customHeight="1" x14ac:dyDescent="0.25">
      <c r="B104" s="2"/>
      <c r="D104" s="331"/>
      <c r="E104" s="332"/>
      <c r="F104" s="19" t="s">
        <v>67</v>
      </c>
      <c r="G104" s="333"/>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Director(a) Nutrición</v>
      </c>
      <c r="H108" s="334"/>
      <c r="I108" s="334"/>
      <c r="J108" s="334"/>
      <c r="K108" s="334"/>
      <c r="L108" s="334"/>
      <c r="M108" s="335"/>
      <c r="O108" s="2"/>
    </row>
    <row r="109" spans="2:15" ht="17.25" customHeight="1" x14ac:dyDescent="0.25">
      <c r="B109" s="2"/>
      <c r="D109" s="331"/>
      <c r="E109" s="332"/>
      <c r="F109" s="19" t="s">
        <v>2042</v>
      </c>
      <c r="G109" s="333" t="str">
        <f>+IF(M23="Si","Coordinador(a) Planeación y Sistemas","")</f>
        <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737" priority="34">
      <formula>+IF($F$43="no",1,0)</formula>
    </cfRule>
  </conditionalFormatting>
  <conditionalFormatting sqref="F32:M33">
    <cfRule type="expression" dxfId="2736" priority="33">
      <formula>+IF($Q$30="NA",1,0)</formula>
    </cfRule>
  </conditionalFormatting>
  <conditionalFormatting sqref="F33:M33">
    <cfRule type="expression" dxfId="2735" priority="32">
      <formula>+IF($Q$33=0,1,0)</formula>
    </cfRule>
  </conditionalFormatting>
  <conditionalFormatting sqref="F47:M47">
    <cfRule type="expression" dxfId="2734" priority="31">
      <formula>+IF($Q$47=0,1,0)</formula>
    </cfRule>
  </conditionalFormatting>
  <conditionalFormatting sqref="F73:G73">
    <cfRule type="cellIs" dxfId="2733" priority="17" operator="equal">
      <formula>"optimo"</formula>
    </cfRule>
    <cfRule type="cellIs" dxfId="2732" priority="18" operator="equal">
      <formula>"critico"</formula>
    </cfRule>
  </conditionalFormatting>
  <conditionalFormatting sqref="H73:I73">
    <cfRule type="cellIs" dxfId="2731" priority="15" operator="equal">
      <formula>"Adecuado"</formula>
    </cfRule>
    <cfRule type="cellIs" dxfId="2730" priority="16" operator="equal">
      <formula>"en riesgo"</formula>
    </cfRule>
  </conditionalFormatting>
  <conditionalFormatting sqref="J73:K73">
    <cfRule type="cellIs" dxfId="2729" priority="13" operator="equal">
      <formula>"Adecuado"</formula>
    </cfRule>
    <cfRule type="cellIs" dxfId="2728" priority="14" operator="equal">
      <formula>"en riesgo"</formula>
    </cfRule>
  </conditionalFormatting>
  <conditionalFormatting sqref="L73:M73">
    <cfRule type="cellIs" dxfId="2727" priority="11" operator="equal">
      <formula>"optimo"</formula>
    </cfRule>
    <cfRule type="cellIs" dxfId="2726" priority="12" operator="equal">
      <formula>"critico"</formula>
    </cfRule>
  </conditionalFormatting>
  <conditionalFormatting sqref="F75:M79 F81:M86 F80 M80">
    <cfRule type="expression" dxfId="2725" priority="10">
      <formula>+IF($AK75=0,1)</formula>
    </cfRule>
  </conditionalFormatting>
  <conditionalFormatting sqref="F103:G104">
    <cfRule type="expression" dxfId="2724" priority="9">
      <formula>+IF($G$102="No",1,0)</formula>
    </cfRule>
  </conditionalFormatting>
  <conditionalFormatting sqref="F51">
    <cfRule type="expression" dxfId="2723" priority="8">
      <formula>+IF($F$43="no",1,0)</formula>
    </cfRule>
  </conditionalFormatting>
  <conditionalFormatting sqref="I51">
    <cfRule type="expression" dxfId="2722" priority="7">
      <formula>+IF($F$51="no",1,0)</formula>
    </cfRule>
  </conditionalFormatting>
  <conditionalFormatting sqref="G80:L80">
    <cfRule type="expression" dxfId="2721" priority="1">
      <formula>+IF($AK80=0,1)</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7">
    <tabColor rgb="FF0070C0"/>
  </sheetPr>
  <dimension ref="B1:AV113"/>
  <sheetViews>
    <sheetView topLeftCell="A49" zoomScaleNormal="100" workbookViewId="0">
      <selection activeCell="P80" sqref="P8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190</v>
      </c>
      <c r="O10" s="2"/>
    </row>
    <row r="11" spans="2:24" ht="3.95" customHeight="1" x14ac:dyDescent="0.25">
      <c r="B11" s="2"/>
      <c r="D11" s="6"/>
      <c r="O11" s="2"/>
    </row>
    <row r="12" spans="2:24" ht="36" customHeight="1" x14ac:dyDescent="0.25">
      <c r="B12" s="2"/>
      <c r="D12" s="338" t="s">
        <v>5</v>
      </c>
      <c r="E12" s="339"/>
      <c r="F12" s="340" t="s">
        <v>660</v>
      </c>
      <c r="G12" s="341"/>
      <c r="H12" s="341"/>
      <c r="I12" s="341"/>
      <c r="J12" s="341"/>
      <c r="K12" s="341"/>
      <c r="L12" s="341"/>
      <c r="M12" s="342"/>
      <c r="O12" s="2"/>
      <c r="W12" s="3" t="str">
        <f>+F23</f>
        <v>Semestral</v>
      </c>
      <c r="X12" s="3" t="str">
        <f>+F71</f>
        <v>Junio</v>
      </c>
    </row>
    <row r="13" spans="2:24" ht="3.95" customHeight="1" x14ac:dyDescent="0.25">
      <c r="B13" s="2"/>
      <c r="O13" s="2"/>
    </row>
    <row r="14" spans="2:24" ht="36" customHeight="1" x14ac:dyDescent="0.25">
      <c r="B14" s="2"/>
      <c r="D14" s="338" t="s">
        <v>6</v>
      </c>
      <c r="E14" s="339"/>
      <c r="F14" s="340" t="s">
        <v>757</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8">
        <v>44049</v>
      </c>
      <c r="G22" s="337" t="s">
        <v>9</v>
      </c>
      <c r="H22" s="337"/>
      <c r="I22" s="8">
        <v>40000</v>
      </c>
      <c r="K22" s="337" t="s">
        <v>10</v>
      </c>
      <c r="L22" s="337"/>
      <c r="M22" s="9" t="s">
        <v>496</v>
      </c>
      <c r="O22" s="2"/>
    </row>
    <row r="23" spans="2:17" ht="19.5" customHeight="1" x14ac:dyDescent="0.25">
      <c r="B23" s="2"/>
      <c r="D23" s="337" t="s">
        <v>11</v>
      </c>
      <c r="E23" s="337"/>
      <c r="F23" s="4" t="s">
        <v>104</v>
      </c>
      <c r="G23" s="337" t="s">
        <v>12</v>
      </c>
      <c r="H23" s="337"/>
      <c r="I23" s="4" t="s">
        <v>497</v>
      </c>
      <c r="K23" s="337" t="s">
        <v>13</v>
      </c>
      <c r="L23" s="337"/>
      <c r="M23" s="9" t="s">
        <v>2</v>
      </c>
      <c r="O23" s="2"/>
    </row>
    <row r="24" spans="2:17" ht="20.100000000000001" customHeight="1" x14ac:dyDescent="0.25">
      <c r="B24" s="2"/>
      <c r="D24" s="337" t="s">
        <v>14</v>
      </c>
      <c r="E24" s="337"/>
      <c r="F24" s="4" t="s">
        <v>498</v>
      </c>
      <c r="G24" s="337" t="s">
        <v>15</v>
      </c>
      <c r="H24" s="337"/>
      <c r="I24" s="4" t="s">
        <v>519</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489</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NA</v>
      </c>
    </row>
    <row r="31" spans="2:17" ht="24" customHeight="1" x14ac:dyDescent="0.25">
      <c r="B31" s="2"/>
      <c r="D31" s="347"/>
      <c r="E31" s="348"/>
      <c r="F31" s="4" t="s">
        <v>176</v>
      </c>
      <c r="G31" s="340" t="s">
        <v>177</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500</v>
      </c>
      <c r="G33" s="340"/>
      <c r="H33" s="341"/>
      <c r="I33" s="341"/>
      <c r="J33" s="341"/>
      <c r="K33" s="341"/>
      <c r="L33" s="341"/>
      <c r="M33" s="342"/>
      <c r="O33" s="2"/>
      <c r="Q33" s="3" t="str">
        <f>+IFERROR(IF(VLOOKUP(G33,base!$A$26:$C$40,3,FALSE)=F31,1,0),"")</f>
        <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1714</v>
      </c>
      <c r="G35" s="340" t="s">
        <v>1590</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501</v>
      </c>
      <c r="G45" s="340" t="s">
        <v>502</v>
      </c>
      <c r="H45" s="341"/>
      <c r="I45" s="341"/>
      <c r="J45" s="341"/>
      <c r="K45" s="341"/>
      <c r="L45" s="341"/>
      <c r="M45" s="342"/>
      <c r="O45" s="2"/>
      <c r="Q45" s="3" t="str">
        <f>+IFERROR(VLOOKUP(G45,base!$A$41:$C$45,3,FALSE),"")</f>
        <v>misional</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503</v>
      </c>
      <c r="G47" s="340" t="s">
        <v>504</v>
      </c>
      <c r="H47" s="341"/>
      <c r="I47" s="341"/>
      <c r="J47" s="341"/>
      <c r="K47" s="341"/>
      <c r="L47" s="341"/>
      <c r="M47" s="342"/>
      <c r="O47" s="2"/>
      <c r="Q47" s="3">
        <f>+IF(VLOOKUP(G47,base!$A$46:$C$66,3,FALSE)=F45,1,0)</f>
        <v>1</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505</v>
      </c>
      <c r="G49" s="340" t="s">
        <v>490</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496</v>
      </c>
      <c r="G51" s="337" t="s">
        <v>32</v>
      </c>
      <c r="H51" s="337"/>
      <c r="I51" s="8">
        <v>376528</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8.25" customHeight="1" x14ac:dyDescent="0.25">
      <c r="B59" s="2"/>
      <c r="D59" s="337" t="s">
        <v>34</v>
      </c>
      <c r="E59" s="337"/>
      <c r="F59" s="344" t="s">
        <v>758</v>
      </c>
      <c r="G59" s="344"/>
      <c r="H59" s="344"/>
      <c r="I59" s="344"/>
      <c r="J59" s="344"/>
      <c r="K59" s="344"/>
      <c r="L59" s="344"/>
      <c r="M59" s="344"/>
      <c r="O59" s="2"/>
    </row>
    <row r="60" spans="2:15" ht="27" customHeight="1" x14ac:dyDescent="0.25">
      <c r="B60" s="2"/>
      <c r="D60" s="359" t="s">
        <v>35</v>
      </c>
      <c r="E60" s="359"/>
      <c r="F60" s="344" t="s">
        <v>759</v>
      </c>
      <c r="G60" s="344"/>
      <c r="H60" s="344"/>
      <c r="I60" s="344"/>
      <c r="J60" s="344"/>
      <c r="K60" s="344"/>
      <c r="L60" s="344"/>
      <c r="M60" s="344"/>
      <c r="O60" s="2"/>
    </row>
    <row r="61" spans="2:15" ht="27" customHeight="1" x14ac:dyDescent="0.25">
      <c r="B61" s="2"/>
      <c r="D61" s="359" t="s">
        <v>36</v>
      </c>
      <c r="E61" s="359"/>
      <c r="F61" s="344" t="s">
        <v>760</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6</v>
      </c>
    </row>
    <row r="70" spans="2:37" ht="3.95" customHeight="1" x14ac:dyDescent="0.25">
      <c r="B70" s="2"/>
      <c r="D70" s="7"/>
      <c r="E70" s="7"/>
      <c r="O70" s="2"/>
    </row>
    <row r="71" spans="2:37" ht="18.75" customHeight="1" x14ac:dyDescent="0.25">
      <c r="B71" s="2"/>
      <c r="D71" s="343" t="s">
        <v>39</v>
      </c>
      <c r="E71" s="343"/>
      <c r="F71" s="4" t="s">
        <v>50</v>
      </c>
      <c r="G71" s="3">
        <v>6</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60" t="s">
        <v>50</v>
      </c>
      <c r="E80" s="360"/>
      <c r="F80" s="16" t="s">
        <v>500</v>
      </c>
      <c r="G80" s="16">
        <v>0.14899999999999999</v>
      </c>
      <c r="H80" s="16">
        <v>0.15</v>
      </c>
      <c r="I80" s="16">
        <v>0.249</v>
      </c>
      <c r="J80" s="16">
        <v>0.25</v>
      </c>
      <c r="K80" s="16">
        <v>0.499</v>
      </c>
      <c r="L80" s="16">
        <v>0.5</v>
      </c>
      <c r="M80" s="16" t="s">
        <v>500</v>
      </c>
      <c r="O80" s="2"/>
      <c r="AE80" s="3" t="s">
        <v>50</v>
      </c>
      <c r="AF80" s="3">
        <v>6</v>
      </c>
      <c r="AG80" s="3">
        <f t="shared" si="0"/>
        <v>1</v>
      </c>
      <c r="AH80" s="3">
        <f>+IF(AG80=0,0,IF(AG80=1,(SUM($AG$75:AG80)-1),1))</f>
        <v>0</v>
      </c>
      <c r="AI80" s="3">
        <f t="shared" si="1"/>
        <v>0</v>
      </c>
      <c r="AJ80" s="3">
        <f t="shared" si="2"/>
        <v>1</v>
      </c>
      <c r="AK80" s="3">
        <f t="shared" si="3"/>
        <v>1</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1</v>
      </c>
      <c r="AI81" s="3">
        <f t="shared" si="1"/>
        <v>0</v>
      </c>
      <c r="AJ81" s="3">
        <f t="shared" si="2"/>
        <v>0</v>
      </c>
      <c r="AK81" s="3">
        <f t="shared" si="3"/>
        <v>0</v>
      </c>
    </row>
    <row r="82" spans="2:37" x14ac:dyDescent="0.25">
      <c r="B82" s="2"/>
      <c r="D82" s="360" t="s">
        <v>54</v>
      </c>
      <c r="E82" s="360"/>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2</v>
      </c>
      <c r="AI82" s="3">
        <f t="shared" si="1"/>
        <v>0</v>
      </c>
      <c r="AJ82" s="3">
        <f t="shared" si="2"/>
        <v>0</v>
      </c>
      <c r="AK82" s="3">
        <f t="shared" si="3"/>
        <v>0</v>
      </c>
    </row>
    <row r="83" spans="2:37" x14ac:dyDescent="0.25">
      <c r="B83" s="2"/>
      <c r="D83" s="360" t="s">
        <v>55</v>
      </c>
      <c r="E83" s="360"/>
      <c r="F83" s="16" t="s">
        <v>500</v>
      </c>
      <c r="G83" s="16" t="s">
        <v>500</v>
      </c>
      <c r="H83" s="16" t="s">
        <v>500</v>
      </c>
      <c r="I83" s="16" t="s">
        <v>500</v>
      </c>
      <c r="J83" s="16" t="s">
        <v>500</v>
      </c>
      <c r="K83" s="16" t="s">
        <v>500</v>
      </c>
      <c r="L83" s="16" t="s">
        <v>500</v>
      </c>
      <c r="M83" s="16" t="s">
        <v>500</v>
      </c>
      <c r="O83" s="2"/>
      <c r="AE83" s="3" t="s">
        <v>55</v>
      </c>
      <c r="AF83" s="3">
        <v>9</v>
      </c>
      <c r="AG83" s="3">
        <f t="shared" si="0"/>
        <v>1</v>
      </c>
      <c r="AH83" s="3">
        <f>+IF(AG83=0,0,IF(AG83=1,(SUM($AG$75:AG83)-1),1))</f>
        <v>3</v>
      </c>
      <c r="AI83" s="3">
        <f t="shared" si="1"/>
        <v>0</v>
      </c>
      <c r="AJ83" s="3">
        <f t="shared" si="2"/>
        <v>0</v>
      </c>
      <c r="AK83" s="3">
        <f t="shared" si="3"/>
        <v>0</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4</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5</v>
      </c>
      <c r="AI85" s="3">
        <f t="shared" si="1"/>
        <v>0</v>
      </c>
      <c r="AJ85" s="3">
        <f t="shared" si="2"/>
        <v>0</v>
      </c>
      <c r="AK85" s="3">
        <f t="shared" si="3"/>
        <v>0</v>
      </c>
    </row>
    <row r="86" spans="2:37" x14ac:dyDescent="0.25">
      <c r="B86" s="2"/>
      <c r="D86" s="360" t="s">
        <v>58</v>
      </c>
      <c r="E86" s="360"/>
      <c r="F86" s="16" t="s">
        <v>500</v>
      </c>
      <c r="G86" s="16">
        <v>0.749</v>
      </c>
      <c r="H86" s="16">
        <v>0.75</v>
      </c>
      <c r="I86" s="16">
        <v>0.89900000000000002</v>
      </c>
      <c r="J86" s="16">
        <v>0.9</v>
      </c>
      <c r="K86" s="16">
        <v>0.999</v>
      </c>
      <c r="L86" s="16" t="s">
        <v>500</v>
      </c>
      <c r="M86" s="16">
        <v>1</v>
      </c>
      <c r="O86" s="2"/>
      <c r="AE86" s="3" t="s">
        <v>58</v>
      </c>
      <c r="AF86" s="65">
        <v>12</v>
      </c>
      <c r="AG86" s="3">
        <f t="shared" si="0"/>
        <v>1</v>
      </c>
      <c r="AH86" s="3">
        <f>+IF(AG86=0,0,IF(AG86=1,(SUM($AG$75:AG86)-1),1))</f>
        <v>6</v>
      </c>
      <c r="AI86" s="3">
        <f t="shared" si="1"/>
        <v>1</v>
      </c>
      <c r="AJ86" s="3">
        <f t="shared" si="2"/>
        <v>0</v>
      </c>
      <c r="AK86" s="3">
        <f t="shared" si="3"/>
        <v>1</v>
      </c>
    </row>
    <row r="87" spans="2:37" ht="3.75" customHeight="1" x14ac:dyDescent="0.25">
      <c r="B87" s="2"/>
      <c r="O87" s="2"/>
    </row>
    <row r="88" spans="2:37" ht="56.25" customHeight="1" x14ac:dyDescent="0.25">
      <c r="B88" s="2"/>
      <c r="D88" s="338" t="s">
        <v>59</v>
      </c>
      <c r="E88" s="339"/>
      <c r="F88" s="420"/>
      <c r="G88" s="423"/>
      <c r="H88" s="423"/>
      <c r="I88" s="423"/>
      <c r="J88" s="423"/>
      <c r="K88" s="423"/>
      <c r="L88" s="423"/>
      <c r="M88" s="424"/>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28.5" customHeight="1" x14ac:dyDescent="0.25">
      <c r="B97" s="2"/>
      <c r="D97" s="359" t="s">
        <v>35</v>
      </c>
      <c r="E97" s="359"/>
      <c r="F97" s="344" t="s">
        <v>707</v>
      </c>
      <c r="G97" s="344"/>
      <c r="H97" s="344"/>
      <c r="I97" s="344"/>
      <c r="J97" s="344"/>
      <c r="K97" s="344"/>
      <c r="L97" s="344"/>
      <c r="M97" s="344"/>
      <c r="O97" s="2"/>
    </row>
    <row r="98" spans="2:15" ht="28.5" customHeight="1" x14ac:dyDescent="0.25">
      <c r="B98" s="2"/>
      <c r="D98" s="359" t="s">
        <v>36</v>
      </c>
      <c r="E98" s="359"/>
      <c r="F98" s="344" t="s">
        <v>707</v>
      </c>
      <c r="G98" s="344"/>
      <c r="H98" s="344"/>
      <c r="I98" s="344"/>
      <c r="J98" s="344"/>
      <c r="K98" s="344"/>
      <c r="L98" s="344"/>
      <c r="M98" s="344"/>
      <c r="O98" s="2"/>
    </row>
    <row r="99" spans="2:15" ht="3.95" customHeight="1" x14ac:dyDescent="0.25">
      <c r="B99" s="2"/>
      <c r="O99" s="2"/>
    </row>
    <row r="100" spans="2:15" ht="58.5" customHeight="1" x14ac:dyDescent="0.25">
      <c r="B100" s="2"/>
      <c r="D100" s="338" t="s">
        <v>62</v>
      </c>
      <c r="E100" s="339"/>
      <c r="F100" s="340" t="s">
        <v>706</v>
      </c>
      <c r="G100" s="341"/>
      <c r="H100" s="341"/>
      <c r="I100" s="341"/>
      <c r="J100" s="341"/>
      <c r="K100" s="341"/>
      <c r="L100" s="341"/>
      <c r="M100" s="342"/>
      <c r="O100" s="2"/>
    </row>
    <row r="101" spans="2:15" ht="3.95" customHeight="1" x14ac:dyDescent="0.25">
      <c r="B101" s="2"/>
      <c r="O101" s="2"/>
    </row>
    <row r="102" spans="2:15" ht="19.5" customHeight="1" x14ac:dyDescent="0.25">
      <c r="B102" s="2"/>
      <c r="D102" s="329" t="s">
        <v>64</v>
      </c>
      <c r="E102" s="330"/>
      <c r="F102" s="19" t="s">
        <v>65</v>
      </c>
      <c r="G102" s="4" t="s">
        <v>2</v>
      </c>
      <c r="K102" s="20"/>
      <c r="O102" s="2"/>
    </row>
    <row r="103" spans="2:15" ht="19.5" customHeight="1" x14ac:dyDescent="0.25">
      <c r="B103" s="2"/>
      <c r="D103" s="331"/>
      <c r="E103" s="332"/>
      <c r="F103" s="19" t="s">
        <v>66</v>
      </c>
      <c r="G103" s="4"/>
      <c r="K103" s="21"/>
      <c r="O103" s="2"/>
    </row>
    <row r="104" spans="2:15" ht="27.75" customHeight="1" x14ac:dyDescent="0.25">
      <c r="B104" s="2"/>
      <c r="D104" s="331"/>
      <c r="E104" s="332"/>
      <c r="F104" s="19" t="s">
        <v>67</v>
      </c>
      <c r="G104" s="333"/>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Director(a) Nutrición</v>
      </c>
      <c r="H108" s="334"/>
      <c r="I108" s="334"/>
      <c r="J108" s="334"/>
      <c r="K108" s="334"/>
      <c r="L108" s="334"/>
      <c r="M108" s="335"/>
      <c r="O108" s="2"/>
    </row>
    <row r="109" spans="2:15" ht="17.25" customHeight="1" x14ac:dyDescent="0.25">
      <c r="B109" s="2"/>
      <c r="D109" s="331"/>
      <c r="E109" s="332"/>
      <c r="F109" s="19" t="s">
        <v>2042</v>
      </c>
      <c r="G109" s="333" t="str">
        <f>+IF(M23="Si","Coordinador(a) Planeación y Sistemas","")</f>
        <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720" priority="34">
      <formula>+IF($F$43="no",1,0)</formula>
    </cfRule>
  </conditionalFormatting>
  <conditionalFormatting sqref="F32:M33">
    <cfRule type="expression" dxfId="2719" priority="33">
      <formula>+IF($Q$30="NA",1,0)</formula>
    </cfRule>
  </conditionalFormatting>
  <conditionalFormatting sqref="F33:M33">
    <cfRule type="expression" dxfId="2718" priority="32">
      <formula>+IF($Q$33=0,1,0)</formula>
    </cfRule>
  </conditionalFormatting>
  <conditionalFormatting sqref="F47:M47">
    <cfRule type="expression" dxfId="2717" priority="31">
      <formula>+IF($Q$47=0,1,0)</formula>
    </cfRule>
  </conditionalFormatting>
  <conditionalFormatting sqref="F73:G73">
    <cfRule type="cellIs" dxfId="2716" priority="17" operator="equal">
      <formula>"optimo"</formula>
    </cfRule>
    <cfRule type="cellIs" dxfId="2715" priority="18" operator="equal">
      <formula>"critico"</formula>
    </cfRule>
  </conditionalFormatting>
  <conditionalFormatting sqref="H73:I73">
    <cfRule type="cellIs" dxfId="2714" priority="15" operator="equal">
      <formula>"Adecuado"</formula>
    </cfRule>
    <cfRule type="cellIs" dxfId="2713" priority="16" operator="equal">
      <formula>"en riesgo"</formula>
    </cfRule>
  </conditionalFormatting>
  <conditionalFormatting sqref="J73:K73">
    <cfRule type="cellIs" dxfId="2712" priority="13" operator="equal">
      <formula>"Adecuado"</formula>
    </cfRule>
    <cfRule type="cellIs" dxfId="2711" priority="14" operator="equal">
      <formula>"en riesgo"</formula>
    </cfRule>
  </conditionalFormatting>
  <conditionalFormatting sqref="L73:M73">
    <cfRule type="cellIs" dxfId="2710" priority="11" operator="equal">
      <formula>"optimo"</formula>
    </cfRule>
    <cfRule type="cellIs" dxfId="2709" priority="12" operator="equal">
      <formula>"critico"</formula>
    </cfRule>
  </conditionalFormatting>
  <conditionalFormatting sqref="F75:M79 F81:M86 F80 M80">
    <cfRule type="expression" dxfId="2708" priority="10">
      <formula>+IF($AK75=0,1)</formula>
    </cfRule>
  </conditionalFormatting>
  <conditionalFormatting sqref="F103:G104">
    <cfRule type="expression" dxfId="2707" priority="9">
      <formula>+IF($G$102="No",1,0)</formula>
    </cfRule>
  </conditionalFormatting>
  <conditionalFormatting sqref="F51">
    <cfRule type="expression" dxfId="2706" priority="8">
      <formula>+IF($F$43="no",1,0)</formula>
    </cfRule>
  </conditionalFormatting>
  <conditionalFormatting sqref="I51">
    <cfRule type="expression" dxfId="2705" priority="7">
      <formula>+IF($F$51="no",1,0)</formula>
    </cfRule>
  </conditionalFormatting>
  <conditionalFormatting sqref="G80:L80">
    <cfRule type="expression" dxfId="2704" priority="1">
      <formula>+IF($AK80=0,1)</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8">
    <tabColor rgb="FF0070C0"/>
  </sheetPr>
  <dimension ref="B1:AV113"/>
  <sheetViews>
    <sheetView topLeftCell="A70" zoomScaleNormal="100" workbookViewId="0">
      <selection activeCell="J80" sqref="J80:K8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191</v>
      </c>
      <c r="O10" s="2"/>
    </row>
    <row r="11" spans="2:24" ht="3.95" customHeight="1" x14ac:dyDescent="0.25">
      <c r="B11" s="2"/>
      <c r="D11" s="6"/>
      <c r="O11" s="2"/>
    </row>
    <row r="12" spans="2:24" ht="36" customHeight="1" x14ac:dyDescent="0.25">
      <c r="B12" s="2"/>
      <c r="D12" s="338" t="s">
        <v>5</v>
      </c>
      <c r="E12" s="339"/>
      <c r="F12" s="340" t="s">
        <v>1583</v>
      </c>
      <c r="G12" s="341"/>
      <c r="H12" s="341"/>
      <c r="I12" s="341"/>
      <c r="J12" s="341"/>
      <c r="K12" s="341"/>
      <c r="L12" s="341"/>
      <c r="M12" s="342"/>
      <c r="O12" s="2"/>
      <c r="W12" s="3" t="str">
        <f>+F23</f>
        <v>Semestral</v>
      </c>
      <c r="X12" s="3" t="str">
        <f>+F71</f>
        <v>Junio</v>
      </c>
    </row>
    <row r="13" spans="2:24" ht="3.95" customHeight="1" x14ac:dyDescent="0.25">
      <c r="B13" s="2"/>
      <c r="O13" s="2"/>
    </row>
    <row r="14" spans="2:24" ht="36" customHeight="1" x14ac:dyDescent="0.25">
      <c r="B14" s="2"/>
      <c r="D14" s="338" t="s">
        <v>6</v>
      </c>
      <c r="E14" s="339"/>
      <c r="F14" s="340" t="s">
        <v>679</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17" t="s">
        <v>512</v>
      </c>
      <c r="G22" s="337" t="s">
        <v>9</v>
      </c>
      <c r="H22" s="337"/>
      <c r="I22" s="17">
        <v>0.8</v>
      </c>
      <c r="K22" s="337" t="s">
        <v>10</v>
      </c>
      <c r="L22" s="337"/>
      <c r="M22" s="9" t="s">
        <v>496</v>
      </c>
      <c r="O22" s="2"/>
    </row>
    <row r="23" spans="2:17" ht="19.5" customHeight="1" x14ac:dyDescent="0.25">
      <c r="B23" s="2"/>
      <c r="D23" s="337" t="s">
        <v>11</v>
      </c>
      <c r="E23" s="337"/>
      <c r="F23" s="4" t="s">
        <v>104</v>
      </c>
      <c r="G23" s="337" t="s">
        <v>12</v>
      </c>
      <c r="H23" s="337"/>
      <c r="I23" s="4" t="s">
        <v>497</v>
      </c>
      <c r="K23" s="337" t="s">
        <v>13</v>
      </c>
      <c r="L23" s="337"/>
      <c r="M23" s="9" t="s">
        <v>496</v>
      </c>
      <c r="O23" s="2"/>
    </row>
    <row r="24" spans="2:17" ht="20.100000000000001" customHeight="1" x14ac:dyDescent="0.25">
      <c r="B24" s="2"/>
      <c r="D24" s="337" t="s">
        <v>14</v>
      </c>
      <c r="E24" s="337"/>
      <c r="F24" s="4" t="s">
        <v>498</v>
      </c>
      <c r="G24" s="337" t="s">
        <v>15</v>
      </c>
      <c r="H24" s="337"/>
      <c r="I24" s="4" t="s">
        <v>103</v>
      </c>
      <c r="K24" s="337" t="s">
        <v>16</v>
      </c>
      <c r="L24" s="337"/>
      <c r="M24" s="9" t="s">
        <v>496</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489</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NA</v>
      </c>
    </row>
    <row r="31" spans="2:17" ht="24" customHeight="1" x14ac:dyDescent="0.25">
      <c r="B31" s="2"/>
      <c r="D31" s="347"/>
      <c r="E31" s="348"/>
      <c r="F31" s="4" t="s">
        <v>176</v>
      </c>
      <c r="G31" s="340" t="s">
        <v>177</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500</v>
      </c>
      <c r="G33" s="340"/>
      <c r="H33" s="341"/>
      <c r="I33" s="341"/>
      <c r="J33" s="341"/>
      <c r="K33" s="341"/>
      <c r="L33" s="341"/>
      <c r="M33" s="342"/>
      <c r="O33" s="2"/>
      <c r="Q33" s="3" t="str">
        <f>+IFERROR(IF(VLOOKUP(G33,base!$A$26:$C$40,3,FALSE)=F31,1,0),"")</f>
        <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1714</v>
      </c>
      <c r="G35" s="340" t="s">
        <v>1590</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2</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500</v>
      </c>
      <c r="G45" s="340" t="s">
        <v>512</v>
      </c>
      <c r="H45" s="341"/>
      <c r="I45" s="341"/>
      <c r="J45" s="341"/>
      <c r="K45" s="341"/>
      <c r="L45" s="341"/>
      <c r="M45" s="342"/>
      <c r="O45" s="2"/>
      <c r="Q45" s="3" t="str">
        <f>+IFERROR(VLOOKUP(G45,base!$A$41:$C$45,3,FALSE),"")</f>
        <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500</v>
      </c>
      <c r="G47" s="340" t="s">
        <v>512</v>
      </c>
      <c r="H47" s="341"/>
      <c r="I47" s="341"/>
      <c r="J47" s="341"/>
      <c r="K47" s="341"/>
      <c r="L47" s="341"/>
      <c r="M47" s="342"/>
      <c r="O47" s="2"/>
      <c r="Q47" s="3" t="e">
        <f>+IF(VLOOKUP(G47,base!$A$46:$C$66,3,FALSE)=F45,1,0)</f>
        <v>#N/A</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535</v>
      </c>
      <c r="G49" s="340" t="s">
        <v>30</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8"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3.25" customHeight="1" x14ac:dyDescent="0.25">
      <c r="B59" s="2"/>
      <c r="D59" s="337" t="s">
        <v>34</v>
      </c>
      <c r="E59" s="337"/>
      <c r="F59" s="344" t="s">
        <v>680</v>
      </c>
      <c r="G59" s="344"/>
      <c r="H59" s="344"/>
      <c r="I59" s="344"/>
      <c r="J59" s="344"/>
      <c r="K59" s="344"/>
      <c r="L59" s="344"/>
      <c r="M59" s="344"/>
      <c r="O59" s="2"/>
    </row>
    <row r="60" spans="2:15" ht="27" customHeight="1" x14ac:dyDescent="0.25">
      <c r="B60" s="2"/>
      <c r="D60" s="359" t="s">
        <v>35</v>
      </c>
      <c r="E60" s="359"/>
      <c r="F60" s="344" t="s">
        <v>681</v>
      </c>
      <c r="G60" s="344"/>
      <c r="H60" s="344"/>
      <c r="I60" s="344"/>
      <c r="J60" s="344"/>
      <c r="K60" s="344"/>
      <c r="L60" s="344"/>
      <c r="M60" s="344"/>
      <c r="O60" s="2"/>
    </row>
    <row r="61" spans="2:15" ht="27" customHeight="1" x14ac:dyDescent="0.25">
      <c r="B61" s="2"/>
      <c r="D61" s="359" t="s">
        <v>36</v>
      </c>
      <c r="E61" s="359"/>
      <c r="F61" s="344" t="s">
        <v>682</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6</v>
      </c>
    </row>
    <row r="70" spans="2:37" ht="3.95" customHeight="1" x14ac:dyDescent="0.25">
      <c r="B70" s="2"/>
      <c r="D70" s="7"/>
      <c r="E70" s="7"/>
      <c r="O70" s="2"/>
    </row>
    <row r="71" spans="2:37" ht="18.75" customHeight="1" x14ac:dyDescent="0.25">
      <c r="B71" s="2"/>
      <c r="D71" s="343" t="s">
        <v>39</v>
      </c>
      <c r="E71" s="343"/>
      <c r="F71" s="4" t="s">
        <v>50</v>
      </c>
      <c r="G71" s="3">
        <v>6</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60" t="s">
        <v>50</v>
      </c>
      <c r="E80" s="360"/>
      <c r="F80" s="16" t="s">
        <v>500</v>
      </c>
      <c r="G80" s="16">
        <v>0.59899999999999998</v>
      </c>
      <c r="H80" s="16">
        <v>0.6</v>
      </c>
      <c r="I80" s="16">
        <v>0.69899999999999995</v>
      </c>
      <c r="J80" s="16">
        <v>0.7</v>
      </c>
      <c r="K80" s="16">
        <v>0.79900000000000004</v>
      </c>
      <c r="L80" s="16">
        <v>0.8</v>
      </c>
      <c r="M80" s="16" t="s">
        <v>500</v>
      </c>
      <c r="O80" s="2"/>
      <c r="AE80" s="3" t="s">
        <v>50</v>
      </c>
      <c r="AF80" s="3">
        <v>6</v>
      </c>
      <c r="AG80" s="3">
        <f t="shared" si="0"/>
        <v>1</v>
      </c>
      <c r="AH80" s="3">
        <f>+IF(AG80=0,0,IF(AG80=1,(SUM($AG$75:AG80)-1),1))</f>
        <v>0</v>
      </c>
      <c r="AI80" s="3">
        <f t="shared" si="1"/>
        <v>0</v>
      </c>
      <c r="AJ80" s="3">
        <f t="shared" si="2"/>
        <v>1</v>
      </c>
      <c r="AK80" s="3">
        <f t="shared" si="3"/>
        <v>1</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1</v>
      </c>
      <c r="AI81" s="3">
        <f t="shared" si="1"/>
        <v>0</v>
      </c>
      <c r="AJ81" s="3">
        <f t="shared" si="2"/>
        <v>0</v>
      </c>
      <c r="AK81" s="3">
        <f t="shared" si="3"/>
        <v>0</v>
      </c>
    </row>
    <row r="82" spans="2:37" x14ac:dyDescent="0.25">
      <c r="B82" s="2"/>
      <c r="D82" s="360" t="s">
        <v>54</v>
      </c>
      <c r="E82" s="360"/>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2</v>
      </c>
      <c r="AI82" s="3">
        <f t="shared" si="1"/>
        <v>0</v>
      </c>
      <c r="AJ82" s="3">
        <f t="shared" si="2"/>
        <v>0</v>
      </c>
      <c r="AK82" s="3">
        <f t="shared" si="3"/>
        <v>0</v>
      </c>
    </row>
    <row r="83" spans="2:37" x14ac:dyDescent="0.25">
      <c r="B83" s="2"/>
      <c r="D83" s="360" t="s">
        <v>55</v>
      </c>
      <c r="E83" s="360"/>
      <c r="F83" s="16" t="s">
        <v>500</v>
      </c>
      <c r="G83" s="16" t="s">
        <v>500</v>
      </c>
      <c r="H83" s="16" t="s">
        <v>500</v>
      </c>
      <c r="I83" s="16" t="s">
        <v>500</v>
      </c>
      <c r="J83" s="16" t="s">
        <v>500</v>
      </c>
      <c r="K83" s="16" t="s">
        <v>500</v>
      </c>
      <c r="L83" s="16" t="s">
        <v>500</v>
      </c>
      <c r="M83" s="16" t="s">
        <v>500</v>
      </c>
      <c r="O83" s="2"/>
      <c r="AE83" s="3" t="s">
        <v>55</v>
      </c>
      <c r="AF83" s="3">
        <v>9</v>
      </c>
      <c r="AG83" s="3">
        <f t="shared" si="0"/>
        <v>1</v>
      </c>
      <c r="AH83" s="3">
        <f>+IF(AG83=0,0,IF(AG83=1,(SUM($AG$75:AG83)-1),1))</f>
        <v>3</v>
      </c>
      <c r="AI83" s="3">
        <f t="shared" si="1"/>
        <v>0</v>
      </c>
      <c r="AJ83" s="3">
        <f t="shared" si="2"/>
        <v>0</v>
      </c>
      <c r="AK83" s="3">
        <f t="shared" si="3"/>
        <v>0</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4</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5</v>
      </c>
      <c r="AI85" s="3">
        <f t="shared" si="1"/>
        <v>0</v>
      </c>
      <c r="AJ85" s="3">
        <f t="shared" si="2"/>
        <v>0</v>
      </c>
      <c r="AK85" s="3">
        <f t="shared" si="3"/>
        <v>0</v>
      </c>
    </row>
    <row r="86" spans="2:37" x14ac:dyDescent="0.25">
      <c r="B86" s="2"/>
      <c r="D86" s="360" t="s">
        <v>58</v>
      </c>
      <c r="E86" s="360"/>
      <c r="F86" s="16" t="s">
        <v>500</v>
      </c>
      <c r="G86" s="16">
        <v>0.59899999999999998</v>
      </c>
      <c r="H86" s="16">
        <v>0.6</v>
      </c>
      <c r="I86" s="16">
        <v>0.69899999999999995</v>
      </c>
      <c r="J86" s="16">
        <v>0.7</v>
      </c>
      <c r="K86" s="16">
        <v>0.79900000000000004</v>
      </c>
      <c r="L86" s="16">
        <v>0.8</v>
      </c>
      <c r="M86" s="16" t="s">
        <v>500</v>
      </c>
      <c r="O86" s="2"/>
      <c r="AE86" s="3" t="s">
        <v>58</v>
      </c>
      <c r="AF86" s="65">
        <v>12</v>
      </c>
      <c r="AG86" s="3">
        <f t="shared" si="0"/>
        <v>1</v>
      </c>
      <c r="AH86" s="3">
        <f>+IF(AG86=0,0,IF(AG86=1,(SUM($AG$75:AG86)-1),1))</f>
        <v>6</v>
      </c>
      <c r="AI86" s="3">
        <f t="shared" si="1"/>
        <v>1</v>
      </c>
      <c r="AJ86" s="3">
        <f t="shared" si="2"/>
        <v>0</v>
      </c>
      <c r="AK86" s="3">
        <f t="shared" si="3"/>
        <v>1</v>
      </c>
    </row>
    <row r="87" spans="2:37" ht="3.75" customHeight="1" x14ac:dyDescent="0.25">
      <c r="B87" s="2"/>
      <c r="O87" s="2"/>
    </row>
    <row r="88" spans="2:37" ht="219.75" customHeight="1" x14ac:dyDescent="0.25">
      <c r="B88" s="2"/>
      <c r="D88" s="338" t="s">
        <v>59</v>
      </c>
      <c r="E88" s="339"/>
      <c r="F88" s="420" t="s">
        <v>709</v>
      </c>
      <c r="G88" s="423"/>
      <c r="H88" s="423"/>
      <c r="I88" s="423"/>
      <c r="J88" s="423"/>
      <c r="K88" s="423"/>
      <c r="L88" s="423"/>
      <c r="M88" s="424"/>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28.5" customHeight="1" x14ac:dyDescent="0.25">
      <c r="B97" s="2"/>
      <c r="D97" s="359" t="s">
        <v>35</v>
      </c>
      <c r="E97" s="359"/>
      <c r="F97" s="344" t="s">
        <v>509</v>
      </c>
      <c r="G97" s="344"/>
      <c r="H97" s="344"/>
      <c r="I97" s="344"/>
      <c r="J97" s="344"/>
      <c r="K97" s="344"/>
      <c r="L97" s="344"/>
      <c r="M97" s="344"/>
      <c r="O97" s="2"/>
    </row>
    <row r="98" spans="2:15" ht="28.5" customHeight="1" x14ac:dyDescent="0.25">
      <c r="B98" s="2"/>
      <c r="D98" s="359" t="s">
        <v>36</v>
      </c>
      <c r="E98" s="359"/>
      <c r="F98" s="344" t="s">
        <v>509</v>
      </c>
      <c r="G98" s="344"/>
      <c r="H98" s="344"/>
      <c r="I98" s="344"/>
      <c r="J98" s="344"/>
      <c r="K98" s="344"/>
      <c r="L98" s="344"/>
      <c r="M98" s="344"/>
      <c r="O98" s="2"/>
    </row>
    <row r="99" spans="2:15" ht="3.95" customHeight="1" x14ac:dyDescent="0.25">
      <c r="B99" s="2"/>
      <c r="O99" s="2"/>
    </row>
    <row r="100" spans="2:15" ht="252" customHeight="1" x14ac:dyDescent="0.25">
      <c r="B100" s="2"/>
      <c r="D100" s="338" t="s">
        <v>62</v>
      </c>
      <c r="E100" s="339"/>
      <c r="F100" s="340" t="s">
        <v>650</v>
      </c>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2</v>
      </c>
      <c r="K102" s="20"/>
      <c r="O102" s="2"/>
    </row>
    <row r="103" spans="2:15" ht="19.5" customHeight="1" x14ac:dyDescent="0.25">
      <c r="B103" s="2"/>
      <c r="D103" s="331"/>
      <c r="E103" s="332"/>
      <c r="F103" s="19" t="s">
        <v>66</v>
      </c>
      <c r="G103" s="4"/>
      <c r="K103" s="21"/>
      <c r="O103" s="2"/>
    </row>
    <row r="104" spans="2:15" ht="27.75" customHeight="1" x14ac:dyDescent="0.25">
      <c r="B104" s="2"/>
      <c r="D104" s="331"/>
      <c r="E104" s="332"/>
      <c r="F104" s="19" t="s">
        <v>67</v>
      </c>
      <c r="G104" s="333"/>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Director(a) Nutrición</v>
      </c>
      <c r="H108" s="334"/>
      <c r="I108" s="334"/>
      <c r="J108" s="334"/>
      <c r="K108" s="334"/>
      <c r="L108" s="334"/>
      <c r="M108" s="335"/>
      <c r="O108" s="2"/>
    </row>
    <row r="109" spans="2:15" ht="17.25" customHeight="1" x14ac:dyDescent="0.25">
      <c r="B109" s="2"/>
      <c r="D109" s="331"/>
      <c r="E109" s="332"/>
      <c r="F109" s="19" t="s">
        <v>2042</v>
      </c>
      <c r="G109" s="333" t="str">
        <f>+IF(M23="Si","Coordinador(a) Planeación y Sistemas","")</f>
        <v>Coordinador(a) Planeación y Sistemas</v>
      </c>
      <c r="H109" s="334"/>
      <c r="I109" s="334"/>
      <c r="J109" s="334"/>
      <c r="K109" s="334"/>
      <c r="L109" s="334"/>
      <c r="M109" s="335"/>
      <c r="O109" s="2"/>
    </row>
    <row r="110" spans="2:15" ht="17.25" customHeight="1" x14ac:dyDescent="0.25">
      <c r="B110" s="2"/>
      <c r="D110" s="331"/>
      <c r="E110" s="332"/>
      <c r="F110" s="19" t="s">
        <v>2043</v>
      </c>
      <c r="G110" s="333" t="str">
        <f>+IF(M24="Si","Coordinador(a) Centro Zonal","")</f>
        <v>Coordinador(a) Centro Zonal</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703" priority="31">
      <formula>+IF($F$43="no",1,0)</formula>
    </cfRule>
  </conditionalFormatting>
  <conditionalFormatting sqref="F32:M33">
    <cfRule type="expression" dxfId="2702" priority="30">
      <formula>+IF($Q$30="NA",1,0)</formula>
    </cfRule>
  </conditionalFormatting>
  <conditionalFormatting sqref="F33:M33">
    <cfRule type="expression" dxfId="2701" priority="29">
      <formula>+IF($Q$33=0,1,0)</formula>
    </cfRule>
  </conditionalFormatting>
  <conditionalFormatting sqref="F47:M47">
    <cfRule type="expression" dxfId="2700" priority="28">
      <formula>+IF($Q$47=0,1,0)</formula>
    </cfRule>
  </conditionalFormatting>
  <conditionalFormatting sqref="F73:G73">
    <cfRule type="cellIs" dxfId="2699" priority="15" operator="equal">
      <formula>"optimo"</formula>
    </cfRule>
    <cfRule type="cellIs" dxfId="2698" priority="16" operator="equal">
      <formula>"critico"</formula>
    </cfRule>
  </conditionalFormatting>
  <conditionalFormatting sqref="H73:I73">
    <cfRule type="cellIs" dxfId="2697" priority="13" operator="equal">
      <formula>"Adecuado"</formula>
    </cfRule>
    <cfRule type="cellIs" dxfId="2696" priority="14" operator="equal">
      <formula>"en riesgo"</formula>
    </cfRule>
  </conditionalFormatting>
  <conditionalFormatting sqref="J73:K73">
    <cfRule type="cellIs" dxfId="2695" priority="11" operator="equal">
      <formula>"Adecuado"</formula>
    </cfRule>
    <cfRule type="cellIs" dxfId="2694" priority="12" operator="equal">
      <formula>"en riesgo"</formula>
    </cfRule>
  </conditionalFormatting>
  <conditionalFormatting sqref="L73:M73">
    <cfRule type="cellIs" dxfId="2693" priority="9" operator="equal">
      <formula>"optimo"</formula>
    </cfRule>
    <cfRule type="cellIs" dxfId="2692" priority="10" operator="equal">
      <formula>"critico"</formula>
    </cfRule>
  </conditionalFormatting>
  <conditionalFormatting sqref="F75:M86">
    <cfRule type="expression" dxfId="2691" priority="8">
      <formula>+IF($AK75=0,1)</formula>
    </cfRule>
  </conditionalFormatting>
  <conditionalFormatting sqref="F103:G104">
    <cfRule type="expression" dxfId="2690" priority="7">
      <formula>+IF($G$102="No",1,0)</formula>
    </cfRule>
  </conditionalFormatting>
  <conditionalFormatting sqref="F51">
    <cfRule type="expression" dxfId="2689" priority="6">
      <formula>+IF($F$43="no",1,0)</formula>
    </cfRule>
  </conditionalFormatting>
  <conditionalFormatting sqref="I51">
    <cfRule type="expression" dxfId="2688" priority="5">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9">
    <tabColor rgb="FF0070C0"/>
  </sheetPr>
  <dimension ref="A1:AV113"/>
  <sheetViews>
    <sheetView topLeftCell="A58" zoomScaleNormal="100" workbookViewId="0">
      <selection activeCell="J86" sqref="J86:K86"/>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1:24" ht="3.95" customHeight="1" x14ac:dyDescent="0.25">
      <c r="A1" s="365"/>
      <c r="B1" s="366"/>
      <c r="C1" s="366"/>
      <c r="D1" s="366"/>
      <c r="E1" s="366"/>
      <c r="F1" s="366"/>
      <c r="G1" s="367"/>
    </row>
    <row r="2" spans="1:24" ht="3.95" customHeight="1" x14ac:dyDescent="0.25">
      <c r="B2" s="2"/>
      <c r="C2" s="2"/>
      <c r="D2" s="2"/>
      <c r="E2" s="2"/>
      <c r="F2" s="2"/>
      <c r="G2" s="2"/>
      <c r="H2" s="2"/>
      <c r="I2" s="2"/>
      <c r="J2" s="2"/>
      <c r="K2" s="2"/>
      <c r="L2" s="2"/>
      <c r="M2" s="2"/>
      <c r="N2" s="2"/>
      <c r="O2" s="2"/>
    </row>
    <row r="3" spans="1:24" ht="20.25" customHeight="1" x14ac:dyDescent="0.25">
      <c r="B3" s="2"/>
      <c r="C3" s="336" t="s">
        <v>0</v>
      </c>
      <c r="D3" s="336"/>
      <c r="E3" s="336"/>
      <c r="F3" s="336"/>
      <c r="G3" s="336"/>
      <c r="H3" s="336"/>
      <c r="I3" s="336"/>
      <c r="J3" s="336"/>
      <c r="K3" s="336"/>
      <c r="L3" s="336"/>
      <c r="M3" s="336"/>
      <c r="N3" s="336"/>
      <c r="O3" s="2"/>
    </row>
    <row r="4" spans="1:24" ht="20.25" customHeight="1" x14ac:dyDescent="0.25">
      <c r="B4" s="2"/>
      <c r="C4" s="336"/>
      <c r="D4" s="336"/>
      <c r="E4" s="336"/>
      <c r="F4" s="336"/>
      <c r="G4" s="336"/>
      <c r="H4" s="336"/>
      <c r="I4" s="336"/>
      <c r="J4" s="336"/>
      <c r="K4" s="336"/>
      <c r="L4" s="336"/>
      <c r="M4" s="336"/>
      <c r="N4" s="336"/>
      <c r="O4" s="2"/>
    </row>
    <row r="5" spans="1:24" ht="20.25" customHeight="1" x14ac:dyDescent="0.25">
      <c r="B5" s="2"/>
      <c r="C5" s="336"/>
      <c r="D5" s="336"/>
      <c r="E5" s="336"/>
      <c r="F5" s="336"/>
      <c r="G5" s="336"/>
      <c r="H5" s="336"/>
      <c r="I5" s="336"/>
      <c r="J5" s="336"/>
      <c r="K5" s="336"/>
      <c r="L5" s="336"/>
      <c r="M5" s="336"/>
      <c r="N5" s="336"/>
      <c r="O5" s="2"/>
    </row>
    <row r="6" spans="1:24" ht="3" customHeight="1" x14ac:dyDescent="0.25">
      <c r="B6" s="2"/>
      <c r="C6" s="2"/>
      <c r="D6" s="2"/>
      <c r="E6" s="2"/>
      <c r="F6" s="2"/>
      <c r="G6" s="2"/>
      <c r="H6" s="2"/>
      <c r="I6" s="2"/>
      <c r="J6" s="2"/>
      <c r="K6" s="2"/>
      <c r="L6" s="2"/>
      <c r="M6" s="2"/>
      <c r="N6" s="2"/>
      <c r="O6" s="2"/>
    </row>
    <row r="7" spans="1:24" ht="3" customHeight="1" x14ac:dyDescent="0.25"/>
    <row r="8" spans="1:24" ht="3.95" customHeight="1" x14ac:dyDescent="0.25">
      <c r="B8" s="2"/>
      <c r="C8" s="2"/>
      <c r="D8" s="2"/>
      <c r="E8" s="2"/>
      <c r="F8" s="2"/>
      <c r="G8" s="2"/>
      <c r="H8" s="2"/>
      <c r="I8" s="2"/>
      <c r="J8" s="2"/>
      <c r="K8" s="2"/>
      <c r="L8" s="2"/>
      <c r="M8" s="2"/>
      <c r="N8" s="2"/>
      <c r="O8" s="2"/>
    </row>
    <row r="9" spans="1:24" ht="3.95" customHeight="1" x14ac:dyDescent="0.25">
      <c r="B9" s="2"/>
      <c r="O9" s="2"/>
    </row>
    <row r="10" spans="1:24" ht="15.75" customHeight="1" x14ac:dyDescent="0.25">
      <c r="B10" s="2"/>
      <c r="D10" s="337" t="s">
        <v>3</v>
      </c>
      <c r="E10" s="337"/>
      <c r="F10" s="4">
        <v>2015</v>
      </c>
      <c r="G10" s="5" t="s">
        <v>4</v>
      </c>
      <c r="H10" s="4" t="s">
        <v>192</v>
      </c>
      <c r="O10" s="2"/>
    </row>
    <row r="11" spans="1:24" ht="3.95" customHeight="1" x14ac:dyDescent="0.25">
      <c r="B11" s="2"/>
      <c r="D11" s="6"/>
      <c r="O11" s="2"/>
    </row>
    <row r="12" spans="1:24" ht="36" customHeight="1" x14ac:dyDescent="0.25">
      <c r="B12" s="2"/>
      <c r="D12" s="338" t="s">
        <v>5</v>
      </c>
      <c r="E12" s="339"/>
      <c r="F12" s="340" t="s">
        <v>193</v>
      </c>
      <c r="G12" s="341"/>
      <c r="H12" s="341"/>
      <c r="I12" s="341"/>
      <c r="J12" s="341"/>
      <c r="K12" s="341"/>
      <c r="L12" s="341"/>
      <c r="M12" s="342"/>
      <c r="O12" s="2"/>
      <c r="W12" s="3" t="str">
        <f>+F23</f>
        <v>Semestral</v>
      </c>
      <c r="X12" s="3" t="str">
        <f>+F71</f>
        <v>Junio</v>
      </c>
    </row>
    <row r="13" spans="1:24" ht="3.95" customHeight="1" x14ac:dyDescent="0.25">
      <c r="B13" s="2"/>
      <c r="O13" s="2"/>
    </row>
    <row r="14" spans="1:24" ht="36" customHeight="1" x14ac:dyDescent="0.25">
      <c r="B14" s="2"/>
      <c r="D14" s="338" t="s">
        <v>6</v>
      </c>
      <c r="E14" s="339"/>
      <c r="F14" s="340" t="s">
        <v>675</v>
      </c>
      <c r="G14" s="341"/>
      <c r="H14" s="341"/>
      <c r="I14" s="341"/>
      <c r="J14" s="341"/>
      <c r="K14" s="341"/>
      <c r="L14" s="341"/>
      <c r="M14" s="342"/>
      <c r="O14" s="2"/>
    </row>
    <row r="15" spans="1:24" ht="3.95" customHeight="1" x14ac:dyDescent="0.25">
      <c r="B15" s="2"/>
      <c r="O15" s="2"/>
    </row>
    <row r="16" spans="1: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17">
        <v>0.7</v>
      </c>
      <c r="G22" s="337" t="s">
        <v>9</v>
      </c>
      <c r="H22" s="337"/>
      <c r="I22" s="17">
        <v>0.75</v>
      </c>
      <c r="K22" s="337" t="s">
        <v>10</v>
      </c>
      <c r="L22" s="337"/>
      <c r="M22" s="9" t="s">
        <v>496</v>
      </c>
      <c r="O22" s="2"/>
    </row>
    <row r="23" spans="2:17" ht="19.5" customHeight="1" x14ac:dyDescent="0.25">
      <c r="B23" s="2"/>
      <c r="D23" s="337" t="s">
        <v>11</v>
      </c>
      <c r="E23" s="337"/>
      <c r="F23" s="4" t="s">
        <v>104</v>
      </c>
      <c r="G23" s="337" t="s">
        <v>12</v>
      </c>
      <c r="H23" s="337"/>
      <c r="I23" s="4" t="s">
        <v>497</v>
      </c>
      <c r="K23" s="337" t="s">
        <v>13</v>
      </c>
      <c r="L23" s="337"/>
      <c r="M23" s="9" t="s">
        <v>496</v>
      </c>
      <c r="O23" s="2"/>
    </row>
    <row r="24" spans="2:17" ht="20.100000000000001" customHeight="1" x14ac:dyDescent="0.25">
      <c r="B24" s="2"/>
      <c r="D24" s="337" t="s">
        <v>14</v>
      </c>
      <c r="E24" s="337"/>
      <c r="F24" s="4" t="s">
        <v>498</v>
      </c>
      <c r="G24" s="337" t="s">
        <v>15</v>
      </c>
      <c r="H24" s="337"/>
      <c r="I24" s="4" t="s">
        <v>103</v>
      </c>
      <c r="K24" s="337" t="s">
        <v>16</v>
      </c>
      <c r="L24" s="337"/>
      <c r="M24" s="9" t="s">
        <v>496</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489</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NA</v>
      </c>
    </row>
    <row r="31" spans="2:17" ht="24" customHeight="1" x14ac:dyDescent="0.25">
      <c r="B31" s="2"/>
      <c r="D31" s="347"/>
      <c r="E31" s="348"/>
      <c r="F31" s="4" t="s">
        <v>176</v>
      </c>
      <c r="G31" s="340" t="s">
        <v>177</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500</v>
      </c>
      <c r="G33" s="340"/>
      <c r="H33" s="341"/>
      <c r="I33" s="341"/>
      <c r="J33" s="341"/>
      <c r="K33" s="341"/>
      <c r="L33" s="341"/>
      <c r="M33" s="342"/>
      <c r="O33" s="2"/>
      <c r="Q33" s="3" t="str">
        <f>+IFERROR(IF(VLOOKUP(G33,base!$A$26:$C$40,3,FALSE)=F31,1,0),"")</f>
        <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1714</v>
      </c>
      <c r="G35" s="340" t="s">
        <v>1590</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2</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500</v>
      </c>
      <c r="G45" s="340" t="s">
        <v>512</v>
      </c>
      <c r="H45" s="341"/>
      <c r="I45" s="341"/>
      <c r="J45" s="341"/>
      <c r="K45" s="341"/>
      <c r="L45" s="341"/>
      <c r="M45" s="342"/>
      <c r="O45" s="2"/>
      <c r="Q45" s="3" t="str">
        <f>+IFERROR(VLOOKUP(G45,base!$A$41:$C$45,3,FALSE),"")</f>
        <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500</v>
      </c>
      <c r="G47" s="340" t="s">
        <v>512</v>
      </c>
      <c r="H47" s="341"/>
      <c r="I47" s="341"/>
      <c r="J47" s="341"/>
      <c r="K47" s="341"/>
      <c r="L47" s="341"/>
      <c r="M47" s="342"/>
      <c r="O47" s="2"/>
      <c r="Q47" s="3" t="e">
        <f>+IF(VLOOKUP(G47,base!$A$46:$C$66,3,FALSE)=F45,1,0)</f>
        <v>#N/A</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535</v>
      </c>
      <c r="G49" s="340" t="s">
        <v>30</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8"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3.25" customHeight="1" x14ac:dyDescent="0.25">
      <c r="B59" s="2"/>
      <c r="D59" s="337" t="s">
        <v>34</v>
      </c>
      <c r="E59" s="337"/>
      <c r="F59" s="344" t="s">
        <v>676</v>
      </c>
      <c r="G59" s="344"/>
      <c r="H59" s="344"/>
      <c r="I59" s="344"/>
      <c r="J59" s="344"/>
      <c r="K59" s="344"/>
      <c r="L59" s="344"/>
      <c r="M59" s="344"/>
      <c r="O59" s="2"/>
    </row>
    <row r="60" spans="2:15" ht="27" customHeight="1" x14ac:dyDescent="0.25">
      <c r="B60" s="2"/>
      <c r="D60" s="359" t="s">
        <v>35</v>
      </c>
      <c r="E60" s="359"/>
      <c r="F60" s="344" t="s">
        <v>677</v>
      </c>
      <c r="G60" s="344"/>
      <c r="H60" s="344"/>
      <c r="I60" s="344"/>
      <c r="J60" s="344"/>
      <c r="K60" s="344"/>
      <c r="L60" s="344"/>
      <c r="M60" s="344"/>
      <c r="O60" s="2"/>
    </row>
    <row r="61" spans="2:15" ht="27" customHeight="1" x14ac:dyDescent="0.25">
      <c r="B61" s="2"/>
      <c r="D61" s="359" t="s">
        <v>36</v>
      </c>
      <c r="E61" s="359"/>
      <c r="F61" s="344" t="s">
        <v>678</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6</v>
      </c>
    </row>
    <row r="70" spans="2:37" ht="3.95" customHeight="1" x14ac:dyDescent="0.25">
      <c r="B70" s="2"/>
      <c r="D70" s="7"/>
      <c r="E70" s="7"/>
      <c r="O70" s="2"/>
    </row>
    <row r="71" spans="2:37" ht="18.75" customHeight="1" x14ac:dyDescent="0.25">
      <c r="B71" s="2"/>
      <c r="D71" s="343" t="s">
        <v>39</v>
      </c>
      <c r="E71" s="343"/>
      <c r="F71" s="4" t="s">
        <v>50</v>
      </c>
      <c r="G71" s="3">
        <v>6</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60" t="s">
        <v>50</v>
      </c>
      <c r="E80" s="360"/>
      <c r="F80" s="16" t="s">
        <v>500</v>
      </c>
      <c r="G80" s="16">
        <v>0.499</v>
      </c>
      <c r="H80" s="16">
        <v>0.5</v>
      </c>
      <c r="I80" s="16">
        <v>0.59899999999999998</v>
      </c>
      <c r="J80" s="16">
        <v>0.6</v>
      </c>
      <c r="K80" s="16">
        <v>0.69899999999999995</v>
      </c>
      <c r="L80" s="16">
        <v>0.7</v>
      </c>
      <c r="M80" s="16" t="s">
        <v>500</v>
      </c>
      <c r="O80" s="2"/>
      <c r="AE80" s="3" t="s">
        <v>50</v>
      </c>
      <c r="AF80" s="3">
        <v>6</v>
      </c>
      <c r="AG80" s="3">
        <f t="shared" si="0"/>
        <v>1</v>
      </c>
      <c r="AH80" s="3">
        <f>+IF(AG80=0,0,IF(AG80=1,(SUM($AG$75:AG80)-1),1))</f>
        <v>0</v>
      </c>
      <c r="AI80" s="3">
        <f t="shared" si="1"/>
        <v>0</v>
      </c>
      <c r="AJ80" s="3">
        <f t="shared" si="2"/>
        <v>1</v>
      </c>
      <c r="AK80" s="3">
        <f t="shared" si="3"/>
        <v>1</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1</v>
      </c>
      <c r="AI81" s="3">
        <f t="shared" si="1"/>
        <v>0</v>
      </c>
      <c r="AJ81" s="3">
        <f t="shared" si="2"/>
        <v>0</v>
      </c>
      <c r="AK81" s="3">
        <f t="shared" si="3"/>
        <v>0</v>
      </c>
    </row>
    <row r="82" spans="2:37" x14ac:dyDescent="0.25">
      <c r="B82" s="2"/>
      <c r="D82" s="360" t="s">
        <v>54</v>
      </c>
      <c r="E82" s="360"/>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2</v>
      </c>
      <c r="AI82" s="3">
        <f t="shared" si="1"/>
        <v>0</v>
      </c>
      <c r="AJ82" s="3">
        <f t="shared" si="2"/>
        <v>0</v>
      </c>
      <c r="AK82" s="3">
        <f t="shared" si="3"/>
        <v>0</v>
      </c>
    </row>
    <row r="83" spans="2:37" x14ac:dyDescent="0.25">
      <c r="B83" s="2"/>
      <c r="D83" s="360" t="s">
        <v>55</v>
      </c>
      <c r="E83" s="360"/>
      <c r="F83" s="16" t="s">
        <v>500</v>
      </c>
      <c r="G83" s="16" t="s">
        <v>500</v>
      </c>
      <c r="H83" s="16" t="s">
        <v>500</v>
      </c>
      <c r="I83" s="16" t="s">
        <v>500</v>
      </c>
      <c r="J83" s="16" t="s">
        <v>500</v>
      </c>
      <c r="K83" s="16" t="s">
        <v>500</v>
      </c>
      <c r="L83" s="16" t="s">
        <v>500</v>
      </c>
      <c r="M83" s="16" t="s">
        <v>500</v>
      </c>
      <c r="O83" s="2"/>
      <c r="AE83" s="3" t="s">
        <v>55</v>
      </c>
      <c r="AF83" s="3">
        <v>9</v>
      </c>
      <c r="AG83" s="3">
        <f t="shared" si="0"/>
        <v>1</v>
      </c>
      <c r="AH83" s="3">
        <f>+IF(AG83=0,0,IF(AG83=1,(SUM($AG$75:AG83)-1),1))</f>
        <v>3</v>
      </c>
      <c r="AI83" s="3">
        <f t="shared" si="1"/>
        <v>0</v>
      </c>
      <c r="AJ83" s="3">
        <f t="shared" si="2"/>
        <v>0</v>
      </c>
      <c r="AK83" s="3">
        <f t="shared" si="3"/>
        <v>0</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4</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5</v>
      </c>
      <c r="AI85" s="3">
        <f t="shared" si="1"/>
        <v>0</v>
      </c>
      <c r="AJ85" s="3">
        <f t="shared" si="2"/>
        <v>0</v>
      </c>
      <c r="AK85" s="3">
        <f t="shared" si="3"/>
        <v>0</v>
      </c>
    </row>
    <row r="86" spans="2:37" x14ac:dyDescent="0.25">
      <c r="B86" s="2"/>
      <c r="D86" s="360" t="s">
        <v>58</v>
      </c>
      <c r="E86" s="360"/>
      <c r="F86" s="16" t="s">
        <v>500</v>
      </c>
      <c r="G86" s="16">
        <v>0.59899999999999998</v>
      </c>
      <c r="H86" s="16">
        <v>0.6</v>
      </c>
      <c r="I86" s="16">
        <v>0.69899999999999995</v>
      </c>
      <c r="J86" s="16">
        <v>0.7</v>
      </c>
      <c r="K86" s="16">
        <v>0.749</v>
      </c>
      <c r="L86" s="16">
        <v>0.75</v>
      </c>
      <c r="M86" s="16" t="s">
        <v>500</v>
      </c>
      <c r="O86" s="2"/>
      <c r="AE86" s="3" t="s">
        <v>58</v>
      </c>
      <c r="AF86" s="65">
        <v>12</v>
      </c>
      <c r="AG86" s="3">
        <f t="shared" si="0"/>
        <v>1</v>
      </c>
      <c r="AH86" s="3">
        <f>+IF(AG86=0,0,IF(AG86=1,(SUM($AG$75:AG86)-1),1))</f>
        <v>6</v>
      </c>
      <c r="AI86" s="3">
        <f t="shared" si="1"/>
        <v>1</v>
      </c>
      <c r="AJ86" s="3">
        <f t="shared" si="2"/>
        <v>0</v>
      </c>
      <c r="AK86" s="3">
        <f t="shared" si="3"/>
        <v>1</v>
      </c>
    </row>
    <row r="87" spans="2:37" ht="3.75" customHeight="1" x14ac:dyDescent="0.25">
      <c r="B87" s="2"/>
      <c r="O87" s="2"/>
    </row>
    <row r="88" spans="2:37" ht="285.75" customHeight="1" x14ac:dyDescent="0.25">
      <c r="B88" s="2"/>
      <c r="D88" s="338" t="s">
        <v>59</v>
      </c>
      <c r="E88" s="339"/>
      <c r="F88" s="420" t="s">
        <v>661</v>
      </c>
      <c r="G88" s="423"/>
      <c r="H88" s="423"/>
      <c r="I88" s="423"/>
      <c r="J88" s="423"/>
      <c r="K88" s="423"/>
      <c r="L88" s="423"/>
      <c r="M88" s="424"/>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28.5" customHeight="1" x14ac:dyDescent="0.25">
      <c r="B97" s="2"/>
      <c r="D97" s="359" t="s">
        <v>35</v>
      </c>
      <c r="E97" s="359"/>
      <c r="F97" s="344" t="s">
        <v>509</v>
      </c>
      <c r="G97" s="344"/>
      <c r="H97" s="344"/>
      <c r="I97" s="344"/>
      <c r="J97" s="344"/>
      <c r="K97" s="344"/>
      <c r="L97" s="344"/>
      <c r="M97" s="344"/>
      <c r="O97" s="2"/>
    </row>
    <row r="98" spans="2:15" ht="28.5" customHeight="1" x14ac:dyDescent="0.25">
      <c r="B98" s="2"/>
      <c r="D98" s="359" t="s">
        <v>36</v>
      </c>
      <c r="E98" s="359"/>
      <c r="F98" s="344" t="s">
        <v>509</v>
      </c>
      <c r="G98" s="344"/>
      <c r="H98" s="344"/>
      <c r="I98" s="344"/>
      <c r="J98" s="344"/>
      <c r="K98" s="344"/>
      <c r="L98" s="344"/>
      <c r="M98" s="344"/>
      <c r="O98" s="2"/>
    </row>
    <row r="99" spans="2:15" ht="3.95" customHeight="1" x14ac:dyDescent="0.25">
      <c r="B99" s="2"/>
      <c r="O99" s="2"/>
    </row>
    <row r="100" spans="2:15" ht="144.75" customHeight="1" x14ac:dyDescent="0.25">
      <c r="B100" s="2"/>
      <c r="D100" s="338" t="s">
        <v>62</v>
      </c>
      <c r="E100" s="339"/>
      <c r="F100" s="340" t="s">
        <v>651</v>
      </c>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1</v>
      </c>
      <c r="K102" s="20"/>
      <c r="O102" s="2"/>
    </row>
    <row r="103" spans="2:15" ht="19.5" customHeight="1" x14ac:dyDescent="0.25">
      <c r="B103" s="2"/>
      <c r="D103" s="331"/>
      <c r="E103" s="332"/>
      <c r="F103" s="19" t="s">
        <v>66</v>
      </c>
      <c r="G103" s="4" t="s">
        <v>191</v>
      </c>
      <c r="K103" s="21"/>
      <c r="O103" s="2"/>
    </row>
    <row r="104" spans="2:15" ht="27.75" customHeight="1" x14ac:dyDescent="0.25">
      <c r="B104" s="2"/>
      <c r="D104" s="331"/>
      <c r="E104" s="332"/>
      <c r="F104" s="19" t="s">
        <v>67</v>
      </c>
      <c r="G104" s="365" t="s">
        <v>1754</v>
      </c>
      <c r="H104" s="366"/>
      <c r="I104" s="366"/>
      <c r="J104" s="366"/>
      <c r="K104" s="366"/>
      <c r="L104" s="366"/>
      <c r="M104" s="367"/>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65" t="str">
        <f>+VLOOKUP(H10,tablero!$P$5:$R$201,3,FALSE)</f>
        <v>Director(a) Nutrición</v>
      </c>
      <c r="H108" s="366"/>
      <c r="I108" s="366"/>
      <c r="J108" s="366"/>
      <c r="K108" s="366"/>
      <c r="L108" s="366"/>
      <c r="M108" s="367"/>
      <c r="O108" s="2"/>
    </row>
    <row r="109" spans="2:15" ht="17.25" customHeight="1" x14ac:dyDescent="0.25">
      <c r="B109" s="2"/>
      <c r="D109" s="331"/>
      <c r="E109" s="332"/>
      <c r="F109" s="19" t="s">
        <v>2042</v>
      </c>
      <c r="G109" s="365" t="str">
        <f>+IF(M23="Si","Coordinador(a) Planeación y Sistemas","")</f>
        <v>Coordinador(a) Planeación y Sistemas</v>
      </c>
      <c r="H109" s="366"/>
      <c r="I109" s="366"/>
      <c r="J109" s="366"/>
      <c r="K109" s="366"/>
      <c r="L109" s="366"/>
      <c r="M109" s="367"/>
      <c r="O109" s="2"/>
    </row>
    <row r="110" spans="2:15" ht="17.25" customHeight="1" x14ac:dyDescent="0.25">
      <c r="B110" s="2"/>
      <c r="D110" s="331"/>
      <c r="E110" s="332"/>
      <c r="F110" s="19" t="s">
        <v>2043</v>
      </c>
      <c r="G110" s="365" t="str">
        <f>+IF(M24="Si","Coordinador(a) Centro Zonal","")</f>
        <v>Coordinador(a) Centro Zonal</v>
      </c>
      <c r="H110" s="366"/>
      <c r="I110" s="366"/>
      <c r="J110" s="366"/>
      <c r="K110" s="366"/>
      <c r="L110" s="366"/>
      <c r="M110" s="367"/>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2">
    <mergeCell ref="A1:G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5:E85"/>
    <mergeCell ref="D86:E86"/>
    <mergeCell ref="D88:E88"/>
    <mergeCell ref="D75:E75"/>
    <mergeCell ref="D76:E76"/>
    <mergeCell ref="D80:E80"/>
    <mergeCell ref="D81:E81"/>
    <mergeCell ref="D82:E82"/>
    <mergeCell ref="D83:E83"/>
    <mergeCell ref="D84:E84"/>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687" priority="32">
      <formula>+IF($F$43="no",1,0)</formula>
    </cfRule>
  </conditionalFormatting>
  <conditionalFormatting sqref="F32:M33">
    <cfRule type="expression" dxfId="2686" priority="31">
      <formula>+IF($Q$30="NA",1,0)</formula>
    </cfRule>
  </conditionalFormatting>
  <conditionalFormatting sqref="F33:M33">
    <cfRule type="expression" dxfId="2685" priority="30">
      <formula>+IF($Q$33=0,1,0)</formula>
    </cfRule>
  </conditionalFormatting>
  <conditionalFormatting sqref="F47:M47">
    <cfRule type="expression" dxfId="2684" priority="29">
      <formula>+IF($Q$47=0,1,0)</formula>
    </cfRule>
  </conditionalFormatting>
  <conditionalFormatting sqref="F73:G73">
    <cfRule type="cellIs" dxfId="2683" priority="15" operator="equal">
      <formula>"optimo"</formula>
    </cfRule>
    <cfRule type="cellIs" dxfId="2682" priority="16" operator="equal">
      <formula>"critico"</formula>
    </cfRule>
  </conditionalFormatting>
  <conditionalFormatting sqref="H73:I73">
    <cfRule type="cellIs" dxfId="2681" priority="13" operator="equal">
      <formula>"Adecuado"</formula>
    </cfRule>
    <cfRule type="cellIs" dxfId="2680" priority="14" operator="equal">
      <formula>"en riesgo"</formula>
    </cfRule>
  </conditionalFormatting>
  <conditionalFormatting sqref="J73:K73">
    <cfRule type="cellIs" dxfId="2679" priority="11" operator="equal">
      <formula>"Adecuado"</formula>
    </cfRule>
    <cfRule type="cellIs" dxfId="2678" priority="12" operator="equal">
      <formula>"en riesgo"</formula>
    </cfRule>
  </conditionalFormatting>
  <conditionalFormatting sqref="L73:M73">
    <cfRule type="cellIs" dxfId="2677" priority="9" operator="equal">
      <formula>"optimo"</formula>
    </cfRule>
    <cfRule type="cellIs" dxfId="2676" priority="10" operator="equal">
      <formula>"critico"</formula>
    </cfRule>
  </conditionalFormatting>
  <conditionalFormatting sqref="F75:M86">
    <cfRule type="expression" dxfId="2675" priority="8">
      <formula>+IF($AK75=0,1)</formula>
    </cfRule>
  </conditionalFormatting>
  <conditionalFormatting sqref="F103:G104">
    <cfRule type="expression" dxfId="2674" priority="7">
      <formula>+IF($G$102="No",1,0)</formula>
    </cfRule>
  </conditionalFormatting>
  <conditionalFormatting sqref="F51">
    <cfRule type="expression" dxfId="2673" priority="6">
      <formula>+IF($F$43="no",1,0)</formula>
    </cfRule>
  </conditionalFormatting>
  <conditionalFormatting sqref="I51">
    <cfRule type="expression" dxfId="2672" priority="5">
      <formula>+IF($F$51="no",1,0)</formula>
    </cfRule>
  </conditionalFormatting>
  <conditionalFormatting sqref="A1">
    <cfRule type="expression" dxfId="2671" priority="4">
      <formula>+IF($G$102="No",1,0)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0">
    <tabColor rgb="FF0070C0"/>
  </sheetPr>
  <dimension ref="B1:AV113"/>
  <sheetViews>
    <sheetView topLeftCell="A79" zoomScaleNormal="100" workbookViewId="0">
      <selection activeCell="J86" sqref="J86:K86"/>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194</v>
      </c>
      <c r="O10" s="2"/>
    </row>
    <row r="11" spans="2:24" ht="3.95" customHeight="1" x14ac:dyDescent="0.25">
      <c r="B11" s="2"/>
      <c r="D11" s="6"/>
      <c r="O11" s="2"/>
    </row>
    <row r="12" spans="2:24" ht="36" customHeight="1" x14ac:dyDescent="0.25">
      <c r="B12" s="2"/>
      <c r="D12" s="338" t="s">
        <v>5</v>
      </c>
      <c r="E12" s="339"/>
      <c r="F12" s="340" t="s">
        <v>195</v>
      </c>
      <c r="G12" s="341"/>
      <c r="H12" s="341"/>
      <c r="I12" s="341"/>
      <c r="J12" s="341"/>
      <c r="K12" s="341"/>
      <c r="L12" s="341"/>
      <c r="M12" s="342"/>
      <c r="O12" s="2"/>
      <c r="W12" s="3" t="str">
        <f>+F23</f>
        <v>Semestral</v>
      </c>
      <c r="X12" s="3" t="str">
        <f>+F71</f>
        <v>Junio</v>
      </c>
    </row>
    <row r="13" spans="2:24" ht="3.95" customHeight="1" x14ac:dyDescent="0.25">
      <c r="B13" s="2"/>
      <c r="O13" s="2"/>
    </row>
    <row r="14" spans="2:24" ht="36" customHeight="1" x14ac:dyDescent="0.25">
      <c r="B14" s="2"/>
      <c r="D14" s="338" t="s">
        <v>6</v>
      </c>
      <c r="E14" s="339"/>
      <c r="F14" s="340" t="s">
        <v>671</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17">
        <v>0.75</v>
      </c>
      <c r="G22" s="337" t="s">
        <v>9</v>
      </c>
      <c r="H22" s="337"/>
      <c r="I22" s="17">
        <v>0.78</v>
      </c>
      <c r="K22" s="337" t="s">
        <v>10</v>
      </c>
      <c r="L22" s="337"/>
      <c r="M22" s="9" t="s">
        <v>496</v>
      </c>
      <c r="O22" s="2"/>
    </row>
    <row r="23" spans="2:17" ht="19.5" customHeight="1" x14ac:dyDescent="0.25">
      <c r="B23" s="2"/>
      <c r="D23" s="337" t="s">
        <v>11</v>
      </c>
      <c r="E23" s="337"/>
      <c r="F23" s="4" t="s">
        <v>104</v>
      </c>
      <c r="G23" s="337" t="s">
        <v>12</v>
      </c>
      <c r="H23" s="337"/>
      <c r="I23" s="4" t="s">
        <v>497</v>
      </c>
      <c r="K23" s="337" t="s">
        <v>13</v>
      </c>
      <c r="L23" s="337"/>
      <c r="M23" s="9" t="s">
        <v>496</v>
      </c>
      <c r="O23" s="2"/>
    </row>
    <row r="24" spans="2:17" ht="20.100000000000001" customHeight="1" x14ac:dyDescent="0.25">
      <c r="B24" s="2"/>
      <c r="D24" s="337" t="s">
        <v>14</v>
      </c>
      <c r="E24" s="337"/>
      <c r="F24" s="4" t="s">
        <v>498</v>
      </c>
      <c r="G24" s="337" t="s">
        <v>15</v>
      </c>
      <c r="H24" s="337"/>
      <c r="I24" s="4" t="s">
        <v>103</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489</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NA</v>
      </c>
    </row>
    <row r="31" spans="2:17" ht="24" customHeight="1" x14ac:dyDescent="0.25">
      <c r="B31" s="2"/>
      <c r="D31" s="347"/>
      <c r="E31" s="348"/>
      <c r="F31" s="4" t="s">
        <v>176</v>
      </c>
      <c r="G31" s="340" t="s">
        <v>177</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500</v>
      </c>
      <c r="G33" s="340"/>
      <c r="H33" s="341"/>
      <c r="I33" s="341"/>
      <c r="J33" s="341"/>
      <c r="K33" s="341"/>
      <c r="L33" s="341"/>
      <c r="M33" s="342"/>
      <c r="O33" s="2"/>
      <c r="Q33" s="3" t="str">
        <f>+IFERROR(IF(VLOOKUP(G33,base!$A$26:$C$40,3,FALSE)=F31,1,0),"")</f>
        <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1714</v>
      </c>
      <c r="G35" s="340" t="s">
        <v>1590</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2</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500</v>
      </c>
      <c r="G45" s="340" t="s">
        <v>512</v>
      </c>
      <c r="H45" s="341"/>
      <c r="I45" s="341"/>
      <c r="J45" s="341"/>
      <c r="K45" s="341"/>
      <c r="L45" s="341"/>
      <c r="M45" s="342"/>
      <c r="O45" s="2"/>
      <c r="Q45" s="3" t="str">
        <f>+IFERROR(VLOOKUP(G45,base!$A$41:$C$45,3,FALSE),"")</f>
        <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500</v>
      </c>
      <c r="G47" s="340" t="s">
        <v>512</v>
      </c>
      <c r="H47" s="341"/>
      <c r="I47" s="341"/>
      <c r="J47" s="341"/>
      <c r="K47" s="341"/>
      <c r="L47" s="341"/>
      <c r="M47" s="342"/>
      <c r="O47" s="2"/>
      <c r="Q47" s="3" t="e">
        <f>+IF(VLOOKUP(G47,base!$A$46:$C$66,3,FALSE)=F45,1,0)</f>
        <v>#N/A</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555</v>
      </c>
      <c r="G49" s="340" t="s">
        <v>100</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17"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43.5" customHeight="1" x14ac:dyDescent="0.25">
      <c r="B59" s="2"/>
      <c r="D59" s="337" t="s">
        <v>34</v>
      </c>
      <c r="E59" s="337"/>
      <c r="F59" s="344" t="s">
        <v>672</v>
      </c>
      <c r="G59" s="344"/>
      <c r="H59" s="344"/>
      <c r="I59" s="344"/>
      <c r="J59" s="344"/>
      <c r="K59" s="344"/>
      <c r="L59" s="344"/>
      <c r="M59" s="344"/>
      <c r="O59" s="2"/>
    </row>
    <row r="60" spans="2:15" ht="27" customHeight="1" x14ac:dyDescent="0.25">
      <c r="B60" s="2"/>
      <c r="D60" s="359" t="s">
        <v>35</v>
      </c>
      <c r="E60" s="359"/>
      <c r="F60" s="344" t="s">
        <v>673</v>
      </c>
      <c r="G60" s="344"/>
      <c r="H60" s="344"/>
      <c r="I60" s="344"/>
      <c r="J60" s="344"/>
      <c r="K60" s="344"/>
      <c r="L60" s="344"/>
      <c r="M60" s="344"/>
      <c r="O60" s="2"/>
    </row>
    <row r="61" spans="2:15" ht="27" customHeight="1" x14ac:dyDescent="0.25">
      <c r="B61" s="2"/>
      <c r="D61" s="359" t="s">
        <v>36</v>
      </c>
      <c r="E61" s="359"/>
      <c r="F61" s="344" t="s">
        <v>674</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6</v>
      </c>
    </row>
    <row r="70" spans="2:37" ht="3.95" customHeight="1" x14ac:dyDescent="0.25">
      <c r="B70" s="2"/>
      <c r="D70" s="7"/>
      <c r="E70" s="7"/>
      <c r="O70" s="2"/>
    </row>
    <row r="71" spans="2:37" ht="18.75" customHeight="1" x14ac:dyDescent="0.25">
      <c r="B71" s="2"/>
      <c r="D71" s="343" t="s">
        <v>39</v>
      </c>
      <c r="E71" s="343"/>
      <c r="F71" s="4" t="s">
        <v>50</v>
      </c>
      <c r="G71" s="3">
        <v>6</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60" t="s">
        <v>50</v>
      </c>
      <c r="E80" s="360"/>
      <c r="F80" s="16" t="s">
        <v>500</v>
      </c>
      <c r="G80" s="16">
        <v>0.39900000000000002</v>
      </c>
      <c r="H80" s="16">
        <v>0.4</v>
      </c>
      <c r="I80" s="16">
        <v>0.499</v>
      </c>
      <c r="J80" s="16">
        <v>0.5</v>
      </c>
      <c r="K80" s="16">
        <v>0.69899999999999995</v>
      </c>
      <c r="L80" s="16">
        <v>0.7</v>
      </c>
      <c r="M80" s="16" t="s">
        <v>500</v>
      </c>
      <c r="O80" s="2"/>
      <c r="AE80" s="3" t="s">
        <v>50</v>
      </c>
      <c r="AF80" s="3">
        <v>6</v>
      </c>
      <c r="AG80" s="3">
        <f t="shared" si="0"/>
        <v>1</v>
      </c>
      <c r="AH80" s="3">
        <f>+IF(AG80=0,0,IF(AG80=1,(SUM($AG$75:AG80)-1),1))</f>
        <v>0</v>
      </c>
      <c r="AI80" s="3">
        <f t="shared" si="1"/>
        <v>0</v>
      </c>
      <c r="AJ80" s="3">
        <f t="shared" si="2"/>
        <v>1</v>
      </c>
      <c r="AK80" s="3">
        <f t="shared" si="3"/>
        <v>1</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1</v>
      </c>
      <c r="AI81" s="3">
        <f t="shared" si="1"/>
        <v>0</v>
      </c>
      <c r="AJ81" s="3">
        <f t="shared" si="2"/>
        <v>0</v>
      </c>
      <c r="AK81" s="3">
        <f t="shared" si="3"/>
        <v>0</v>
      </c>
    </row>
    <row r="82" spans="2:37" x14ac:dyDescent="0.25">
      <c r="B82" s="2"/>
      <c r="D82" s="360" t="s">
        <v>54</v>
      </c>
      <c r="E82" s="360"/>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2</v>
      </c>
      <c r="AI82" s="3">
        <f t="shared" si="1"/>
        <v>0</v>
      </c>
      <c r="AJ82" s="3">
        <f t="shared" si="2"/>
        <v>0</v>
      </c>
      <c r="AK82" s="3">
        <f t="shared" si="3"/>
        <v>0</v>
      </c>
    </row>
    <row r="83" spans="2:37" x14ac:dyDescent="0.25">
      <c r="B83" s="2"/>
      <c r="D83" s="360" t="s">
        <v>55</v>
      </c>
      <c r="E83" s="360"/>
      <c r="F83" s="16" t="s">
        <v>500</v>
      </c>
      <c r="G83" s="16" t="s">
        <v>500</v>
      </c>
      <c r="H83" s="16" t="s">
        <v>500</v>
      </c>
      <c r="I83" s="16" t="s">
        <v>500</v>
      </c>
      <c r="J83" s="16" t="s">
        <v>500</v>
      </c>
      <c r="K83" s="16" t="s">
        <v>500</v>
      </c>
      <c r="L83" s="16" t="s">
        <v>500</v>
      </c>
      <c r="M83" s="16" t="s">
        <v>500</v>
      </c>
      <c r="O83" s="2"/>
      <c r="AE83" s="3" t="s">
        <v>55</v>
      </c>
      <c r="AF83" s="3">
        <v>9</v>
      </c>
      <c r="AG83" s="3">
        <f t="shared" si="0"/>
        <v>1</v>
      </c>
      <c r="AH83" s="3">
        <f>+IF(AG83=0,0,IF(AG83=1,(SUM($AG$75:AG83)-1),1))</f>
        <v>3</v>
      </c>
      <c r="AI83" s="3">
        <f t="shared" si="1"/>
        <v>0</v>
      </c>
      <c r="AJ83" s="3">
        <f t="shared" si="2"/>
        <v>0</v>
      </c>
      <c r="AK83" s="3">
        <f t="shared" si="3"/>
        <v>0</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4</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5</v>
      </c>
      <c r="AI85" s="3">
        <f t="shared" si="1"/>
        <v>0</v>
      </c>
      <c r="AJ85" s="3">
        <f t="shared" si="2"/>
        <v>0</v>
      </c>
      <c r="AK85" s="3">
        <f t="shared" si="3"/>
        <v>0</v>
      </c>
    </row>
    <row r="86" spans="2:37" x14ac:dyDescent="0.25">
      <c r="B86" s="2"/>
      <c r="D86" s="360" t="s">
        <v>58</v>
      </c>
      <c r="E86" s="360"/>
      <c r="F86" s="16" t="s">
        <v>500</v>
      </c>
      <c r="G86" s="16">
        <v>0.59899999999999998</v>
      </c>
      <c r="H86" s="16">
        <v>0.6</v>
      </c>
      <c r="I86" s="16">
        <v>0.69899999999999995</v>
      </c>
      <c r="J86" s="16">
        <v>0.7</v>
      </c>
      <c r="K86" s="16">
        <v>0.77900000000000003</v>
      </c>
      <c r="L86" s="16">
        <v>0.78</v>
      </c>
      <c r="M86" s="16" t="s">
        <v>500</v>
      </c>
      <c r="O86" s="2"/>
      <c r="AE86" s="3" t="s">
        <v>58</v>
      </c>
      <c r="AF86" s="65">
        <v>12</v>
      </c>
      <c r="AG86" s="3">
        <f t="shared" si="0"/>
        <v>1</v>
      </c>
      <c r="AH86" s="3">
        <f>+IF(AG86=0,0,IF(AG86=1,(SUM($AG$75:AG86)-1),1))</f>
        <v>6</v>
      </c>
      <c r="AI86" s="3">
        <f t="shared" si="1"/>
        <v>1</v>
      </c>
      <c r="AJ86" s="3">
        <f t="shared" si="2"/>
        <v>0</v>
      </c>
      <c r="AK86" s="3">
        <f t="shared" si="3"/>
        <v>1</v>
      </c>
    </row>
    <row r="87" spans="2:37" ht="3.75" customHeight="1" x14ac:dyDescent="0.25">
      <c r="B87" s="2"/>
      <c r="O87" s="2"/>
    </row>
    <row r="88" spans="2:37" ht="309" customHeight="1" x14ac:dyDescent="0.25">
      <c r="B88" s="2"/>
      <c r="D88" s="338" t="s">
        <v>59</v>
      </c>
      <c r="E88" s="339"/>
      <c r="F88" s="420" t="s">
        <v>662</v>
      </c>
      <c r="G88" s="423"/>
      <c r="H88" s="423"/>
      <c r="I88" s="423"/>
      <c r="J88" s="423"/>
      <c r="K88" s="423"/>
      <c r="L88" s="423"/>
      <c r="M88" s="424"/>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28.5" customHeight="1" x14ac:dyDescent="0.25">
      <c r="B97" s="2"/>
      <c r="D97" s="359" t="s">
        <v>35</v>
      </c>
      <c r="E97" s="359"/>
      <c r="F97" s="344" t="s">
        <v>663</v>
      </c>
      <c r="G97" s="344"/>
      <c r="H97" s="344"/>
      <c r="I97" s="344"/>
      <c r="J97" s="344"/>
      <c r="K97" s="344"/>
      <c r="L97" s="344"/>
      <c r="M97" s="344"/>
      <c r="O97" s="2"/>
    </row>
    <row r="98" spans="2:15" ht="28.5" customHeight="1" x14ac:dyDescent="0.25">
      <c r="B98" s="2"/>
      <c r="D98" s="359" t="s">
        <v>36</v>
      </c>
      <c r="E98" s="359"/>
      <c r="F98" s="344" t="s">
        <v>663</v>
      </c>
      <c r="G98" s="344"/>
      <c r="H98" s="344"/>
      <c r="I98" s="344"/>
      <c r="J98" s="344"/>
      <c r="K98" s="344"/>
      <c r="L98" s="344"/>
      <c r="M98" s="344"/>
      <c r="O98" s="2"/>
    </row>
    <row r="99" spans="2:15" ht="3.95" customHeight="1" x14ac:dyDescent="0.25">
      <c r="B99" s="2"/>
      <c r="O99" s="2"/>
    </row>
    <row r="100" spans="2:15" ht="200.25" customHeight="1" x14ac:dyDescent="0.25">
      <c r="B100" s="2"/>
      <c r="D100" s="338" t="s">
        <v>62</v>
      </c>
      <c r="E100" s="339"/>
      <c r="F100" s="340" t="s">
        <v>652</v>
      </c>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496</v>
      </c>
      <c r="K102" s="20"/>
      <c r="O102" s="2"/>
    </row>
    <row r="103" spans="2:15" ht="19.5" customHeight="1" x14ac:dyDescent="0.25">
      <c r="B103" s="2"/>
      <c r="D103" s="331"/>
      <c r="E103" s="332"/>
      <c r="F103" s="19" t="s">
        <v>66</v>
      </c>
      <c r="G103" s="4" t="s">
        <v>194</v>
      </c>
      <c r="K103" s="21"/>
      <c r="O103" s="2"/>
    </row>
    <row r="104" spans="2:15" ht="27.75" customHeight="1" x14ac:dyDescent="0.25">
      <c r="B104" s="2"/>
      <c r="D104" s="331"/>
      <c r="E104" s="332"/>
      <c r="F104" s="19" t="s">
        <v>67</v>
      </c>
      <c r="G104" s="420" t="s">
        <v>195</v>
      </c>
      <c r="H104" s="423"/>
      <c r="I104" s="423"/>
      <c r="J104" s="423"/>
      <c r="K104" s="423"/>
      <c r="L104" s="423"/>
      <c r="M104" s="424"/>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420" t="e">
        <f>+VLOOKUP(H10,tablero!$P$5:$R$201,3,FALSE)</f>
        <v>#N/A</v>
      </c>
      <c r="H108" s="423"/>
      <c r="I108" s="423"/>
      <c r="J108" s="423"/>
      <c r="K108" s="423"/>
      <c r="L108" s="423"/>
      <c r="M108" s="424"/>
      <c r="O108" s="2"/>
    </row>
    <row r="109" spans="2:15" ht="17.25" customHeight="1" x14ac:dyDescent="0.25">
      <c r="B109" s="2"/>
      <c r="D109" s="331"/>
      <c r="E109" s="332"/>
      <c r="F109" s="19" t="s">
        <v>2042</v>
      </c>
      <c r="G109" s="420" t="str">
        <f>+IF(M23="Si","Coordinador(a) Planeación y Sistemas","")</f>
        <v>Coordinador(a) Planeación y Sistemas</v>
      </c>
      <c r="H109" s="423"/>
      <c r="I109" s="423"/>
      <c r="J109" s="423"/>
      <c r="K109" s="423"/>
      <c r="L109" s="423"/>
      <c r="M109" s="424"/>
      <c r="O109" s="2"/>
    </row>
    <row r="110" spans="2:15" ht="17.25" customHeight="1" x14ac:dyDescent="0.25">
      <c r="B110" s="2"/>
      <c r="D110" s="331"/>
      <c r="E110" s="332"/>
      <c r="F110" s="19" t="s">
        <v>2043</v>
      </c>
      <c r="G110" s="420" t="str">
        <f>+IF(M24="Si","Coordinador(a) Centro Zonal","")</f>
        <v/>
      </c>
      <c r="H110" s="423"/>
      <c r="I110" s="423"/>
      <c r="J110" s="423"/>
      <c r="K110" s="423"/>
      <c r="L110" s="423"/>
      <c r="M110" s="424"/>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670" priority="31">
      <formula>+IF($F$43="no",1,0)</formula>
    </cfRule>
  </conditionalFormatting>
  <conditionalFormatting sqref="F32:M33">
    <cfRule type="expression" dxfId="2669" priority="30">
      <formula>+IF($Q$30="NA",1,0)</formula>
    </cfRule>
  </conditionalFormatting>
  <conditionalFormatting sqref="F33:M33">
    <cfRule type="expression" dxfId="2668" priority="29">
      <formula>+IF($Q$33=0,1,0)</formula>
    </cfRule>
  </conditionalFormatting>
  <conditionalFormatting sqref="F47:M47">
    <cfRule type="expression" dxfId="2667" priority="28">
      <formula>+IF($Q$47=0,1,0)</formula>
    </cfRule>
  </conditionalFormatting>
  <conditionalFormatting sqref="F73:G73">
    <cfRule type="cellIs" dxfId="2666" priority="14" operator="equal">
      <formula>"optimo"</formula>
    </cfRule>
    <cfRule type="cellIs" dxfId="2665" priority="15" operator="equal">
      <formula>"critico"</formula>
    </cfRule>
  </conditionalFormatting>
  <conditionalFormatting sqref="H73:I73">
    <cfRule type="cellIs" dxfId="2664" priority="12" operator="equal">
      <formula>"Adecuado"</formula>
    </cfRule>
    <cfRule type="cellIs" dxfId="2663" priority="13" operator="equal">
      <formula>"en riesgo"</formula>
    </cfRule>
  </conditionalFormatting>
  <conditionalFormatting sqref="J73:K73">
    <cfRule type="cellIs" dxfId="2662" priority="10" operator="equal">
      <formula>"Adecuado"</formula>
    </cfRule>
    <cfRule type="cellIs" dxfId="2661" priority="11" operator="equal">
      <formula>"en riesgo"</formula>
    </cfRule>
  </conditionalFormatting>
  <conditionalFormatting sqref="L73:M73">
    <cfRule type="cellIs" dxfId="2660" priority="8" operator="equal">
      <formula>"optimo"</formula>
    </cfRule>
    <cfRule type="cellIs" dxfId="2659" priority="9" operator="equal">
      <formula>"critico"</formula>
    </cfRule>
  </conditionalFormatting>
  <conditionalFormatting sqref="F75:M86">
    <cfRule type="expression" dxfId="2658" priority="7">
      <formula>+IF($AK75=0,1)</formula>
    </cfRule>
  </conditionalFormatting>
  <conditionalFormatting sqref="F103:G104">
    <cfRule type="expression" dxfId="2657" priority="6">
      <formula>+IF($G$102="No",1,0)</formula>
    </cfRule>
  </conditionalFormatting>
  <conditionalFormatting sqref="F51">
    <cfRule type="expression" dxfId="2656" priority="5">
      <formula>+IF($F$43="no",1,0)</formula>
    </cfRule>
  </conditionalFormatting>
  <conditionalFormatting sqref="I51">
    <cfRule type="expression" dxfId="2655"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1">
    <tabColor rgb="FF0070C0"/>
  </sheetPr>
  <dimension ref="B1:AV113"/>
  <sheetViews>
    <sheetView topLeftCell="A64" zoomScaleNormal="100" workbookViewId="0">
      <selection activeCell="J86" sqref="J86:K86"/>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196</v>
      </c>
      <c r="O10" s="2"/>
    </row>
    <row r="11" spans="2:24" ht="3.95" customHeight="1" x14ac:dyDescent="0.25">
      <c r="B11" s="2"/>
      <c r="D11" s="6"/>
      <c r="O11" s="2"/>
    </row>
    <row r="12" spans="2:24" ht="36" customHeight="1" x14ac:dyDescent="0.25">
      <c r="B12" s="2"/>
      <c r="D12" s="338" t="s">
        <v>5</v>
      </c>
      <c r="E12" s="339"/>
      <c r="F12" s="340" t="s">
        <v>197</v>
      </c>
      <c r="G12" s="341"/>
      <c r="H12" s="341"/>
      <c r="I12" s="341"/>
      <c r="J12" s="341"/>
      <c r="K12" s="341"/>
      <c r="L12" s="341"/>
      <c r="M12" s="342"/>
      <c r="O12" s="2"/>
      <c r="W12" s="3" t="str">
        <f>+F23</f>
        <v>Semestral</v>
      </c>
      <c r="X12" s="3" t="str">
        <f>+F71</f>
        <v>Junio</v>
      </c>
    </row>
    <row r="13" spans="2:24" ht="3.95" customHeight="1" x14ac:dyDescent="0.25">
      <c r="B13" s="2"/>
      <c r="O13" s="2"/>
    </row>
    <row r="14" spans="2:24" ht="36" customHeight="1" x14ac:dyDescent="0.25">
      <c r="B14" s="2"/>
      <c r="D14" s="338" t="s">
        <v>6</v>
      </c>
      <c r="E14" s="339"/>
      <c r="F14" s="340" t="s">
        <v>665</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17">
        <v>0.4</v>
      </c>
      <c r="G22" s="337" t="s">
        <v>9</v>
      </c>
      <c r="H22" s="337"/>
      <c r="I22" s="17">
        <v>0.4</v>
      </c>
      <c r="K22" s="337" t="s">
        <v>10</v>
      </c>
      <c r="L22" s="337"/>
      <c r="M22" s="9" t="s">
        <v>496</v>
      </c>
      <c r="O22" s="2"/>
    </row>
    <row r="23" spans="2:17" ht="19.5" customHeight="1" x14ac:dyDescent="0.25">
      <c r="B23" s="2"/>
      <c r="D23" s="337" t="s">
        <v>11</v>
      </c>
      <c r="E23" s="337"/>
      <c r="F23" s="4" t="s">
        <v>104</v>
      </c>
      <c r="G23" s="337" t="s">
        <v>12</v>
      </c>
      <c r="H23" s="337"/>
      <c r="I23" s="4" t="s">
        <v>497</v>
      </c>
      <c r="K23" s="337" t="s">
        <v>13</v>
      </c>
      <c r="L23" s="337"/>
      <c r="M23" s="9" t="s">
        <v>496</v>
      </c>
      <c r="O23" s="2"/>
    </row>
    <row r="24" spans="2:17" ht="20.100000000000001" customHeight="1" x14ac:dyDescent="0.25">
      <c r="B24" s="2"/>
      <c r="D24" s="337" t="s">
        <v>14</v>
      </c>
      <c r="E24" s="337"/>
      <c r="F24" s="4" t="s">
        <v>666</v>
      </c>
      <c r="G24" s="337" t="s">
        <v>15</v>
      </c>
      <c r="H24" s="337"/>
      <c r="I24" s="4" t="s">
        <v>103</v>
      </c>
      <c r="K24" s="337" t="s">
        <v>16</v>
      </c>
      <c r="L24" s="337"/>
      <c r="M24" s="9" t="s">
        <v>496</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489</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NA</v>
      </c>
    </row>
    <row r="31" spans="2:17" ht="24" customHeight="1" x14ac:dyDescent="0.25">
      <c r="B31" s="2"/>
      <c r="D31" s="347"/>
      <c r="E31" s="348"/>
      <c r="F31" s="4" t="s">
        <v>176</v>
      </c>
      <c r="G31" s="340" t="s">
        <v>177</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500</v>
      </c>
      <c r="G33" s="340"/>
      <c r="H33" s="341"/>
      <c r="I33" s="341"/>
      <c r="J33" s="341"/>
      <c r="K33" s="341"/>
      <c r="L33" s="341"/>
      <c r="M33" s="342"/>
      <c r="O33" s="2"/>
      <c r="Q33" s="3" t="str">
        <f>+IFERROR(IF(VLOOKUP(G33,base!$A$26:$C$40,3,FALSE)=F31,1,0),"")</f>
        <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1714</v>
      </c>
      <c r="G35" s="340" t="s">
        <v>1590</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2</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500</v>
      </c>
      <c r="G45" s="340" t="s">
        <v>512</v>
      </c>
      <c r="H45" s="341"/>
      <c r="I45" s="341"/>
      <c r="J45" s="341"/>
      <c r="K45" s="341"/>
      <c r="L45" s="341"/>
      <c r="M45" s="342"/>
      <c r="O45" s="2"/>
      <c r="Q45" s="3" t="str">
        <f>+IFERROR(VLOOKUP(G45,base!$A$41:$C$45,3,FALSE),"")</f>
        <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500</v>
      </c>
      <c r="G47" s="340" t="s">
        <v>512</v>
      </c>
      <c r="H47" s="341"/>
      <c r="I47" s="341"/>
      <c r="J47" s="341"/>
      <c r="K47" s="341"/>
      <c r="L47" s="341"/>
      <c r="M47" s="342"/>
      <c r="O47" s="2"/>
      <c r="Q47" s="3" t="e">
        <f>+IF(VLOOKUP(G47,base!$A$46:$C$66,3,FALSE)=F45,1,0)</f>
        <v>#N/A</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555</v>
      </c>
      <c r="G49" s="340" t="s">
        <v>100</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17"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75" customHeight="1" x14ac:dyDescent="0.25">
      <c r="B59" s="2"/>
      <c r="D59" s="337" t="s">
        <v>34</v>
      </c>
      <c r="E59" s="337"/>
      <c r="F59" s="344" t="s">
        <v>667</v>
      </c>
      <c r="G59" s="344"/>
      <c r="H59" s="344"/>
      <c r="I59" s="344"/>
      <c r="J59" s="344"/>
      <c r="K59" s="344"/>
      <c r="L59" s="344"/>
      <c r="M59" s="344"/>
      <c r="O59" s="2"/>
    </row>
    <row r="60" spans="2:15" ht="27" customHeight="1" x14ac:dyDescent="0.25">
      <c r="B60" s="2"/>
      <c r="D60" s="359" t="s">
        <v>35</v>
      </c>
      <c r="E60" s="359"/>
      <c r="F60" s="344" t="s">
        <v>668</v>
      </c>
      <c r="G60" s="344"/>
      <c r="H60" s="344"/>
      <c r="I60" s="344"/>
      <c r="J60" s="344"/>
      <c r="K60" s="344"/>
      <c r="L60" s="344"/>
      <c r="M60" s="344"/>
      <c r="O60" s="2"/>
    </row>
    <row r="61" spans="2:15" ht="27" customHeight="1" x14ac:dyDescent="0.25">
      <c r="B61" s="2"/>
      <c r="D61" s="359" t="s">
        <v>36</v>
      </c>
      <c r="E61" s="359"/>
      <c r="F61" s="344" t="s">
        <v>669</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6</v>
      </c>
    </row>
    <row r="70" spans="2:37" ht="3.95" customHeight="1" x14ac:dyDescent="0.25">
      <c r="B70" s="2"/>
      <c r="D70" s="7"/>
      <c r="E70" s="7"/>
      <c r="O70" s="2"/>
    </row>
    <row r="71" spans="2:37" ht="18.75" customHeight="1" x14ac:dyDescent="0.25">
      <c r="B71" s="2"/>
      <c r="D71" s="343" t="s">
        <v>39</v>
      </c>
      <c r="E71" s="343"/>
      <c r="F71" s="4" t="s">
        <v>50</v>
      </c>
      <c r="G71" s="3">
        <v>6</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52</v>
      </c>
      <c r="G74" s="15" t="s">
        <v>670</v>
      </c>
      <c r="H74" s="15" t="s">
        <v>52</v>
      </c>
      <c r="I74" s="15" t="s">
        <v>670</v>
      </c>
      <c r="J74" s="15" t="s">
        <v>52</v>
      </c>
      <c r="K74" s="15" t="s">
        <v>670</v>
      </c>
      <c r="L74" s="15" t="s">
        <v>52</v>
      </c>
      <c r="M74" s="15" t="s">
        <v>670</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60" t="s">
        <v>50</v>
      </c>
      <c r="E80" s="360"/>
      <c r="F80" s="16" t="s">
        <v>500</v>
      </c>
      <c r="G80" s="16">
        <v>0.8</v>
      </c>
      <c r="H80" s="16">
        <v>0.79900000000000004</v>
      </c>
      <c r="I80" s="16">
        <v>0.70099999999999996</v>
      </c>
      <c r="J80" s="16">
        <v>0.7</v>
      </c>
      <c r="K80" s="16">
        <v>0.501</v>
      </c>
      <c r="L80" s="16">
        <v>0.5</v>
      </c>
      <c r="M80" s="16" t="s">
        <v>500</v>
      </c>
      <c r="O80" s="2"/>
      <c r="AE80" s="3" t="s">
        <v>50</v>
      </c>
      <c r="AF80" s="3">
        <v>6</v>
      </c>
      <c r="AG80" s="3">
        <f t="shared" si="0"/>
        <v>1</v>
      </c>
      <c r="AH80" s="3">
        <f>+IF(AG80=0,0,IF(AG80=1,(SUM($AG$75:AG80)-1),1))</f>
        <v>0</v>
      </c>
      <c r="AI80" s="3">
        <f t="shared" si="1"/>
        <v>0</v>
      </c>
      <c r="AJ80" s="3">
        <f t="shared" si="2"/>
        <v>1</v>
      </c>
      <c r="AK80" s="3">
        <f t="shared" si="3"/>
        <v>1</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1</v>
      </c>
      <c r="AI81" s="3">
        <f t="shared" si="1"/>
        <v>0</v>
      </c>
      <c r="AJ81" s="3">
        <f t="shared" si="2"/>
        <v>0</v>
      </c>
      <c r="AK81" s="3">
        <f t="shared" si="3"/>
        <v>0</v>
      </c>
    </row>
    <row r="82" spans="2:37" x14ac:dyDescent="0.25">
      <c r="B82" s="2"/>
      <c r="D82" s="360" t="s">
        <v>54</v>
      </c>
      <c r="E82" s="360"/>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2</v>
      </c>
      <c r="AI82" s="3">
        <f t="shared" si="1"/>
        <v>0</v>
      </c>
      <c r="AJ82" s="3">
        <f t="shared" si="2"/>
        <v>0</v>
      </c>
      <c r="AK82" s="3">
        <f t="shared" si="3"/>
        <v>0</v>
      </c>
    </row>
    <row r="83" spans="2:37" x14ac:dyDescent="0.25">
      <c r="B83" s="2"/>
      <c r="D83" s="360" t="s">
        <v>55</v>
      </c>
      <c r="E83" s="360"/>
      <c r="F83" s="16" t="s">
        <v>500</v>
      </c>
      <c r="G83" s="16" t="s">
        <v>500</v>
      </c>
      <c r="H83" s="16" t="s">
        <v>500</v>
      </c>
      <c r="I83" s="16" t="s">
        <v>500</v>
      </c>
      <c r="J83" s="16" t="s">
        <v>500</v>
      </c>
      <c r="K83" s="16" t="s">
        <v>500</v>
      </c>
      <c r="L83" s="16" t="s">
        <v>500</v>
      </c>
      <c r="M83" s="16" t="s">
        <v>500</v>
      </c>
      <c r="O83" s="2"/>
      <c r="AE83" s="3" t="s">
        <v>55</v>
      </c>
      <c r="AF83" s="3">
        <v>9</v>
      </c>
      <c r="AG83" s="3">
        <f t="shared" si="0"/>
        <v>1</v>
      </c>
      <c r="AH83" s="3">
        <f>+IF(AG83=0,0,IF(AG83=1,(SUM($AG$75:AG83)-1),1))</f>
        <v>3</v>
      </c>
      <c r="AI83" s="3">
        <f t="shared" si="1"/>
        <v>0</v>
      </c>
      <c r="AJ83" s="3">
        <f t="shared" si="2"/>
        <v>0</v>
      </c>
      <c r="AK83" s="3">
        <f t="shared" si="3"/>
        <v>0</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4</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5</v>
      </c>
      <c r="AI85" s="3">
        <f t="shared" si="1"/>
        <v>0</v>
      </c>
      <c r="AJ85" s="3">
        <f t="shared" si="2"/>
        <v>0</v>
      </c>
      <c r="AK85" s="3">
        <f t="shared" si="3"/>
        <v>0</v>
      </c>
    </row>
    <row r="86" spans="2:37" x14ac:dyDescent="0.25">
      <c r="B86" s="2"/>
      <c r="D86" s="360" t="s">
        <v>58</v>
      </c>
      <c r="E86" s="360"/>
      <c r="F86" s="16" t="s">
        <v>500</v>
      </c>
      <c r="G86" s="16">
        <v>0.7</v>
      </c>
      <c r="H86" s="16">
        <v>0.69899999999999995</v>
      </c>
      <c r="I86" s="16">
        <v>0.60099999999999998</v>
      </c>
      <c r="J86" s="16">
        <v>0.6</v>
      </c>
      <c r="K86" s="16">
        <v>0.40100000000000002</v>
      </c>
      <c r="L86" s="16">
        <v>0.4</v>
      </c>
      <c r="M86" s="16" t="s">
        <v>500</v>
      </c>
      <c r="O86" s="2"/>
      <c r="AE86" s="3" t="s">
        <v>58</v>
      </c>
      <c r="AF86" s="65">
        <v>12</v>
      </c>
      <c r="AG86" s="3">
        <f t="shared" si="0"/>
        <v>1</v>
      </c>
      <c r="AH86" s="3">
        <f>+IF(AG86=0,0,IF(AG86=1,(SUM($AG$75:AG86)-1),1))</f>
        <v>6</v>
      </c>
      <c r="AI86" s="3">
        <f t="shared" si="1"/>
        <v>1</v>
      </c>
      <c r="AJ86" s="3">
        <f t="shared" si="2"/>
        <v>0</v>
      </c>
      <c r="AK86" s="3">
        <f t="shared" si="3"/>
        <v>1</v>
      </c>
    </row>
    <row r="87" spans="2:37" ht="3.75" customHeight="1" x14ac:dyDescent="0.25">
      <c r="B87" s="2"/>
      <c r="O87" s="2"/>
    </row>
    <row r="88" spans="2:37" ht="290.25" customHeight="1" x14ac:dyDescent="0.25">
      <c r="B88" s="2"/>
      <c r="D88" s="338" t="s">
        <v>59</v>
      </c>
      <c r="E88" s="339"/>
      <c r="F88" s="420" t="s">
        <v>664</v>
      </c>
      <c r="G88" s="423"/>
      <c r="H88" s="423"/>
      <c r="I88" s="423"/>
      <c r="J88" s="423"/>
      <c r="K88" s="423"/>
      <c r="L88" s="423"/>
      <c r="M88" s="424"/>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28.5" customHeight="1" x14ac:dyDescent="0.25">
      <c r="B97" s="2"/>
      <c r="D97" s="359" t="s">
        <v>35</v>
      </c>
      <c r="E97" s="359"/>
      <c r="F97" s="344" t="s">
        <v>509</v>
      </c>
      <c r="G97" s="344"/>
      <c r="H97" s="344"/>
      <c r="I97" s="344"/>
      <c r="J97" s="344"/>
      <c r="K97" s="344"/>
      <c r="L97" s="344"/>
      <c r="M97" s="344"/>
      <c r="O97" s="2"/>
    </row>
    <row r="98" spans="2:15" ht="28.5" customHeight="1" x14ac:dyDescent="0.25">
      <c r="B98" s="2"/>
      <c r="D98" s="359" t="s">
        <v>36</v>
      </c>
      <c r="E98" s="359"/>
      <c r="F98" s="344" t="s">
        <v>509</v>
      </c>
      <c r="G98" s="344"/>
      <c r="H98" s="344"/>
      <c r="I98" s="344"/>
      <c r="J98" s="344"/>
      <c r="K98" s="344"/>
      <c r="L98" s="344"/>
      <c r="M98" s="344"/>
      <c r="O98" s="2"/>
    </row>
    <row r="99" spans="2:15" ht="3.95" customHeight="1" x14ac:dyDescent="0.25">
      <c r="B99" s="2"/>
      <c r="O99" s="2"/>
    </row>
    <row r="100" spans="2:15" ht="174" customHeight="1" x14ac:dyDescent="0.25">
      <c r="B100" s="2"/>
      <c r="D100" s="338" t="s">
        <v>62</v>
      </c>
      <c r="E100" s="339"/>
      <c r="F100" s="340" t="s">
        <v>653</v>
      </c>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1</v>
      </c>
      <c r="K102" s="20"/>
      <c r="O102" s="2"/>
    </row>
    <row r="103" spans="2:15" ht="19.5" customHeight="1" x14ac:dyDescent="0.25">
      <c r="B103" s="2"/>
      <c r="D103" s="331"/>
      <c r="E103" s="332"/>
      <c r="F103" s="19" t="s">
        <v>66</v>
      </c>
      <c r="G103" s="4" t="s">
        <v>196</v>
      </c>
      <c r="K103" s="21"/>
      <c r="O103" s="2"/>
    </row>
    <row r="104" spans="2:15" ht="27.75" customHeight="1" x14ac:dyDescent="0.25">
      <c r="B104" s="2"/>
      <c r="D104" s="331"/>
      <c r="E104" s="332"/>
      <c r="F104" s="19" t="s">
        <v>67</v>
      </c>
      <c r="G104" s="365" t="s">
        <v>197</v>
      </c>
      <c r="H104" s="366"/>
      <c r="I104" s="366"/>
      <c r="J104" s="366"/>
      <c r="K104" s="366"/>
      <c r="L104" s="366"/>
      <c r="M104" s="367"/>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65" t="str">
        <f>+VLOOKUP(H10,tablero!$P$5:$R$201,3,FALSE)</f>
        <v>Director(a) Nutrición</v>
      </c>
      <c r="H108" s="366"/>
      <c r="I108" s="366"/>
      <c r="J108" s="366"/>
      <c r="K108" s="366"/>
      <c r="L108" s="366"/>
      <c r="M108" s="367"/>
      <c r="O108" s="2"/>
    </row>
    <row r="109" spans="2:15" ht="17.25" customHeight="1" x14ac:dyDescent="0.25">
      <c r="B109" s="2"/>
      <c r="D109" s="331"/>
      <c r="E109" s="332"/>
      <c r="F109" s="19" t="s">
        <v>2042</v>
      </c>
      <c r="G109" s="365" t="str">
        <f>+IF(M23="Si","Coordinador(a) Planeación y Sistemas","")</f>
        <v>Coordinador(a) Planeación y Sistemas</v>
      </c>
      <c r="H109" s="366"/>
      <c r="I109" s="366"/>
      <c r="J109" s="366"/>
      <c r="K109" s="366"/>
      <c r="L109" s="366"/>
      <c r="M109" s="367"/>
      <c r="O109" s="2"/>
    </row>
    <row r="110" spans="2:15" ht="17.25" customHeight="1" x14ac:dyDescent="0.25">
      <c r="B110" s="2"/>
      <c r="D110" s="331"/>
      <c r="E110" s="332"/>
      <c r="F110" s="19" t="s">
        <v>2043</v>
      </c>
      <c r="G110" s="365" t="str">
        <f>+IF(M24="Si","Coordinador(a) Centro Zonal","")</f>
        <v>Coordinador(a) Centro Zonal</v>
      </c>
      <c r="H110" s="366"/>
      <c r="I110" s="366"/>
      <c r="J110" s="366"/>
      <c r="K110" s="366"/>
      <c r="L110" s="366"/>
      <c r="M110" s="367"/>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654" priority="31">
      <formula>+IF($F$43="no",1,0)</formula>
    </cfRule>
  </conditionalFormatting>
  <conditionalFormatting sqref="F32:M33">
    <cfRule type="expression" dxfId="2653" priority="30">
      <formula>+IF($Q$30="NA",1,0)</formula>
    </cfRule>
  </conditionalFormatting>
  <conditionalFormatting sqref="F33:M33">
    <cfRule type="expression" dxfId="2652" priority="29">
      <formula>+IF($Q$33=0,1,0)</formula>
    </cfRule>
  </conditionalFormatting>
  <conditionalFormatting sqref="F47:M47">
    <cfRule type="expression" dxfId="2651" priority="28">
      <formula>+IF($Q$47=0,1,0)</formula>
    </cfRule>
  </conditionalFormatting>
  <conditionalFormatting sqref="F73:G73">
    <cfRule type="cellIs" dxfId="2650" priority="14" operator="equal">
      <formula>"optimo"</formula>
    </cfRule>
    <cfRule type="cellIs" dxfId="2649" priority="15" operator="equal">
      <formula>"critico"</formula>
    </cfRule>
  </conditionalFormatting>
  <conditionalFormatting sqref="H73:I73">
    <cfRule type="cellIs" dxfId="2648" priority="12" operator="equal">
      <formula>"Adecuado"</formula>
    </cfRule>
    <cfRule type="cellIs" dxfId="2647" priority="13" operator="equal">
      <formula>"en riesgo"</formula>
    </cfRule>
  </conditionalFormatting>
  <conditionalFormatting sqref="J73:K73">
    <cfRule type="cellIs" dxfId="2646" priority="10" operator="equal">
      <formula>"Adecuado"</formula>
    </cfRule>
    <cfRule type="cellIs" dxfId="2645" priority="11" operator="equal">
      <formula>"en riesgo"</formula>
    </cfRule>
  </conditionalFormatting>
  <conditionalFormatting sqref="L73:M73">
    <cfRule type="cellIs" dxfId="2644" priority="8" operator="equal">
      <formula>"optimo"</formula>
    </cfRule>
    <cfRule type="cellIs" dxfId="2643" priority="9" operator="equal">
      <formula>"critico"</formula>
    </cfRule>
  </conditionalFormatting>
  <conditionalFormatting sqref="F75:M86">
    <cfRule type="expression" dxfId="2642" priority="7">
      <formula>+IF($AK75=0,1)</formula>
    </cfRule>
  </conditionalFormatting>
  <conditionalFormatting sqref="F103:G104">
    <cfRule type="expression" dxfId="2641" priority="6">
      <formula>+IF($G$102="No",1,0)</formula>
    </cfRule>
  </conditionalFormatting>
  <conditionalFormatting sqref="F51">
    <cfRule type="expression" dxfId="2640" priority="5">
      <formula>+IF($F$43="no",1,0)</formula>
    </cfRule>
  </conditionalFormatting>
  <conditionalFormatting sqref="I51">
    <cfRule type="expression" dxfId="2639"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2">
    <tabColor rgb="FF0070C0"/>
  </sheetPr>
  <dimension ref="B1:AV113"/>
  <sheetViews>
    <sheetView topLeftCell="A58" zoomScaleNormal="100" workbookViewId="0">
      <selection activeCell="J86" sqref="J86:K86"/>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198</v>
      </c>
      <c r="O10" s="2"/>
    </row>
    <row r="11" spans="2:24" ht="3.95" customHeight="1" x14ac:dyDescent="0.25">
      <c r="B11" s="2"/>
      <c r="D11" s="6"/>
      <c r="O11" s="2"/>
    </row>
    <row r="12" spans="2:24" ht="36" customHeight="1" x14ac:dyDescent="0.25">
      <c r="B12" s="2"/>
      <c r="D12" s="338" t="s">
        <v>5</v>
      </c>
      <c r="E12" s="339"/>
      <c r="F12" s="340" t="s">
        <v>1671</v>
      </c>
      <c r="G12" s="341"/>
      <c r="H12" s="341"/>
      <c r="I12" s="341"/>
      <c r="J12" s="341"/>
      <c r="K12" s="341"/>
      <c r="L12" s="341"/>
      <c r="M12" s="342"/>
      <c r="O12" s="2"/>
      <c r="W12" s="3" t="str">
        <f>+F23</f>
        <v>Semestral</v>
      </c>
      <c r="X12" s="3" t="str">
        <f>+F71</f>
        <v>Junio</v>
      </c>
    </row>
    <row r="13" spans="2:24" ht="3.95" customHeight="1" x14ac:dyDescent="0.25">
      <c r="B13" s="2"/>
      <c r="O13" s="2"/>
    </row>
    <row r="14" spans="2:24" ht="36" customHeight="1" x14ac:dyDescent="0.25">
      <c r="B14" s="2"/>
      <c r="D14" s="338" t="s">
        <v>6</v>
      </c>
      <c r="E14" s="339"/>
      <c r="F14" s="340" t="s">
        <v>753</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70">
        <v>4.5</v>
      </c>
      <c r="G22" s="337" t="s">
        <v>9</v>
      </c>
      <c r="H22" s="337"/>
      <c r="I22" s="70">
        <v>4.8</v>
      </c>
      <c r="K22" s="337" t="s">
        <v>10</v>
      </c>
      <c r="L22" s="337"/>
      <c r="M22" s="9" t="s">
        <v>496</v>
      </c>
      <c r="O22" s="2"/>
    </row>
    <row r="23" spans="2:17" ht="19.5" customHeight="1" x14ac:dyDescent="0.25">
      <c r="B23" s="2"/>
      <c r="D23" s="337" t="s">
        <v>11</v>
      </c>
      <c r="E23" s="337"/>
      <c r="F23" s="4" t="s">
        <v>104</v>
      </c>
      <c r="G23" s="337" t="s">
        <v>12</v>
      </c>
      <c r="H23" s="337"/>
      <c r="I23" s="4" t="s">
        <v>754</v>
      </c>
      <c r="K23" s="337" t="s">
        <v>13</v>
      </c>
      <c r="L23" s="337"/>
      <c r="M23" s="9" t="s">
        <v>2</v>
      </c>
      <c r="O23" s="2"/>
    </row>
    <row r="24" spans="2:17" ht="20.100000000000001" customHeight="1" x14ac:dyDescent="0.25">
      <c r="B24" s="2"/>
      <c r="D24" s="337" t="s">
        <v>14</v>
      </c>
      <c r="E24" s="337"/>
      <c r="F24" s="4" t="s">
        <v>81</v>
      </c>
      <c r="G24" s="337" t="s">
        <v>15</v>
      </c>
      <c r="H24" s="337"/>
      <c r="I24" s="4" t="s">
        <v>103</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489</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NA</v>
      </c>
    </row>
    <row r="31" spans="2:17" ht="24" customHeight="1" x14ac:dyDescent="0.25">
      <c r="B31" s="2"/>
      <c r="D31" s="347"/>
      <c r="E31" s="348"/>
      <c r="F31" s="4" t="s">
        <v>176</v>
      </c>
      <c r="G31" s="340" t="s">
        <v>177</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500</v>
      </c>
      <c r="G33" s="340"/>
      <c r="H33" s="341"/>
      <c r="I33" s="341"/>
      <c r="J33" s="341"/>
      <c r="K33" s="341"/>
      <c r="L33" s="341"/>
      <c r="M33" s="342"/>
      <c r="O33" s="2"/>
      <c r="Q33" s="3" t="str">
        <f>+IFERROR(IF(VLOOKUP(G33,base!$A$26:$C$40,3,FALSE)=F31,1,0),"")</f>
        <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1714</v>
      </c>
      <c r="G35" s="340" t="s">
        <v>1590</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2</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500</v>
      </c>
      <c r="G45" s="340" t="s">
        <v>512</v>
      </c>
      <c r="H45" s="341"/>
      <c r="I45" s="341"/>
      <c r="J45" s="341"/>
      <c r="K45" s="341"/>
      <c r="L45" s="341"/>
      <c r="M45" s="342"/>
      <c r="O45" s="2"/>
      <c r="Q45" s="3" t="str">
        <f>+IFERROR(VLOOKUP(G45,base!$A$41:$C$45,3,FALSE),"")</f>
        <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500</v>
      </c>
      <c r="G47" s="340"/>
      <c r="H47" s="341"/>
      <c r="I47" s="341"/>
      <c r="J47" s="341"/>
      <c r="K47" s="341"/>
      <c r="L47" s="341"/>
      <c r="M47" s="342"/>
      <c r="O47" s="2"/>
      <c r="Q47" s="3" t="e">
        <f>+IF(VLOOKUP(G47,base!$A$46:$C$66,3,FALSE)=F45,1,0)</f>
        <v>#N/A</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555</v>
      </c>
      <c r="G49" s="340" t="s">
        <v>100</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17"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75" customHeight="1" x14ac:dyDescent="0.25">
      <c r="B59" s="2"/>
      <c r="D59" s="337" t="s">
        <v>34</v>
      </c>
      <c r="E59" s="337"/>
      <c r="F59" s="344" t="s">
        <v>755</v>
      </c>
      <c r="G59" s="344"/>
      <c r="H59" s="344"/>
      <c r="I59" s="344"/>
      <c r="J59" s="344"/>
      <c r="K59" s="344"/>
      <c r="L59" s="344"/>
      <c r="M59" s="344"/>
      <c r="O59" s="2"/>
    </row>
    <row r="60" spans="2:15" ht="27" customHeight="1" x14ac:dyDescent="0.25">
      <c r="B60" s="2"/>
      <c r="D60" s="359" t="s">
        <v>35</v>
      </c>
      <c r="E60" s="359"/>
      <c r="F60" s="344" t="s">
        <v>756</v>
      </c>
      <c r="G60" s="344"/>
      <c r="H60" s="344"/>
      <c r="I60" s="344"/>
      <c r="J60" s="344"/>
      <c r="K60" s="344"/>
      <c r="L60" s="344"/>
      <c r="M60" s="344"/>
      <c r="O60" s="2"/>
    </row>
    <row r="61" spans="2:15" ht="27" customHeight="1" x14ac:dyDescent="0.25">
      <c r="B61" s="2"/>
      <c r="D61" s="359" t="s">
        <v>36</v>
      </c>
      <c r="E61" s="359"/>
      <c r="F61" s="344" t="s">
        <v>688</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6</v>
      </c>
    </row>
    <row r="70" spans="2:37" ht="3.95" customHeight="1" x14ac:dyDescent="0.25">
      <c r="B70" s="2"/>
      <c r="D70" s="7"/>
      <c r="E70" s="7"/>
      <c r="O70" s="2"/>
    </row>
    <row r="71" spans="2:37" ht="18.75" customHeight="1" x14ac:dyDescent="0.25">
      <c r="B71" s="2"/>
      <c r="D71" s="343" t="s">
        <v>39</v>
      </c>
      <c r="E71" s="343"/>
      <c r="F71" s="4" t="s">
        <v>50</v>
      </c>
      <c r="G71" s="3">
        <v>6</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60" t="s">
        <v>50</v>
      </c>
      <c r="E80" s="360"/>
      <c r="F80" s="16" t="s">
        <v>500</v>
      </c>
      <c r="G80" s="16">
        <v>0.499</v>
      </c>
      <c r="H80" s="16">
        <v>0.5</v>
      </c>
      <c r="I80" s="16">
        <v>0.59899999999999998</v>
      </c>
      <c r="J80" s="16">
        <v>0.6</v>
      </c>
      <c r="K80" s="16">
        <v>0.69899999999999995</v>
      </c>
      <c r="L80" s="16">
        <v>0.7</v>
      </c>
      <c r="M80" s="16" t="s">
        <v>500</v>
      </c>
      <c r="O80" s="2"/>
      <c r="AE80" s="3" t="s">
        <v>50</v>
      </c>
      <c r="AF80" s="3">
        <v>6</v>
      </c>
      <c r="AG80" s="3">
        <f t="shared" si="0"/>
        <v>1</v>
      </c>
      <c r="AH80" s="3">
        <f>+IF(AG80=0,0,IF(AG80=1,(SUM($AG$75:AG80)-1),1))</f>
        <v>0</v>
      </c>
      <c r="AI80" s="3">
        <f t="shared" si="1"/>
        <v>0</v>
      </c>
      <c r="AJ80" s="3">
        <f t="shared" si="2"/>
        <v>1</v>
      </c>
      <c r="AK80" s="3">
        <f t="shared" si="3"/>
        <v>1</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1</v>
      </c>
      <c r="AI81" s="3">
        <f t="shared" si="1"/>
        <v>0</v>
      </c>
      <c r="AJ81" s="3">
        <f t="shared" si="2"/>
        <v>0</v>
      </c>
      <c r="AK81" s="3">
        <f t="shared" si="3"/>
        <v>0</v>
      </c>
    </row>
    <row r="82" spans="2:37" x14ac:dyDescent="0.25">
      <c r="B82" s="2"/>
      <c r="D82" s="360" t="s">
        <v>54</v>
      </c>
      <c r="E82" s="360"/>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2</v>
      </c>
      <c r="AI82" s="3">
        <f t="shared" si="1"/>
        <v>0</v>
      </c>
      <c r="AJ82" s="3">
        <f t="shared" si="2"/>
        <v>0</v>
      </c>
      <c r="AK82" s="3">
        <f t="shared" si="3"/>
        <v>0</v>
      </c>
    </row>
    <row r="83" spans="2:37" x14ac:dyDescent="0.25">
      <c r="B83" s="2"/>
      <c r="D83" s="360" t="s">
        <v>55</v>
      </c>
      <c r="E83" s="360"/>
      <c r="F83" s="16" t="s">
        <v>500</v>
      </c>
      <c r="G83" s="16" t="s">
        <v>500</v>
      </c>
      <c r="H83" s="16" t="s">
        <v>500</v>
      </c>
      <c r="I83" s="16" t="s">
        <v>500</v>
      </c>
      <c r="J83" s="16" t="s">
        <v>500</v>
      </c>
      <c r="K83" s="16" t="s">
        <v>500</v>
      </c>
      <c r="L83" s="16" t="s">
        <v>500</v>
      </c>
      <c r="M83" s="16" t="s">
        <v>500</v>
      </c>
      <c r="O83" s="2"/>
      <c r="AE83" s="3" t="s">
        <v>55</v>
      </c>
      <c r="AF83" s="3">
        <v>9</v>
      </c>
      <c r="AG83" s="3">
        <f t="shared" si="0"/>
        <v>1</v>
      </c>
      <c r="AH83" s="3">
        <f>+IF(AG83=0,0,IF(AG83=1,(SUM($AG$75:AG83)-1),1))</f>
        <v>3</v>
      </c>
      <c r="AI83" s="3">
        <f t="shared" si="1"/>
        <v>0</v>
      </c>
      <c r="AJ83" s="3">
        <f t="shared" si="2"/>
        <v>0</v>
      </c>
      <c r="AK83" s="3">
        <f t="shared" si="3"/>
        <v>0</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4</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5</v>
      </c>
      <c r="AI85" s="3">
        <f t="shared" si="1"/>
        <v>0</v>
      </c>
      <c r="AJ85" s="3">
        <f t="shared" si="2"/>
        <v>0</v>
      </c>
      <c r="AK85" s="3">
        <f t="shared" si="3"/>
        <v>0</v>
      </c>
    </row>
    <row r="86" spans="2:37" x14ac:dyDescent="0.25">
      <c r="B86" s="2"/>
      <c r="D86" s="360" t="s">
        <v>58</v>
      </c>
      <c r="E86" s="360"/>
      <c r="F86" s="16" t="s">
        <v>500</v>
      </c>
      <c r="G86" s="16">
        <v>0.69899999999999995</v>
      </c>
      <c r="H86" s="16">
        <v>0.7</v>
      </c>
      <c r="I86" s="16">
        <v>0.79900000000000004</v>
      </c>
      <c r="J86" s="16">
        <v>0.8</v>
      </c>
      <c r="K86" s="16">
        <v>0.999</v>
      </c>
      <c r="L86" s="16" t="s">
        <v>500</v>
      </c>
      <c r="M86" s="16">
        <v>1</v>
      </c>
      <c r="O86" s="2"/>
      <c r="AE86" s="3" t="s">
        <v>58</v>
      </c>
      <c r="AF86" s="65">
        <v>12</v>
      </c>
      <c r="AG86" s="3">
        <f t="shared" si="0"/>
        <v>1</v>
      </c>
      <c r="AH86" s="3">
        <f>+IF(AG86=0,0,IF(AG86=1,(SUM($AG$75:AG86)-1),1))</f>
        <v>6</v>
      </c>
      <c r="AI86" s="3">
        <f t="shared" si="1"/>
        <v>1</v>
      </c>
      <c r="AJ86" s="3">
        <f t="shared" si="2"/>
        <v>0</v>
      </c>
      <c r="AK86" s="3">
        <f t="shared" si="3"/>
        <v>1</v>
      </c>
    </row>
    <row r="87" spans="2:37" ht="3.75" customHeight="1" x14ac:dyDescent="0.25">
      <c r="B87" s="2"/>
      <c r="O87" s="2"/>
    </row>
    <row r="88" spans="2:37" ht="176.25" customHeight="1" x14ac:dyDescent="0.25">
      <c r="B88" s="2"/>
      <c r="D88" s="338" t="s">
        <v>59</v>
      </c>
      <c r="E88" s="339"/>
      <c r="F88" s="420" t="s">
        <v>690</v>
      </c>
      <c r="G88" s="423"/>
      <c r="H88" s="423"/>
      <c r="I88" s="423"/>
      <c r="J88" s="423"/>
      <c r="K88" s="423"/>
      <c r="L88" s="423"/>
      <c r="M88" s="424"/>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28.5" customHeight="1" x14ac:dyDescent="0.25">
      <c r="B97" s="2"/>
      <c r="D97" s="359" t="s">
        <v>35</v>
      </c>
      <c r="E97" s="359"/>
      <c r="F97" s="344" t="s">
        <v>509</v>
      </c>
      <c r="G97" s="344"/>
      <c r="H97" s="344"/>
      <c r="I97" s="344"/>
      <c r="J97" s="344"/>
      <c r="K97" s="344"/>
      <c r="L97" s="344"/>
      <c r="M97" s="344"/>
      <c r="O97" s="2"/>
    </row>
    <row r="98" spans="2:15" ht="28.5" customHeight="1" x14ac:dyDescent="0.25">
      <c r="B98" s="2"/>
      <c r="D98" s="359" t="s">
        <v>36</v>
      </c>
      <c r="E98" s="359"/>
      <c r="F98" s="344" t="s">
        <v>689</v>
      </c>
      <c r="G98" s="344"/>
      <c r="H98" s="344"/>
      <c r="I98" s="344"/>
      <c r="J98" s="344"/>
      <c r="K98" s="344"/>
      <c r="L98" s="344"/>
      <c r="M98" s="344"/>
      <c r="O98" s="2"/>
    </row>
    <row r="99" spans="2:15" ht="3.95" customHeight="1" x14ac:dyDescent="0.25">
      <c r="B99" s="2"/>
      <c r="O99" s="2"/>
    </row>
    <row r="100" spans="2:15" ht="58.5" customHeight="1" x14ac:dyDescent="0.25">
      <c r="B100" s="2"/>
      <c r="D100" s="338" t="s">
        <v>62</v>
      </c>
      <c r="E100" s="339"/>
      <c r="F100" s="340" t="s">
        <v>654</v>
      </c>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1</v>
      </c>
      <c r="K102" s="20"/>
      <c r="O102" s="2"/>
    </row>
    <row r="103" spans="2:15" ht="19.5" customHeight="1" x14ac:dyDescent="0.25">
      <c r="B103" s="2"/>
      <c r="D103" s="331"/>
      <c r="E103" s="332"/>
      <c r="F103" s="19" t="s">
        <v>66</v>
      </c>
      <c r="G103" s="4" t="s">
        <v>198</v>
      </c>
      <c r="K103" s="21"/>
      <c r="O103" s="2"/>
    </row>
    <row r="104" spans="2:15" ht="27.75" customHeight="1" x14ac:dyDescent="0.25">
      <c r="B104" s="2"/>
      <c r="D104" s="331"/>
      <c r="E104" s="332"/>
      <c r="F104" s="19" t="s">
        <v>67</v>
      </c>
      <c r="G104" s="333" t="s">
        <v>1755</v>
      </c>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e">
        <f>+VLOOKUP(H10,tablero!$P$5:$R$201,3,FALSE)</f>
        <v>#N/A</v>
      </c>
      <c r="H108" s="334"/>
      <c r="I108" s="334"/>
      <c r="J108" s="334"/>
      <c r="K108" s="334"/>
      <c r="L108" s="334"/>
      <c r="M108" s="335"/>
      <c r="O108" s="2"/>
    </row>
    <row r="109" spans="2:15" ht="17.25" customHeight="1" x14ac:dyDescent="0.25">
      <c r="B109" s="2"/>
      <c r="D109" s="331"/>
      <c r="E109" s="332"/>
      <c r="F109" s="19" t="s">
        <v>2042</v>
      </c>
      <c r="G109" s="333" t="str">
        <f>+IF(M23="Si","Coordinador(a) Planeación y Sistemas","")</f>
        <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638" priority="31">
      <formula>+IF($F$43="no",1,0)</formula>
    </cfRule>
  </conditionalFormatting>
  <conditionalFormatting sqref="F32:M33">
    <cfRule type="expression" dxfId="2637" priority="30">
      <formula>+IF($Q$30="NA",1,0)</formula>
    </cfRule>
  </conditionalFormatting>
  <conditionalFormatting sqref="F33:M33">
    <cfRule type="expression" dxfId="2636" priority="29">
      <formula>+IF($Q$33=0,1,0)</formula>
    </cfRule>
  </conditionalFormatting>
  <conditionalFormatting sqref="F47:M47">
    <cfRule type="expression" dxfId="2635" priority="28">
      <formula>+IF($Q$47=0,1,0)</formula>
    </cfRule>
  </conditionalFormatting>
  <conditionalFormatting sqref="F73:G73">
    <cfRule type="cellIs" dxfId="2634" priority="14" operator="equal">
      <formula>"optimo"</formula>
    </cfRule>
    <cfRule type="cellIs" dxfId="2633" priority="15" operator="equal">
      <formula>"critico"</formula>
    </cfRule>
  </conditionalFormatting>
  <conditionalFormatting sqref="H73:I73">
    <cfRule type="cellIs" dxfId="2632" priority="12" operator="equal">
      <formula>"Adecuado"</formula>
    </cfRule>
    <cfRule type="cellIs" dxfId="2631" priority="13" operator="equal">
      <formula>"en riesgo"</formula>
    </cfRule>
  </conditionalFormatting>
  <conditionalFormatting sqref="J73:K73">
    <cfRule type="cellIs" dxfId="2630" priority="10" operator="equal">
      <formula>"Adecuado"</formula>
    </cfRule>
    <cfRule type="cellIs" dxfId="2629" priority="11" operator="equal">
      <formula>"en riesgo"</formula>
    </cfRule>
  </conditionalFormatting>
  <conditionalFormatting sqref="L73:M73">
    <cfRule type="cellIs" dxfId="2628" priority="8" operator="equal">
      <formula>"optimo"</formula>
    </cfRule>
    <cfRule type="cellIs" dxfId="2627" priority="9" operator="equal">
      <formula>"critico"</formula>
    </cfRule>
  </conditionalFormatting>
  <conditionalFormatting sqref="F75:M86">
    <cfRule type="expression" dxfId="2626" priority="7">
      <formula>+IF($AK75=0,1)</formula>
    </cfRule>
  </conditionalFormatting>
  <conditionalFormatting sqref="F103:G104">
    <cfRule type="expression" dxfId="2625" priority="6">
      <formula>+IF($G$102="No",1,0)</formula>
    </cfRule>
  </conditionalFormatting>
  <conditionalFormatting sqref="F51">
    <cfRule type="expression" dxfId="2624" priority="5">
      <formula>+IF($F$43="no",1,0)</formula>
    </cfRule>
  </conditionalFormatting>
  <conditionalFormatting sqref="I51">
    <cfRule type="expression" dxfId="2623"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3">
    <tabColor rgb="FF0070C0"/>
  </sheetPr>
  <dimension ref="B1:AV113"/>
  <sheetViews>
    <sheetView topLeftCell="A52" zoomScaleNormal="100" workbookViewId="0">
      <selection activeCell="J80" sqref="J80:K8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199</v>
      </c>
      <c r="O10" s="2"/>
    </row>
    <row r="11" spans="2:24" ht="3.95" customHeight="1" x14ac:dyDescent="0.25">
      <c r="B11" s="2"/>
      <c r="D11" s="6"/>
      <c r="O11" s="2"/>
    </row>
    <row r="12" spans="2:24" ht="36" customHeight="1" x14ac:dyDescent="0.25">
      <c r="B12" s="2"/>
      <c r="D12" s="338" t="s">
        <v>5</v>
      </c>
      <c r="E12" s="339"/>
      <c r="F12" s="340" t="s">
        <v>200</v>
      </c>
      <c r="G12" s="341"/>
      <c r="H12" s="341"/>
      <c r="I12" s="341"/>
      <c r="J12" s="341"/>
      <c r="K12" s="341"/>
      <c r="L12" s="341"/>
      <c r="M12" s="342"/>
      <c r="O12" s="2"/>
      <c r="W12" s="3" t="str">
        <f>+F23</f>
        <v>Semestral</v>
      </c>
      <c r="X12" s="3" t="str">
        <f>+F71</f>
        <v>Junio</v>
      </c>
    </row>
    <row r="13" spans="2:24" ht="3.95" customHeight="1" x14ac:dyDescent="0.25">
      <c r="B13" s="2"/>
      <c r="O13" s="2"/>
    </row>
    <row r="14" spans="2:24" ht="36" customHeight="1" x14ac:dyDescent="0.25">
      <c r="B14" s="2"/>
      <c r="D14" s="338" t="s">
        <v>6</v>
      </c>
      <c r="E14" s="339"/>
      <c r="F14" s="340" t="s">
        <v>749</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17">
        <v>0.24</v>
      </c>
      <c r="G22" s="337" t="s">
        <v>9</v>
      </c>
      <c r="H22" s="337"/>
      <c r="I22" s="17">
        <v>0.25</v>
      </c>
      <c r="K22" s="337" t="s">
        <v>10</v>
      </c>
      <c r="L22" s="337"/>
      <c r="M22" s="9" t="s">
        <v>496</v>
      </c>
      <c r="O22" s="2"/>
    </row>
    <row r="23" spans="2:17" ht="19.5" customHeight="1" x14ac:dyDescent="0.25">
      <c r="B23" s="2"/>
      <c r="D23" s="337" t="s">
        <v>11</v>
      </c>
      <c r="E23" s="337"/>
      <c r="F23" s="4" t="s">
        <v>104</v>
      </c>
      <c r="G23" s="337" t="s">
        <v>12</v>
      </c>
      <c r="H23" s="337"/>
      <c r="I23" s="4" t="s">
        <v>497</v>
      </c>
      <c r="K23" s="337" t="s">
        <v>13</v>
      </c>
      <c r="L23" s="337"/>
      <c r="M23" s="9" t="s">
        <v>496</v>
      </c>
      <c r="O23" s="2"/>
    </row>
    <row r="24" spans="2:17" ht="20.100000000000001" customHeight="1" x14ac:dyDescent="0.25">
      <c r="B24" s="2"/>
      <c r="D24" s="337" t="s">
        <v>14</v>
      </c>
      <c r="E24" s="337"/>
      <c r="F24" s="4" t="s">
        <v>81</v>
      </c>
      <c r="G24" s="337" t="s">
        <v>15</v>
      </c>
      <c r="H24" s="337"/>
      <c r="I24" s="4" t="s">
        <v>103</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489</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NA</v>
      </c>
    </row>
    <row r="31" spans="2:17" ht="24" customHeight="1" x14ac:dyDescent="0.25">
      <c r="B31" s="2"/>
      <c r="D31" s="347"/>
      <c r="E31" s="348"/>
      <c r="F31" s="4" t="s">
        <v>176</v>
      </c>
      <c r="G31" s="340" t="s">
        <v>177</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500</v>
      </c>
      <c r="G33" s="340"/>
      <c r="H33" s="341"/>
      <c r="I33" s="341"/>
      <c r="J33" s="341"/>
      <c r="K33" s="341"/>
      <c r="L33" s="341"/>
      <c r="M33" s="342"/>
      <c r="O33" s="2"/>
      <c r="Q33" s="3" t="str">
        <f>+IFERROR(IF(VLOOKUP(G33,base!$A$26:$C$40,3,FALSE)=F31,1,0),"")</f>
        <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1714</v>
      </c>
      <c r="G35" s="340" t="s">
        <v>1590</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2</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500</v>
      </c>
      <c r="G45" s="340" t="s">
        <v>512</v>
      </c>
      <c r="H45" s="341"/>
      <c r="I45" s="341"/>
      <c r="J45" s="341"/>
      <c r="K45" s="341"/>
      <c r="L45" s="341"/>
      <c r="M45" s="342"/>
      <c r="O45" s="2"/>
      <c r="Q45" s="3" t="str">
        <f>+IFERROR(VLOOKUP(G45,base!$A$41:$C$45,3,FALSE),"")</f>
        <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500</v>
      </c>
      <c r="G47" s="340" t="s">
        <v>512</v>
      </c>
      <c r="H47" s="341"/>
      <c r="I47" s="341"/>
      <c r="J47" s="341"/>
      <c r="K47" s="341"/>
      <c r="L47" s="341"/>
      <c r="M47" s="342"/>
      <c r="O47" s="2"/>
      <c r="Q47" s="3" t="e">
        <f>+IF(VLOOKUP(G47,base!$A$46:$C$66,3,FALSE)=F45,1,0)</f>
        <v>#N/A</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555</v>
      </c>
      <c r="G49" s="340" t="s">
        <v>100</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17"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75" customHeight="1" x14ac:dyDescent="0.25">
      <c r="B59" s="2"/>
      <c r="D59" s="337" t="s">
        <v>34</v>
      </c>
      <c r="E59" s="337"/>
      <c r="F59" s="344" t="s">
        <v>750</v>
      </c>
      <c r="G59" s="344"/>
      <c r="H59" s="344"/>
      <c r="I59" s="344"/>
      <c r="J59" s="344"/>
      <c r="K59" s="344"/>
      <c r="L59" s="344"/>
      <c r="M59" s="344"/>
      <c r="O59" s="2"/>
    </row>
    <row r="60" spans="2:15" ht="27" customHeight="1" x14ac:dyDescent="0.25">
      <c r="B60" s="2"/>
      <c r="D60" s="359" t="s">
        <v>35</v>
      </c>
      <c r="E60" s="359"/>
      <c r="F60" s="344" t="s">
        <v>751</v>
      </c>
      <c r="G60" s="344"/>
      <c r="H60" s="344"/>
      <c r="I60" s="344"/>
      <c r="J60" s="344"/>
      <c r="K60" s="344"/>
      <c r="L60" s="344"/>
      <c r="M60" s="344"/>
      <c r="O60" s="2"/>
    </row>
    <row r="61" spans="2:15" ht="27" customHeight="1" x14ac:dyDescent="0.25">
      <c r="B61" s="2"/>
      <c r="D61" s="359" t="s">
        <v>36</v>
      </c>
      <c r="E61" s="359"/>
      <c r="F61" s="344" t="s">
        <v>752</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6</v>
      </c>
    </row>
    <row r="70" spans="2:37" ht="3.95" customHeight="1" x14ac:dyDescent="0.25">
      <c r="B70" s="2"/>
      <c r="D70" s="7"/>
      <c r="E70" s="7"/>
      <c r="O70" s="2"/>
    </row>
    <row r="71" spans="2:37" ht="18.75" customHeight="1" x14ac:dyDescent="0.25">
      <c r="B71" s="2"/>
      <c r="D71" s="343" t="s">
        <v>39</v>
      </c>
      <c r="E71" s="343"/>
      <c r="F71" s="4" t="s">
        <v>50</v>
      </c>
      <c r="G71" s="3">
        <v>6</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60" t="s">
        <v>50</v>
      </c>
      <c r="E80" s="360"/>
      <c r="F80" s="16" t="s">
        <v>500</v>
      </c>
      <c r="G80" s="16">
        <v>0.19900000000000001</v>
      </c>
      <c r="H80" s="16">
        <v>0.2</v>
      </c>
      <c r="I80" s="16">
        <v>0.22900000000000001</v>
      </c>
      <c r="J80" s="16">
        <v>0.23</v>
      </c>
      <c r="K80" s="16">
        <v>0.249</v>
      </c>
      <c r="L80" s="16">
        <v>0.25</v>
      </c>
      <c r="M80" s="16" t="s">
        <v>500</v>
      </c>
      <c r="O80" s="2"/>
      <c r="AE80" s="3" t="s">
        <v>50</v>
      </c>
      <c r="AF80" s="3">
        <v>6</v>
      </c>
      <c r="AG80" s="3">
        <f t="shared" si="0"/>
        <v>1</v>
      </c>
      <c r="AH80" s="3">
        <f>+IF(AG80=0,0,IF(AG80=1,(SUM($AG$75:AG80)-1),1))</f>
        <v>0</v>
      </c>
      <c r="AI80" s="3">
        <f t="shared" si="1"/>
        <v>0</v>
      </c>
      <c r="AJ80" s="3">
        <f t="shared" si="2"/>
        <v>1</v>
      </c>
      <c r="AK80" s="3">
        <f t="shared" si="3"/>
        <v>1</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1</v>
      </c>
      <c r="AI81" s="3">
        <f t="shared" si="1"/>
        <v>0</v>
      </c>
      <c r="AJ81" s="3">
        <f t="shared" si="2"/>
        <v>0</v>
      </c>
      <c r="AK81" s="3">
        <f t="shared" si="3"/>
        <v>0</v>
      </c>
    </row>
    <row r="82" spans="2:37" x14ac:dyDescent="0.25">
      <c r="B82" s="2"/>
      <c r="D82" s="360" t="s">
        <v>54</v>
      </c>
      <c r="E82" s="360"/>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2</v>
      </c>
      <c r="AI82" s="3">
        <f t="shared" si="1"/>
        <v>0</v>
      </c>
      <c r="AJ82" s="3">
        <f t="shared" si="2"/>
        <v>0</v>
      </c>
      <c r="AK82" s="3">
        <f t="shared" si="3"/>
        <v>0</v>
      </c>
    </row>
    <row r="83" spans="2:37" x14ac:dyDescent="0.25">
      <c r="B83" s="2"/>
      <c r="D83" s="360" t="s">
        <v>55</v>
      </c>
      <c r="E83" s="360"/>
      <c r="F83" s="16" t="s">
        <v>500</v>
      </c>
      <c r="G83" s="16" t="s">
        <v>500</v>
      </c>
      <c r="H83" s="16" t="s">
        <v>500</v>
      </c>
      <c r="I83" s="16" t="s">
        <v>500</v>
      </c>
      <c r="J83" s="16" t="s">
        <v>500</v>
      </c>
      <c r="K83" s="16" t="s">
        <v>500</v>
      </c>
      <c r="L83" s="16" t="s">
        <v>500</v>
      </c>
      <c r="M83" s="16" t="s">
        <v>500</v>
      </c>
      <c r="O83" s="2"/>
      <c r="AE83" s="3" t="s">
        <v>55</v>
      </c>
      <c r="AF83" s="3">
        <v>9</v>
      </c>
      <c r="AG83" s="3">
        <f t="shared" si="0"/>
        <v>1</v>
      </c>
      <c r="AH83" s="3">
        <f>+IF(AG83=0,0,IF(AG83=1,(SUM($AG$75:AG83)-1),1))</f>
        <v>3</v>
      </c>
      <c r="AI83" s="3">
        <f t="shared" si="1"/>
        <v>0</v>
      </c>
      <c r="AJ83" s="3">
        <f t="shared" si="2"/>
        <v>0</v>
      </c>
      <c r="AK83" s="3">
        <f t="shared" si="3"/>
        <v>0</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4</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5</v>
      </c>
      <c r="AI85" s="3">
        <f t="shared" si="1"/>
        <v>0</v>
      </c>
      <c r="AJ85" s="3">
        <f t="shared" si="2"/>
        <v>0</v>
      </c>
      <c r="AK85" s="3">
        <f t="shared" si="3"/>
        <v>0</v>
      </c>
    </row>
    <row r="86" spans="2:37" x14ac:dyDescent="0.25">
      <c r="B86" s="2"/>
      <c r="D86" s="360" t="s">
        <v>58</v>
      </c>
      <c r="E86" s="360"/>
      <c r="F86" s="16" t="s">
        <v>500</v>
      </c>
      <c r="G86" s="16">
        <v>0.19900000000000001</v>
      </c>
      <c r="H86" s="16">
        <v>0.2</v>
      </c>
      <c r="I86" s="16">
        <v>0.22900000000000001</v>
      </c>
      <c r="J86" s="16">
        <v>0.23</v>
      </c>
      <c r="K86" s="16">
        <v>0.249</v>
      </c>
      <c r="L86" s="16">
        <v>0.25</v>
      </c>
      <c r="M86" s="16" t="s">
        <v>500</v>
      </c>
      <c r="O86" s="2"/>
      <c r="AE86" s="3" t="s">
        <v>58</v>
      </c>
      <c r="AF86" s="65">
        <v>12</v>
      </c>
      <c r="AG86" s="3">
        <f t="shared" si="0"/>
        <v>1</v>
      </c>
      <c r="AH86" s="3">
        <f>+IF(AG86=0,0,IF(AG86=1,(SUM($AG$75:AG86)-1),1))</f>
        <v>6</v>
      </c>
      <c r="AI86" s="3">
        <f t="shared" si="1"/>
        <v>1</v>
      </c>
      <c r="AJ86" s="3">
        <f t="shared" si="2"/>
        <v>0</v>
      </c>
      <c r="AK86" s="3">
        <f t="shared" si="3"/>
        <v>1</v>
      </c>
    </row>
    <row r="87" spans="2:37" ht="3.75" customHeight="1" x14ac:dyDescent="0.25">
      <c r="B87" s="2"/>
      <c r="O87" s="2"/>
    </row>
    <row r="88" spans="2:37" ht="192" customHeight="1" x14ac:dyDescent="0.25">
      <c r="B88" s="2"/>
      <c r="D88" s="338" t="s">
        <v>59</v>
      </c>
      <c r="E88" s="339"/>
      <c r="F88" s="420" t="s">
        <v>691</v>
      </c>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28.5" customHeight="1" x14ac:dyDescent="0.25">
      <c r="B97" s="2"/>
      <c r="D97" s="359" t="s">
        <v>35</v>
      </c>
      <c r="E97" s="359"/>
      <c r="F97" s="344" t="s">
        <v>509</v>
      </c>
      <c r="G97" s="344"/>
      <c r="H97" s="344"/>
      <c r="I97" s="344"/>
      <c r="J97" s="344"/>
      <c r="K97" s="344"/>
      <c r="L97" s="344"/>
      <c r="M97" s="344"/>
      <c r="O97" s="2"/>
    </row>
    <row r="98" spans="2:15" ht="28.5" customHeight="1" x14ac:dyDescent="0.25">
      <c r="B98" s="2"/>
      <c r="D98" s="359" t="s">
        <v>36</v>
      </c>
      <c r="E98" s="359"/>
      <c r="F98" s="344" t="s">
        <v>509</v>
      </c>
      <c r="G98" s="344"/>
      <c r="H98" s="344"/>
      <c r="I98" s="344"/>
      <c r="J98" s="344"/>
      <c r="K98" s="344"/>
      <c r="L98" s="344"/>
      <c r="M98" s="344"/>
      <c r="O98" s="2"/>
    </row>
    <row r="99" spans="2:15" ht="3.95" customHeight="1" x14ac:dyDescent="0.25">
      <c r="B99" s="2"/>
      <c r="O99" s="2"/>
    </row>
    <row r="100" spans="2:15" ht="58.5" customHeight="1" x14ac:dyDescent="0.25">
      <c r="B100" s="2"/>
      <c r="D100" s="338" t="s">
        <v>62</v>
      </c>
      <c r="E100" s="339"/>
      <c r="F100" s="425" t="s">
        <v>654</v>
      </c>
      <c r="G100" s="426"/>
      <c r="H100" s="426"/>
      <c r="I100" s="426"/>
      <c r="J100" s="426"/>
      <c r="K100" s="426"/>
      <c r="L100" s="426"/>
      <c r="M100" s="427"/>
      <c r="O100" s="2"/>
    </row>
    <row r="101" spans="2:15" ht="3.95" customHeight="1" x14ac:dyDescent="0.25">
      <c r="B101" s="2"/>
      <c r="O101" s="2"/>
    </row>
    <row r="102" spans="2:15" ht="19.5" customHeight="1" x14ac:dyDescent="0.25">
      <c r="B102" s="2"/>
      <c r="D102" s="329" t="s">
        <v>64</v>
      </c>
      <c r="E102" s="330"/>
      <c r="F102" s="19" t="s">
        <v>65</v>
      </c>
      <c r="G102" s="4" t="s">
        <v>1</v>
      </c>
      <c r="K102" s="20"/>
      <c r="O102" s="2"/>
    </row>
    <row r="103" spans="2:15" ht="19.5" customHeight="1" x14ac:dyDescent="0.25">
      <c r="B103" s="2"/>
      <c r="D103" s="331"/>
      <c r="E103" s="332"/>
      <c r="F103" s="19" t="s">
        <v>66</v>
      </c>
      <c r="G103" s="4" t="s">
        <v>199</v>
      </c>
      <c r="K103" s="21"/>
      <c r="O103" s="2"/>
    </row>
    <row r="104" spans="2:15" ht="27.75" customHeight="1" x14ac:dyDescent="0.25">
      <c r="B104" s="2"/>
      <c r="D104" s="331"/>
      <c r="E104" s="332"/>
      <c r="F104" s="19" t="s">
        <v>67</v>
      </c>
      <c r="G104" s="365" t="s">
        <v>1756</v>
      </c>
      <c r="H104" s="366"/>
      <c r="I104" s="366"/>
      <c r="J104" s="366"/>
      <c r="K104" s="366"/>
      <c r="L104" s="366"/>
      <c r="M104" s="367"/>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65" t="e">
        <f>+VLOOKUP(H10,tablero!$P$5:$R$201,3,FALSE)</f>
        <v>#N/A</v>
      </c>
      <c r="H108" s="366"/>
      <c r="I108" s="366"/>
      <c r="J108" s="366"/>
      <c r="K108" s="366"/>
      <c r="L108" s="366"/>
      <c r="M108" s="367"/>
      <c r="O108" s="2"/>
    </row>
    <row r="109" spans="2:15" ht="17.25" customHeight="1" x14ac:dyDescent="0.25">
      <c r="B109" s="2"/>
      <c r="D109" s="331"/>
      <c r="E109" s="332"/>
      <c r="F109" s="19" t="s">
        <v>2042</v>
      </c>
      <c r="G109" s="365" t="str">
        <f>+IF(M23="Si","Coordinador(a) Planeación y Sistemas","")</f>
        <v>Coordinador(a) Planeación y Sistemas</v>
      </c>
      <c r="H109" s="366"/>
      <c r="I109" s="366"/>
      <c r="J109" s="366"/>
      <c r="K109" s="366"/>
      <c r="L109" s="366"/>
      <c r="M109" s="367"/>
      <c r="O109" s="2"/>
    </row>
    <row r="110" spans="2:15" ht="17.25" customHeight="1" x14ac:dyDescent="0.25">
      <c r="B110" s="2"/>
      <c r="D110" s="331"/>
      <c r="E110" s="332"/>
      <c r="F110" s="19" t="s">
        <v>2043</v>
      </c>
      <c r="G110" s="365" t="str">
        <f>+IF(M24="Si","Coordinador(a) Centro Zonal","")</f>
        <v/>
      </c>
      <c r="H110" s="366"/>
      <c r="I110" s="366"/>
      <c r="J110" s="366"/>
      <c r="K110" s="366"/>
      <c r="L110" s="366"/>
      <c r="M110" s="367"/>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622" priority="32">
      <formula>+IF($F$43="no",1,0)</formula>
    </cfRule>
  </conditionalFormatting>
  <conditionalFormatting sqref="F32:M33">
    <cfRule type="expression" dxfId="2621" priority="31">
      <formula>+IF($Q$30="NA",1,0)</formula>
    </cfRule>
  </conditionalFormatting>
  <conditionalFormatting sqref="F33:M33">
    <cfRule type="expression" dxfId="2620" priority="30">
      <formula>+IF($Q$33=0,1,0)</formula>
    </cfRule>
  </conditionalFormatting>
  <conditionalFormatting sqref="F47:M47">
    <cfRule type="expression" dxfId="2619" priority="29">
      <formula>+IF($Q$47=0,1,0)</formula>
    </cfRule>
  </conditionalFormatting>
  <conditionalFormatting sqref="F73:G73">
    <cfRule type="cellIs" dxfId="2618" priority="15" operator="equal">
      <formula>"optimo"</formula>
    </cfRule>
    <cfRule type="cellIs" dxfId="2617" priority="16" operator="equal">
      <formula>"critico"</formula>
    </cfRule>
  </conditionalFormatting>
  <conditionalFormatting sqref="H73:I73">
    <cfRule type="cellIs" dxfId="2616" priority="13" operator="equal">
      <formula>"Adecuado"</formula>
    </cfRule>
    <cfRule type="cellIs" dxfId="2615" priority="14" operator="equal">
      <formula>"en riesgo"</formula>
    </cfRule>
  </conditionalFormatting>
  <conditionalFormatting sqref="J73:K73">
    <cfRule type="cellIs" dxfId="2614" priority="11" operator="equal">
      <formula>"Adecuado"</formula>
    </cfRule>
    <cfRule type="cellIs" dxfId="2613" priority="12" operator="equal">
      <formula>"en riesgo"</formula>
    </cfRule>
  </conditionalFormatting>
  <conditionalFormatting sqref="L73:M73">
    <cfRule type="cellIs" dxfId="2612" priority="9" operator="equal">
      <formula>"optimo"</formula>
    </cfRule>
    <cfRule type="cellIs" dxfId="2611" priority="10" operator="equal">
      <formula>"critico"</formula>
    </cfRule>
  </conditionalFormatting>
  <conditionalFormatting sqref="F75:M86">
    <cfRule type="expression" dxfId="2610" priority="8">
      <formula>+IF($AK75=0,1)</formula>
    </cfRule>
  </conditionalFormatting>
  <conditionalFormatting sqref="F103:G104">
    <cfRule type="expression" dxfId="2609" priority="7">
      <formula>+IF($G$102="No",1,0)</formula>
    </cfRule>
  </conditionalFormatting>
  <conditionalFormatting sqref="F51">
    <cfRule type="expression" dxfId="2608" priority="6">
      <formula>+IF($F$43="no",1,0)</formula>
    </cfRule>
  </conditionalFormatting>
  <conditionalFormatting sqref="I51">
    <cfRule type="expression" dxfId="2607" priority="5">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4">
    <tabColor rgb="FF0070C0"/>
  </sheetPr>
  <dimension ref="B1:AV113"/>
  <sheetViews>
    <sheetView topLeftCell="A58" zoomScaleNormal="100" workbookViewId="0">
      <selection activeCell="J80" sqref="J80:K8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201</v>
      </c>
      <c r="O10" s="2"/>
    </row>
    <row r="11" spans="2:24" ht="3.95" customHeight="1" x14ac:dyDescent="0.25">
      <c r="B11" s="2"/>
      <c r="D11" s="6"/>
      <c r="O11" s="2"/>
    </row>
    <row r="12" spans="2:24" ht="36" customHeight="1" x14ac:dyDescent="0.25">
      <c r="B12" s="2"/>
      <c r="D12" s="338" t="s">
        <v>5</v>
      </c>
      <c r="E12" s="339"/>
      <c r="F12" s="340" t="s">
        <v>1584</v>
      </c>
      <c r="G12" s="341"/>
      <c r="H12" s="341"/>
      <c r="I12" s="341"/>
      <c r="J12" s="341"/>
      <c r="K12" s="341"/>
      <c r="L12" s="341"/>
      <c r="M12" s="342"/>
      <c r="O12" s="2"/>
      <c r="W12" s="3" t="str">
        <f>+F23</f>
        <v>Semestral</v>
      </c>
      <c r="X12" s="3" t="str">
        <f>+F71</f>
        <v>Junio</v>
      </c>
    </row>
    <row r="13" spans="2:24" ht="3.95" customHeight="1" x14ac:dyDescent="0.25">
      <c r="B13" s="2"/>
      <c r="O13" s="2"/>
    </row>
    <row r="14" spans="2:24" ht="45.75" customHeight="1" x14ac:dyDescent="0.25">
      <c r="B14" s="2"/>
      <c r="D14" s="338" t="s">
        <v>6</v>
      </c>
      <c r="E14" s="339"/>
      <c r="F14" s="340" t="s">
        <v>745</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17" t="s">
        <v>512</v>
      </c>
      <c r="G22" s="337" t="s">
        <v>9</v>
      </c>
      <c r="H22" s="337"/>
      <c r="I22" s="17">
        <v>0.8</v>
      </c>
      <c r="K22" s="337" t="s">
        <v>10</v>
      </c>
      <c r="L22" s="337"/>
      <c r="M22" s="9" t="s">
        <v>496</v>
      </c>
      <c r="O22" s="2"/>
    </row>
    <row r="23" spans="2:17" ht="19.5" customHeight="1" x14ac:dyDescent="0.25">
      <c r="B23" s="2"/>
      <c r="D23" s="337" t="s">
        <v>11</v>
      </c>
      <c r="E23" s="337"/>
      <c r="F23" s="4" t="s">
        <v>104</v>
      </c>
      <c r="G23" s="337" t="s">
        <v>12</v>
      </c>
      <c r="H23" s="337"/>
      <c r="I23" s="4" t="s">
        <v>497</v>
      </c>
      <c r="K23" s="337" t="s">
        <v>13</v>
      </c>
      <c r="L23" s="337"/>
      <c r="M23" s="9" t="s">
        <v>496</v>
      </c>
      <c r="O23" s="2"/>
    </row>
    <row r="24" spans="2:17" ht="20.100000000000001" customHeight="1" x14ac:dyDescent="0.25">
      <c r="B24" s="2"/>
      <c r="D24" s="337" t="s">
        <v>14</v>
      </c>
      <c r="E24" s="337"/>
      <c r="F24" s="4" t="s">
        <v>498</v>
      </c>
      <c r="G24" s="337" t="s">
        <v>15</v>
      </c>
      <c r="H24" s="337"/>
      <c r="I24" s="4" t="s">
        <v>103</v>
      </c>
      <c r="K24" s="337" t="s">
        <v>16</v>
      </c>
      <c r="L24" s="337"/>
      <c r="M24" s="9" t="s">
        <v>496</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489</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NA</v>
      </c>
    </row>
    <row r="31" spans="2:17" ht="24" customHeight="1" x14ac:dyDescent="0.25">
      <c r="B31" s="2"/>
      <c r="D31" s="347"/>
      <c r="E31" s="348"/>
      <c r="F31" s="4" t="s">
        <v>176</v>
      </c>
      <c r="G31" s="340" t="s">
        <v>177</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500</v>
      </c>
      <c r="G33" s="340"/>
      <c r="H33" s="341"/>
      <c r="I33" s="341"/>
      <c r="J33" s="341"/>
      <c r="K33" s="341"/>
      <c r="L33" s="341"/>
      <c r="M33" s="342"/>
      <c r="O33" s="2"/>
      <c r="Q33" s="3" t="str">
        <f>+IFERROR(IF(VLOOKUP(G33,base!$A$26:$C$40,3,FALSE)=F31,1,0),"")</f>
        <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1714</v>
      </c>
      <c r="G35" s="340" t="s">
        <v>1590</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2</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500</v>
      </c>
      <c r="G45" s="340" t="s">
        <v>512</v>
      </c>
      <c r="H45" s="341"/>
      <c r="I45" s="341"/>
      <c r="J45" s="341"/>
      <c r="K45" s="341"/>
      <c r="L45" s="341"/>
      <c r="M45" s="342"/>
      <c r="O45" s="2"/>
      <c r="Q45" s="3" t="str">
        <f>+IFERROR(VLOOKUP(G45,base!$A$41:$C$45,3,FALSE),"")</f>
        <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500</v>
      </c>
      <c r="G47" s="340" t="s">
        <v>512</v>
      </c>
      <c r="H47" s="341"/>
      <c r="I47" s="341"/>
      <c r="J47" s="341"/>
      <c r="K47" s="341"/>
      <c r="L47" s="341"/>
      <c r="M47" s="342"/>
      <c r="O47" s="2"/>
      <c r="Q47" s="3" t="e">
        <f>+IF(VLOOKUP(G47,base!$A$46:$C$66,3,FALSE)=F45,1,0)</f>
        <v>#N/A</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555</v>
      </c>
      <c r="G49" s="340" t="s">
        <v>100</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17"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3.25" customHeight="1" x14ac:dyDescent="0.25">
      <c r="B59" s="2"/>
      <c r="D59" s="337" t="s">
        <v>34</v>
      </c>
      <c r="E59" s="337"/>
      <c r="F59" s="344" t="s">
        <v>746</v>
      </c>
      <c r="G59" s="344"/>
      <c r="H59" s="344"/>
      <c r="I59" s="344"/>
      <c r="J59" s="344"/>
      <c r="K59" s="344"/>
      <c r="L59" s="344"/>
      <c r="M59" s="344"/>
      <c r="O59" s="2"/>
    </row>
    <row r="60" spans="2:15" ht="27" customHeight="1" x14ac:dyDescent="0.25">
      <c r="B60" s="2"/>
      <c r="D60" s="359" t="s">
        <v>35</v>
      </c>
      <c r="E60" s="359"/>
      <c r="F60" s="344" t="s">
        <v>747</v>
      </c>
      <c r="G60" s="344"/>
      <c r="H60" s="344"/>
      <c r="I60" s="344"/>
      <c r="J60" s="344"/>
      <c r="K60" s="344"/>
      <c r="L60" s="344"/>
      <c r="M60" s="344"/>
      <c r="O60" s="2"/>
    </row>
    <row r="61" spans="2:15" ht="27" customHeight="1" x14ac:dyDescent="0.25">
      <c r="B61" s="2"/>
      <c r="D61" s="359" t="s">
        <v>36</v>
      </c>
      <c r="E61" s="359"/>
      <c r="F61" s="344" t="s">
        <v>748</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6</v>
      </c>
    </row>
    <row r="70" spans="2:37" ht="3.95" customHeight="1" x14ac:dyDescent="0.25">
      <c r="B70" s="2"/>
      <c r="D70" s="7"/>
      <c r="E70" s="7"/>
      <c r="O70" s="2"/>
    </row>
    <row r="71" spans="2:37" ht="18.75" customHeight="1" x14ac:dyDescent="0.25">
      <c r="B71" s="2"/>
      <c r="D71" s="343" t="s">
        <v>39</v>
      </c>
      <c r="E71" s="343"/>
      <c r="F71" s="4" t="s">
        <v>50</v>
      </c>
      <c r="G71" s="3">
        <v>6</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60" t="s">
        <v>50</v>
      </c>
      <c r="E80" s="360"/>
      <c r="F80" s="16" t="s">
        <v>500</v>
      </c>
      <c r="G80" s="16">
        <v>0.59899999999999998</v>
      </c>
      <c r="H80" s="16">
        <v>0.6</v>
      </c>
      <c r="I80" s="16">
        <v>0.69899999999999995</v>
      </c>
      <c r="J80" s="16">
        <v>0.7</v>
      </c>
      <c r="K80" s="16">
        <v>0.79900000000000004</v>
      </c>
      <c r="L80" s="16">
        <v>0.8</v>
      </c>
      <c r="M80" s="16" t="s">
        <v>500</v>
      </c>
      <c r="O80" s="2"/>
      <c r="AE80" s="3" t="s">
        <v>50</v>
      </c>
      <c r="AF80" s="3">
        <v>6</v>
      </c>
      <c r="AG80" s="3">
        <f t="shared" si="0"/>
        <v>1</v>
      </c>
      <c r="AH80" s="3">
        <f>+IF(AG80=0,0,IF(AG80=1,(SUM($AG$75:AG80)-1),1))</f>
        <v>0</v>
      </c>
      <c r="AI80" s="3">
        <f t="shared" si="1"/>
        <v>0</v>
      </c>
      <c r="AJ80" s="3">
        <f t="shared" si="2"/>
        <v>1</v>
      </c>
      <c r="AK80" s="3">
        <f t="shared" si="3"/>
        <v>1</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1</v>
      </c>
      <c r="AI81" s="3">
        <f t="shared" si="1"/>
        <v>0</v>
      </c>
      <c r="AJ81" s="3">
        <f t="shared" si="2"/>
        <v>0</v>
      </c>
      <c r="AK81" s="3">
        <f t="shared" si="3"/>
        <v>0</v>
      </c>
    </row>
    <row r="82" spans="2:37" x14ac:dyDescent="0.25">
      <c r="B82" s="2"/>
      <c r="D82" s="360" t="s">
        <v>54</v>
      </c>
      <c r="E82" s="360"/>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2</v>
      </c>
      <c r="AI82" s="3">
        <f t="shared" si="1"/>
        <v>0</v>
      </c>
      <c r="AJ82" s="3">
        <f t="shared" si="2"/>
        <v>0</v>
      </c>
      <c r="AK82" s="3">
        <f t="shared" si="3"/>
        <v>0</v>
      </c>
    </row>
    <row r="83" spans="2:37" x14ac:dyDescent="0.25">
      <c r="B83" s="2"/>
      <c r="D83" s="360" t="s">
        <v>55</v>
      </c>
      <c r="E83" s="360"/>
      <c r="F83" s="16" t="s">
        <v>500</v>
      </c>
      <c r="G83" s="16" t="s">
        <v>500</v>
      </c>
      <c r="H83" s="16" t="s">
        <v>500</v>
      </c>
      <c r="I83" s="16" t="s">
        <v>500</v>
      </c>
      <c r="J83" s="16" t="s">
        <v>500</v>
      </c>
      <c r="K83" s="16" t="s">
        <v>500</v>
      </c>
      <c r="L83" s="16" t="s">
        <v>500</v>
      </c>
      <c r="M83" s="16" t="s">
        <v>500</v>
      </c>
      <c r="O83" s="2"/>
      <c r="AE83" s="3" t="s">
        <v>55</v>
      </c>
      <c r="AF83" s="3">
        <v>9</v>
      </c>
      <c r="AG83" s="3">
        <f t="shared" si="0"/>
        <v>1</v>
      </c>
      <c r="AH83" s="3">
        <f>+IF(AG83=0,0,IF(AG83=1,(SUM($AG$75:AG83)-1),1))</f>
        <v>3</v>
      </c>
      <c r="AI83" s="3">
        <f t="shared" si="1"/>
        <v>0</v>
      </c>
      <c r="AJ83" s="3">
        <f t="shared" si="2"/>
        <v>0</v>
      </c>
      <c r="AK83" s="3">
        <f t="shared" si="3"/>
        <v>0</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4</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5</v>
      </c>
      <c r="AI85" s="3">
        <f t="shared" si="1"/>
        <v>0</v>
      </c>
      <c r="AJ85" s="3">
        <f t="shared" si="2"/>
        <v>0</v>
      </c>
      <c r="AK85" s="3">
        <f t="shared" si="3"/>
        <v>0</v>
      </c>
    </row>
    <row r="86" spans="2:37" x14ac:dyDescent="0.25">
      <c r="B86" s="2"/>
      <c r="D86" s="360" t="s">
        <v>58</v>
      </c>
      <c r="E86" s="360"/>
      <c r="F86" s="16" t="s">
        <v>500</v>
      </c>
      <c r="G86" s="16">
        <v>0.59899999999999998</v>
      </c>
      <c r="H86" s="16">
        <v>0.6</v>
      </c>
      <c r="I86" s="16">
        <v>0.69899999999999995</v>
      </c>
      <c r="J86" s="16">
        <v>0.7</v>
      </c>
      <c r="K86" s="16">
        <v>0.79900000000000004</v>
      </c>
      <c r="L86" s="16">
        <v>0.8</v>
      </c>
      <c r="M86" s="16" t="s">
        <v>500</v>
      </c>
      <c r="O86" s="2"/>
      <c r="AE86" s="3" t="s">
        <v>58</v>
      </c>
      <c r="AF86" s="65">
        <v>12</v>
      </c>
      <c r="AG86" s="3">
        <f t="shared" si="0"/>
        <v>1</v>
      </c>
      <c r="AH86" s="3">
        <f>+IF(AG86=0,0,IF(AG86=1,(SUM($AG$75:AG86)-1),1))</f>
        <v>6</v>
      </c>
      <c r="AI86" s="3">
        <f t="shared" si="1"/>
        <v>1</v>
      </c>
      <c r="AJ86" s="3">
        <f t="shared" si="2"/>
        <v>0</v>
      </c>
      <c r="AK86" s="3">
        <f t="shared" si="3"/>
        <v>1</v>
      </c>
    </row>
    <row r="87" spans="2:37" ht="3.75" customHeight="1" x14ac:dyDescent="0.25">
      <c r="B87" s="2"/>
      <c r="O87" s="2"/>
    </row>
    <row r="88" spans="2:37" ht="274.5" customHeight="1" x14ac:dyDescent="0.25">
      <c r="B88" s="2"/>
      <c r="D88" s="338" t="s">
        <v>59</v>
      </c>
      <c r="E88" s="339"/>
      <c r="F88" s="420" t="s">
        <v>708</v>
      </c>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28.5" customHeight="1" x14ac:dyDescent="0.25">
      <c r="B97" s="2"/>
      <c r="D97" s="359" t="s">
        <v>35</v>
      </c>
      <c r="E97" s="359"/>
      <c r="F97" s="344" t="s">
        <v>509</v>
      </c>
      <c r="G97" s="344"/>
      <c r="H97" s="344"/>
      <c r="I97" s="344"/>
      <c r="J97" s="344"/>
      <c r="K97" s="344"/>
      <c r="L97" s="344"/>
      <c r="M97" s="344"/>
      <c r="O97" s="2"/>
    </row>
    <row r="98" spans="2:15" ht="28.5" customHeight="1" x14ac:dyDescent="0.25">
      <c r="B98" s="2"/>
      <c r="D98" s="359" t="s">
        <v>36</v>
      </c>
      <c r="E98" s="359"/>
      <c r="F98" s="344" t="s">
        <v>509</v>
      </c>
      <c r="G98" s="344"/>
      <c r="H98" s="344"/>
      <c r="I98" s="344"/>
      <c r="J98" s="344"/>
      <c r="K98" s="344"/>
      <c r="L98" s="344"/>
      <c r="M98" s="344"/>
      <c r="O98" s="2"/>
    </row>
    <row r="99" spans="2:15" ht="3.95" customHeight="1" x14ac:dyDescent="0.25">
      <c r="B99" s="2"/>
      <c r="O99" s="2"/>
    </row>
    <row r="100" spans="2:15" ht="311.25" customHeight="1" x14ac:dyDescent="0.25">
      <c r="B100" s="2"/>
      <c r="D100" s="338" t="s">
        <v>62</v>
      </c>
      <c r="E100" s="339"/>
      <c r="F100" s="365" t="s">
        <v>655</v>
      </c>
      <c r="G100" s="428"/>
      <c r="H100" s="428"/>
      <c r="I100" s="428"/>
      <c r="J100" s="428"/>
      <c r="K100" s="428"/>
      <c r="L100" s="428"/>
      <c r="M100" s="429"/>
      <c r="O100" s="2"/>
    </row>
    <row r="101" spans="2:15" ht="3.95" customHeight="1" x14ac:dyDescent="0.25">
      <c r="B101" s="2"/>
      <c r="O101" s="2"/>
    </row>
    <row r="102" spans="2:15" ht="19.5" customHeight="1" x14ac:dyDescent="0.25">
      <c r="B102" s="2"/>
      <c r="D102" s="329" t="s">
        <v>64</v>
      </c>
      <c r="E102" s="330"/>
      <c r="F102" s="19" t="s">
        <v>65</v>
      </c>
      <c r="G102" s="4" t="s">
        <v>2</v>
      </c>
      <c r="K102" s="20"/>
      <c r="O102" s="2"/>
    </row>
    <row r="103" spans="2:15" ht="19.5" customHeight="1" x14ac:dyDescent="0.25">
      <c r="B103" s="2"/>
      <c r="D103" s="331"/>
      <c r="E103" s="332"/>
      <c r="F103" s="19" t="s">
        <v>66</v>
      </c>
      <c r="G103" s="4"/>
      <c r="K103" s="21"/>
      <c r="O103" s="2"/>
    </row>
    <row r="104" spans="2:15" ht="27.75" customHeight="1" x14ac:dyDescent="0.25">
      <c r="B104" s="2"/>
      <c r="D104" s="331"/>
      <c r="E104" s="332"/>
      <c r="F104" s="19" t="s">
        <v>67</v>
      </c>
      <c r="G104" s="333"/>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Director(a) Nutrición</v>
      </c>
      <c r="H108" s="334"/>
      <c r="I108" s="334"/>
      <c r="J108" s="334"/>
      <c r="K108" s="334"/>
      <c r="L108" s="334"/>
      <c r="M108" s="335"/>
      <c r="O108" s="2"/>
    </row>
    <row r="109" spans="2:15" ht="17.25" customHeight="1" x14ac:dyDescent="0.25">
      <c r="B109" s="2"/>
      <c r="D109" s="331"/>
      <c r="E109" s="332"/>
      <c r="F109" s="19" t="s">
        <v>2042</v>
      </c>
      <c r="G109" s="333" t="str">
        <f>+IF(M23="Si","Coordinador(a) Planeación y Sistemas","")</f>
        <v>Coordinador(a) Planeación y Sistemas</v>
      </c>
      <c r="H109" s="334"/>
      <c r="I109" s="334"/>
      <c r="J109" s="334"/>
      <c r="K109" s="334"/>
      <c r="L109" s="334"/>
      <c r="M109" s="335"/>
      <c r="O109" s="2"/>
    </row>
    <row r="110" spans="2:15" ht="17.25" customHeight="1" x14ac:dyDescent="0.25">
      <c r="B110" s="2"/>
      <c r="D110" s="331"/>
      <c r="E110" s="332"/>
      <c r="F110" s="19" t="s">
        <v>2043</v>
      </c>
      <c r="G110" s="333" t="str">
        <f>+IF(M24="Si","Coordinador(a) Centro Zonal","")</f>
        <v>Coordinador(a) Centro Zonal</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606" priority="31">
      <formula>+IF($F$43="no",1,0)</formula>
    </cfRule>
  </conditionalFormatting>
  <conditionalFormatting sqref="F32:M33">
    <cfRule type="expression" dxfId="2605" priority="30">
      <formula>+IF($Q$30="NA",1,0)</formula>
    </cfRule>
  </conditionalFormatting>
  <conditionalFormatting sqref="F33:M33">
    <cfRule type="expression" dxfId="2604" priority="29">
      <formula>+IF($Q$33=0,1,0)</formula>
    </cfRule>
  </conditionalFormatting>
  <conditionalFormatting sqref="F47:M47">
    <cfRule type="expression" dxfId="2603" priority="28">
      <formula>+IF($Q$47=0,1,0)</formula>
    </cfRule>
  </conditionalFormatting>
  <conditionalFormatting sqref="F73:G73">
    <cfRule type="cellIs" dxfId="2602" priority="15" operator="equal">
      <formula>"optimo"</formula>
    </cfRule>
    <cfRule type="cellIs" dxfId="2601" priority="16" operator="equal">
      <formula>"critico"</formula>
    </cfRule>
  </conditionalFormatting>
  <conditionalFormatting sqref="H73:I73">
    <cfRule type="cellIs" dxfId="2600" priority="13" operator="equal">
      <formula>"Adecuado"</formula>
    </cfRule>
    <cfRule type="cellIs" dxfId="2599" priority="14" operator="equal">
      <formula>"en riesgo"</formula>
    </cfRule>
  </conditionalFormatting>
  <conditionalFormatting sqref="J73:K73">
    <cfRule type="cellIs" dxfId="2598" priority="11" operator="equal">
      <formula>"Adecuado"</formula>
    </cfRule>
    <cfRule type="cellIs" dxfId="2597" priority="12" operator="equal">
      <formula>"en riesgo"</formula>
    </cfRule>
  </conditionalFormatting>
  <conditionalFormatting sqref="L73:M73">
    <cfRule type="cellIs" dxfId="2596" priority="9" operator="equal">
      <formula>"optimo"</formula>
    </cfRule>
    <cfRule type="cellIs" dxfId="2595" priority="10" operator="equal">
      <formula>"critico"</formula>
    </cfRule>
  </conditionalFormatting>
  <conditionalFormatting sqref="F75:M86">
    <cfRule type="expression" dxfId="2594" priority="8">
      <formula>+IF($AK75=0,1)</formula>
    </cfRule>
  </conditionalFormatting>
  <conditionalFormatting sqref="F103:G104">
    <cfRule type="expression" dxfId="2593" priority="7">
      <formula>+IF($G$102="No",1,0)</formula>
    </cfRule>
  </conditionalFormatting>
  <conditionalFormatting sqref="F51">
    <cfRule type="expression" dxfId="2592" priority="6">
      <formula>+IF($F$43="no",1,0)</formula>
    </cfRule>
  </conditionalFormatting>
  <conditionalFormatting sqref="I51">
    <cfRule type="expression" dxfId="2591" priority="5">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5">
    <tabColor rgb="FF0070C0"/>
  </sheetPr>
  <dimension ref="B1:AV113"/>
  <sheetViews>
    <sheetView topLeftCell="A49" zoomScaleNormal="100" workbookViewId="0">
      <selection activeCell="J80" sqref="J80:K8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710</v>
      </c>
      <c r="O10" s="2"/>
    </row>
    <row r="11" spans="2:24" ht="3.95" customHeight="1" x14ac:dyDescent="0.25">
      <c r="B11" s="2"/>
      <c r="D11" s="6"/>
      <c r="O11" s="2"/>
    </row>
    <row r="12" spans="2:24" ht="41.25" customHeight="1" x14ac:dyDescent="0.25">
      <c r="B12" s="2"/>
      <c r="D12" s="338" t="s">
        <v>5</v>
      </c>
      <c r="E12" s="339"/>
      <c r="F12" s="340" t="s">
        <v>1585</v>
      </c>
      <c r="G12" s="341"/>
      <c r="H12" s="341"/>
      <c r="I12" s="341"/>
      <c r="J12" s="341"/>
      <c r="K12" s="341"/>
      <c r="L12" s="341"/>
      <c r="M12" s="342"/>
      <c r="O12" s="2"/>
      <c r="W12" s="3" t="str">
        <f>+F23</f>
        <v>Semestral</v>
      </c>
      <c r="X12" s="3" t="str">
        <f>+F71</f>
        <v>Junio</v>
      </c>
    </row>
    <row r="13" spans="2:24" ht="3.95" customHeight="1" x14ac:dyDescent="0.25">
      <c r="B13" s="2"/>
      <c r="O13" s="2"/>
    </row>
    <row r="14" spans="2:24" ht="45.75" customHeight="1" x14ac:dyDescent="0.25">
      <c r="B14" s="2"/>
      <c r="D14" s="338" t="s">
        <v>6</v>
      </c>
      <c r="E14" s="339"/>
      <c r="F14" s="340" t="s">
        <v>711</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17" t="s">
        <v>512</v>
      </c>
      <c r="G22" s="337" t="s">
        <v>9</v>
      </c>
      <c r="H22" s="337"/>
      <c r="I22" s="17">
        <v>0.8</v>
      </c>
      <c r="K22" s="337" t="s">
        <v>10</v>
      </c>
      <c r="L22" s="337"/>
      <c r="M22" s="9" t="s">
        <v>496</v>
      </c>
      <c r="O22" s="2"/>
    </row>
    <row r="23" spans="2:17" ht="19.5" customHeight="1" x14ac:dyDescent="0.25">
      <c r="B23" s="2"/>
      <c r="D23" s="337" t="s">
        <v>11</v>
      </c>
      <c r="E23" s="337"/>
      <c r="F23" s="4" t="s">
        <v>104</v>
      </c>
      <c r="G23" s="337" t="s">
        <v>12</v>
      </c>
      <c r="H23" s="337"/>
      <c r="I23" s="4" t="s">
        <v>497</v>
      </c>
      <c r="K23" s="337" t="s">
        <v>13</v>
      </c>
      <c r="L23" s="337"/>
      <c r="M23" s="9" t="s">
        <v>496</v>
      </c>
      <c r="O23" s="2"/>
    </row>
    <row r="24" spans="2:17" ht="20.100000000000001" customHeight="1" x14ac:dyDescent="0.25">
      <c r="B24" s="2"/>
      <c r="D24" s="337" t="s">
        <v>14</v>
      </c>
      <c r="E24" s="337"/>
      <c r="F24" s="4" t="s">
        <v>498</v>
      </c>
      <c r="G24" s="337" t="s">
        <v>15</v>
      </c>
      <c r="H24" s="337"/>
      <c r="I24" s="4" t="s">
        <v>103</v>
      </c>
      <c r="K24" s="337" t="s">
        <v>16</v>
      </c>
      <c r="L24" s="337"/>
      <c r="M24" s="9" t="s">
        <v>496</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489</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NA</v>
      </c>
    </row>
    <row r="31" spans="2:17" ht="24" customHeight="1" x14ac:dyDescent="0.25">
      <c r="B31" s="2"/>
      <c r="D31" s="347"/>
      <c r="E31" s="348"/>
      <c r="F31" s="4" t="s">
        <v>176</v>
      </c>
      <c r="G31" s="340" t="s">
        <v>177</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500</v>
      </c>
      <c r="G33" s="340"/>
      <c r="H33" s="341"/>
      <c r="I33" s="341"/>
      <c r="J33" s="341"/>
      <c r="K33" s="341"/>
      <c r="L33" s="341"/>
      <c r="M33" s="342"/>
      <c r="O33" s="2"/>
      <c r="Q33" s="3" t="str">
        <f>+IFERROR(IF(VLOOKUP(G33,base!$A$26:$C$40,3,FALSE)=F31,1,0),"")</f>
        <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1714</v>
      </c>
      <c r="G35" s="340" t="s">
        <v>1590</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2</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500</v>
      </c>
      <c r="G45" s="340" t="s">
        <v>512</v>
      </c>
      <c r="H45" s="341"/>
      <c r="I45" s="341"/>
      <c r="J45" s="341"/>
      <c r="K45" s="341"/>
      <c r="L45" s="341"/>
      <c r="M45" s="342"/>
      <c r="O45" s="2"/>
      <c r="Q45" s="3" t="str">
        <f>+IFERROR(VLOOKUP(G45,base!$A$41:$C$45,3,FALSE),"")</f>
        <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500</v>
      </c>
      <c r="G47" s="340" t="s">
        <v>512</v>
      </c>
      <c r="H47" s="341"/>
      <c r="I47" s="341"/>
      <c r="J47" s="341"/>
      <c r="K47" s="341"/>
      <c r="L47" s="341"/>
      <c r="M47" s="342"/>
      <c r="O47" s="2"/>
      <c r="Q47" s="3" t="e">
        <f>+IF(VLOOKUP(G47,base!$A$46:$C$66,3,FALSE)=F45,1,0)</f>
        <v>#N/A</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555</v>
      </c>
      <c r="G49" s="340" t="s">
        <v>100</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17"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3.25" customHeight="1" x14ac:dyDescent="0.25">
      <c r="B59" s="2"/>
      <c r="D59" s="337" t="s">
        <v>34</v>
      </c>
      <c r="E59" s="337"/>
      <c r="F59" s="344" t="s">
        <v>744</v>
      </c>
      <c r="G59" s="344"/>
      <c r="H59" s="344"/>
      <c r="I59" s="344"/>
      <c r="J59" s="344"/>
      <c r="K59" s="344"/>
      <c r="L59" s="344"/>
      <c r="M59" s="344"/>
      <c r="O59" s="2"/>
    </row>
    <row r="60" spans="2:15" ht="36" customHeight="1" x14ac:dyDescent="0.25">
      <c r="B60" s="2"/>
      <c r="D60" s="359" t="s">
        <v>35</v>
      </c>
      <c r="E60" s="359"/>
      <c r="F60" s="344" t="s">
        <v>713</v>
      </c>
      <c r="G60" s="344"/>
      <c r="H60" s="344"/>
      <c r="I60" s="344"/>
      <c r="J60" s="344"/>
      <c r="K60" s="344"/>
      <c r="L60" s="344"/>
      <c r="M60" s="344"/>
      <c r="O60" s="2"/>
    </row>
    <row r="61" spans="2:15" ht="27" customHeight="1" x14ac:dyDescent="0.25">
      <c r="B61" s="2"/>
      <c r="D61" s="359" t="s">
        <v>36</v>
      </c>
      <c r="E61" s="359"/>
      <c r="F61" s="344" t="s">
        <v>714</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6</v>
      </c>
    </row>
    <row r="70" spans="2:37" ht="3.95" customHeight="1" x14ac:dyDescent="0.25">
      <c r="B70" s="2"/>
      <c r="D70" s="7"/>
      <c r="E70" s="7"/>
      <c r="O70" s="2"/>
    </row>
    <row r="71" spans="2:37" ht="18.75" customHeight="1" x14ac:dyDescent="0.25">
      <c r="B71" s="2"/>
      <c r="D71" s="343" t="s">
        <v>39</v>
      </c>
      <c r="E71" s="343"/>
      <c r="F71" s="4" t="s">
        <v>50</v>
      </c>
      <c r="G71" s="3">
        <v>6</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60" t="s">
        <v>50</v>
      </c>
      <c r="E80" s="360"/>
      <c r="F80" s="16" t="s">
        <v>500</v>
      </c>
      <c r="G80" s="16">
        <v>0.59899999999999998</v>
      </c>
      <c r="H80" s="16">
        <v>0.6</v>
      </c>
      <c r="I80" s="16">
        <v>0.69899999999999995</v>
      </c>
      <c r="J80" s="16">
        <v>0.7</v>
      </c>
      <c r="K80" s="16">
        <v>0.79900000000000004</v>
      </c>
      <c r="L80" s="16">
        <v>0.8</v>
      </c>
      <c r="M80" s="16" t="s">
        <v>500</v>
      </c>
      <c r="O80" s="2"/>
      <c r="AE80" s="3" t="s">
        <v>50</v>
      </c>
      <c r="AF80" s="3">
        <v>6</v>
      </c>
      <c r="AG80" s="3">
        <f t="shared" si="0"/>
        <v>1</v>
      </c>
      <c r="AH80" s="3">
        <f>+IF(AG80=0,0,IF(AG80=1,(SUM($AG$75:AG80)-1),1))</f>
        <v>0</v>
      </c>
      <c r="AI80" s="3">
        <f t="shared" si="1"/>
        <v>0</v>
      </c>
      <c r="AJ80" s="3">
        <f t="shared" si="2"/>
        <v>1</v>
      </c>
      <c r="AK80" s="3">
        <f t="shared" si="3"/>
        <v>1</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1</v>
      </c>
      <c r="AI81" s="3">
        <f t="shared" si="1"/>
        <v>0</v>
      </c>
      <c r="AJ81" s="3">
        <f t="shared" si="2"/>
        <v>0</v>
      </c>
      <c r="AK81" s="3">
        <f t="shared" si="3"/>
        <v>0</v>
      </c>
    </row>
    <row r="82" spans="2:37" x14ac:dyDescent="0.25">
      <c r="B82" s="2"/>
      <c r="D82" s="360" t="s">
        <v>54</v>
      </c>
      <c r="E82" s="360"/>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2</v>
      </c>
      <c r="AI82" s="3">
        <f t="shared" si="1"/>
        <v>0</v>
      </c>
      <c r="AJ82" s="3">
        <f t="shared" si="2"/>
        <v>0</v>
      </c>
      <c r="AK82" s="3">
        <f t="shared" si="3"/>
        <v>0</v>
      </c>
    </row>
    <row r="83" spans="2:37" x14ac:dyDescent="0.25">
      <c r="B83" s="2"/>
      <c r="D83" s="360" t="s">
        <v>55</v>
      </c>
      <c r="E83" s="360"/>
      <c r="F83" s="16" t="s">
        <v>500</v>
      </c>
      <c r="G83" s="16" t="s">
        <v>500</v>
      </c>
      <c r="H83" s="16" t="s">
        <v>500</v>
      </c>
      <c r="I83" s="16" t="s">
        <v>500</v>
      </c>
      <c r="J83" s="16" t="s">
        <v>500</v>
      </c>
      <c r="K83" s="16" t="s">
        <v>500</v>
      </c>
      <c r="L83" s="16" t="s">
        <v>500</v>
      </c>
      <c r="M83" s="16" t="s">
        <v>500</v>
      </c>
      <c r="O83" s="2"/>
      <c r="AE83" s="3" t="s">
        <v>55</v>
      </c>
      <c r="AF83" s="3">
        <v>9</v>
      </c>
      <c r="AG83" s="3">
        <f t="shared" si="0"/>
        <v>1</v>
      </c>
      <c r="AH83" s="3">
        <f>+IF(AG83=0,0,IF(AG83=1,(SUM($AG$75:AG83)-1),1))</f>
        <v>3</v>
      </c>
      <c r="AI83" s="3">
        <f t="shared" si="1"/>
        <v>0</v>
      </c>
      <c r="AJ83" s="3">
        <f t="shared" si="2"/>
        <v>0</v>
      </c>
      <c r="AK83" s="3">
        <f t="shared" si="3"/>
        <v>0</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4</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5</v>
      </c>
      <c r="AI85" s="3">
        <f t="shared" si="1"/>
        <v>0</v>
      </c>
      <c r="AJ85" s="3">
        <f t="shared" si="2"/>
        <v>0</v>
      </c>
      <c r="AK85" s="3">
        <f t="shared" si="3"/>
        <v>0</v>
      </c>
    </row>
    <row r="86" spans="2:37" x14ac:dyDescent="0.25">
      <c r="B86" s="2"/>
      <c r="D86" s="360" t="s">
        <v>58</v>
      </c>
      <c r="E86" s="360"/>
      <c r="F86" s="16" t="s">
        <v>500</v>
      </c>
      <c r="G86" s="16">
        <v>0.59899999999999998</v>
      </c>
      <c r="H86" s="16">
        <v>0.6</v>
      </c>
      <c r="I86" s="16">
        <v>0.69899999999999995</v>
      </c>
      <c r="J86" s="16">
        <v>0.7</v>
      </c>
      <c r="K86" s="16">
        <v>0.79900000000000004</v>
      </c>
      <c r="L86" s="16">
        <v>0.8</v>
      </c>
      <c r="M86" s="16" t="s">
        <v>500</v>
      </c>
      <c r="O86" s="2"/>
      <c r="AE86" s="3" t="s">
        <v>58</v>
      </c>
      <c r="AF86" s="65">
        <v>12</v>
      </c>
      <c r="AG86" s="3">
        <f t="shared" si="0"/>
        <v>1</v>
      </c>
      <c r="AH86" s="3">
        <f>+IF(AG86=0,0,IF(AG86=1,(SUM($AG$75:AG86)-1),1))</f>
        <v>6</v>
      </c>
      <c r="AI86" s="3">
        <f t="shared" si="1"/>
        <v>1</v>
      </c>
      <c r="AJ86" s="3">
        <f t="shared" si="2"/>
        <v>0</v>
      </c>
      <c r="AK86" s="3">
        <f t="shared" si="3"/>
        <v>1</v>
      </c>
    </row>
    <row r="87" spans="2:37" ht="3.75" customHeight="1" x14ac:dyDescent="0.25">
      <c r="B87" s="2"/>
      <c r="O87" s="2"/>
    </row>
    <row r="88" spans="2:37" ht="225" customHeight="1" x14ac:dyDescent="0.25">
      <c r="B88" s="2"/>
      <c r="D88" s="338" t="s">
        <v>59</v>
      </c>
      <c r="E88" s="339"/>
      <c r="F88" s="420" t="s">
        <v>712</v>
      </c>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28.5" customHeight="1" x14ac:dyDescent="0.25">
      <c r="B97" s="2"/>
      <c r="D97" s="359" t="s">
        <v>35</v>
      </c>
      <c r="E97" s="359"/>
      <c r="F97" s="344" t="s">
        <v>509</v>
      </c>
      <c r="G97" s="344"/>
      <c r="H97" s="344"/>
      <c r="I97" s="344"/>
      <c r="J97" s="344"/>
      <c r="K97" s="344"/>
      <c r="L97" s="344"/>
      <c r="M97" s="344"/>
      <c r="O97" s="2"/>
    </row>
    <row r="98" spans="2:15" ht="28.5" customHeight="1" x14ac:dyDescent="0.25">
      <c r="B98" s="2"/>
      <c r="D98" s="359" t="s">
        <v>36</v>
      </c>
      <c r="E98" s="359"/>
      <c r="F98" s="344" t="s">
        <v>509</v>
      </c>
      <c r="G98" s="344"/>
      <c r="H98" s="344"/>
      <c r="I98" s="344"/>
      <c r="J98" s="344"/>
      <c r="K98" s="344"/>
      <c r="L98" s="344"/>
      <c r="M98" s="344"/>
      <c r="O98" s="2"/>
    </row>
    <row r="99" spans="2:15" ht="3.95" customHeight="1" x14ac:dyDescent="0.25">
      <c r="B99" s="2"/>
      <c r="O99" s="2"/>
    </row>
    <row r="100" spans="2:15" ht="219" customHeight="1" x14ac:dyDescent="0.25">
      <c r="B100" s="2"/>
      <c r="D100" s="338" t="s">
        <v>62</v>
      </c>
      <c r="E100" s="339"/>
      <c r="F100" s="420" t="s">
        <v>715</v>
      </c>
      <c r="G100" s="421"/>
      <c r="H100" s="421"/>
      <c r="I100" s="421"/>
      <c r="J100" s="421"/>
      <c r="K100" s="421"/>
      <c r="L100" s="421"/>
      <c r="M100" s="422"/>
      <c r="O100" s="2"/>
    </row>
    <row r="101" spans="2:15" ht="3.95" customHeight="1" x14ac:dyDescent="0.25">
      <c r="B101" s="2"/>
      <c r="O101" s="2"/>
    </row>
    <row r="102" spans="2:15" ht="19.5" customHeight="1" x14ac:dyDescent="0.25">
      <c r="B102" s="2"/>
      <c r="D102" s="329" t="s">
        <v>64</v>
      </c>
      <c r="E102" s="330"/>
      <c r="F102" s="19" t="s">
        <v>65</v>
      </c>
      <c r="G102" s="4" t="s">
        <v>2</v>
      </c>
      <c r="K102" s="20"/>
      <c r="O102" s="2"/>
    </row>
    <row r="103" spans="2:15" ht="19.5" customHeight="1" x14ac:dyDescent="0.25">
      <c r="B103" s="2"/>
      <c r="D103" s="331"/>
      <c r="E103" s="332"/>
      <c r="F103" s="19" t="s">
        <v>66</v>
      </c>
      <c r="G103" s="4"/>
      <c r="K103" s="21"/>
      <c r="O103" s="2"/>
    </row>
    <row r="104" spans="2:15" ht="27.75" customHeight="1" x14ac:dyDescent="0.25">
      <c r="B104" s="2"/>
      <c r="D104" s="331"/>
      <c r="E104" s="332"/>
      <c r="F104" s="19" t="s">
        <v>67</v>
      </c>
      <c r="G104" s="333"/>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Director(a) Nutrición</v>
      </c>
      <c r="H108" s="334"/>
      <c r="I108" s="334"/>
      <c r="J108" s="334"/>
      <c r="K108" s="334"/>
      <c r="L108" s="334"/>
      <c r="M108" s="335"/>
      <c r="O108" s="2"/>
    </row>
    <row r="109" spans="2:15" ht="17.25" customHeight="1" x14ac:dyDescent="0.25">
      <c r="B109" s="2"/>
      <c r="D109" s="331"/>
      <c r="E109" s="332"/>
      <c r="F109" s="19" t="s">
        <v>2042</v>
      </c>
      <c r="G109" s="333" t="str">
        <f>+IF(M23="Si","Coordinador(a) Planeación y Sistemas","")</f>
        <v>Coordinador(a) Planeación y Sistemas</v>
      </c>
      <c r="H109" s="334"/>
      <c r="I109" s="334"/>
      <c r="J109" s="334"/>
      <c r="K109" s="334"/>
      <c r="L109" s="334"/>
      <c r="M109" s="335"/>
      <c r="O109" s="2"/>
    </row>
    <row r="110" spans="2:15" ht="17.25" customHeight="1" x14ac:dyDescent="0.25">
      <c r="B110" s="2"/>
      <c r="D110" s="331"/>
      <c r="E110" s="332"/>
      <c r="F110" s="19" t="s">
        <v>2043</v>
      </c>
      <c r="G110" s="333" t="str">
        <f>+IF(M24="Si","Coordinador(a) Centro Zonal","")</f>
        <v>Coordinador(a) Centro Zonal</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590" priority="31">
      <formula>+IF($F$43="no",1,0)</formula>
    </cfRule>
  </conditionalFormatting>
  <conditionalFormatting sqref="F32:M33">
    <cfRule type="expression" dxfId="2589" priority="30">
      <formula>+IF($Q$30="NA",1,0)</formula>
    </cfRule>
  </conditionalFormatting>
  <conditionalFormatting sqref="F33:M33">
    <cfRule type="expression" dxfId="2588" priority="29">
      <formula>+IF($Q$33=0,1,0)</formula>
    </cfRule>
  </conditionalFormatting>
  <conditionalFormatting sqref="F47:M47">
    <cfRule type="expression" dxfId="2587" priority="28">
      <formula>+IF($Q$47=0,1,0)</formula>
    </cfRule>
  </conditionalFormatting>
  <conditionalFormatting sqref="F73:G73">
    <cfRule type="cellIs" dxfId="2586" priority="15" operator="equal">
      <formula>"optimo"</formula>
    </cfRule>
    <cfRule type="cellIs" dxfId="2585" priority="16" operator="equal">
      <formula>"critico"</formula>
    </cfRule>
  </conditionalFormatting>
  <conditionalFormatting sqref="H73:I73">
    <cfRule type="cellIs" dxfId="2584" priority="13" operator="equal">
      <formula>"Adecuado"</formula>
    </cfRule>
    <cfRule type="cellIs" dxfId="2583" priority="14" operator="equal">
      <formula>"en riesgo"</formula>
    </cfRule>
  </conditionalFormatting>
  <conditionalFormatting sqref="J73:K73">
    <cfRule type="cellIs" dxfId="2582" priority="11" operator="equal">
      <formula>"Adecuado"</formula>
    </cfRule>
    <cfRule type="cellIs" dxfId="2581" priority="12" operator="equal">
      <formula>"en riesgo"</formula>
    </cfRule>
  </conditionalFormatting>
  <conditionalFormatting sqref="L73:M73">
    <cfRule type="cellIs" dxfId="2580" priority="9" operator="equal">
      <formula>"optimo"</formula>
    </cfRule>
    <cfRule type="cellIs" dxfId="2579" priority="10" operator="equal">
      <formula>"critico"</formula>
    </cfRule>
  </conditionalFormatting>
  <conditionalFormatting sqref="F75:M86">
    <cfRule type="expression" dxfId="2578" priority="8">
      <formula>+IF($AK75=0,1)</formula>
    </cfRule>
  </conditionalFormatting>
  <conditionalFormatting sqref="F103:G104">
    <cfRule type="expression" dxfId="2577" priority="7">
      <formula>+IF($G$102="No",1,0)</formula>
    </cfRule>
  </conditionalFormatting>
  <conditionalFormatting sqref="F51">
    <cfRule type="expression" dxfId="2576" priority="6">
      <formula>+IF($F$43="no",1,0)</formula>
    </cfRule>
  </conditionalFormatting>
  <conditionalFormatting sqref="I51">
    <cfRule type="expression" dxfId="2575" priority="5">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tabColor rgb="FF0070C0"/>
  </sheetPr>
  <dimension ref="B1:AV113"/>
  <sheetViews>
    <sheetView zoomScaleNormal="100" workbookViewId="0">
      <selection activeCell="P1" sqref="P1"/>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112</v>
      </c>
      <c r="O10" s="2"/>
    </row>
    <row r="11" spans="2:24" ht="3.95" customHeight="1" x14ac:dyDescent="0.25">
      <c r="B11" s="2"/>
      <c r="D11" s="6"/>
      <c r="O11" s="2"/>
    </row>
    <row r="12" spans="2:24" ht="36" customHeight="1" x14ac:dyDescent="0.25">
      <c r="B12" s="2"/>
      <c r="D12" s="338" t="s">
        <v>5</v>
      </c>
      <c r="E12" s="339"/>
      <c r="F12" s="340" t="s">
        <v>113</v>
      </c>
      <c r="G12" s="341"/>
      <c r="H12" s="341"/>
      <c r="I12" s="341"/>
      <c r="J12" s="341"/>
      <c r="K12" s="341"/>
      <c r="L12" s="341"/>
      <c r="M12" s="342"/>
      <c r="O12" s="2"/>
      <c r="W12" s="3" t="str">
        <f>+F23</f>
        <v>Mensual</v>
      </c>
      <c r="X12" s="3" t="str">
        <f>+F71</f>
        <v>Febrero</v>
      </c>
    </row>
    <row r="13" spans="2:24" ht="3.95" customHeight="1" x14ac:dyDescent="0.25">
      <c r="B13" s="2"/>
      <c r="O13" s="2"/>
    </row>
    <row r="14" spans="2:24" ht="36" customHeight="1" x14ac:dyDescent="0.25">
      <c r="B14" s="2"/>
      <c r="D14" s="338" t="s">
        <v>6</v>
      </c>
      <c r="E14" s="339"/>
      <c r="F14" s="340" t="s">
        <v>641</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8">
        <v>1054857</v>
      </c>
      <c r="G22" s="337" t="s">
        <v>9</v>
      </c>
      <c r="H22" s="337"/>
      <c r="I22" s="8">
        <v>1100000</v>
      </c>
      <c r="K22" s="337" t="s">
        <v>10</v>
      </c>
      <c r="L22" s="337"/>
      <c r="M22" s="9" t="s">
        <v>496</v>
      </c>
      <c r="O22" s="2"/>
    </row>
    <row r="23" spans="2:17" ht="19.5" customHeight="1" x14ac:dyDescent="0.25">
      <c r="B23" s="2"/>
      <c r="D23" s="337" t="s">
        <v>11</v>
      </c>
      <c r="E23" s="337"/>
      <c r="F23" s="4" t="s">
        <v>84</v>
      </c>
      <c r="G23" s="337" t="s">
        <v>12</v>
      </c>
      <c r="H23" s="337"/>
      <c r="I23" s="4" t="s">
        <v>553</v>
      </c>
      <c r="K23" s="337" t="s">
        <v>13</v>
      </c>
      <c r="L23" s="337"/>
      <c r="M23" s="9" t="s">
        <v>496</v>
      </c>
      <c r="O23" s="2"/>
    </row>
    <row r="24" spans="2:17" ht="20.100000000000001" customHeight="1" x14ac:dyDescent="0.25">
      <c r="B24" s="2"/>
      <c r="D24" s="337" t="s">
        <v>14</v>
      </c>
      <c r="E24" s="337"/>
      <c r="F24" s="4" t="s">
        <v>498</v>
      </c>
      <c r="G24" s="337" t="s">
        <v>15</v>
      </c>
      <c r="H24" s="337"/>
      <c r="I24" s="4" t="s">
        <v>519</v>
      </c>
      <c r="K24" s="337" t="s">
        <v>16</v>
      </c>
      <c r="L24" s="337"/>
      <c r="M24" s="9" t="s">
        <v>496</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20</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NA</v>
      </c>
    </row>
    <row r="31" spans="2:17" ht="24" customHeight="1" x14ac:dyDescent="0.25">
      <c r="B31" s="2"/>
      <c r="D31" s="347"/>
      <c r="E31" s="348"/>
      <c r="F31" s="4" t="s">
        <v>109</v>
      </c>
      <c r="G31" s="340" t="s">
        <v>110</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500</v>
      </c>
      <c r="G33" s="340"/>
      <c r="H33" s="341"/>
      <c r="I33" s="341"/>
      <c r="J33" s="341"/>
      <c r="K33" s="341"/>
      <c r="L33" s="341"/>
      <c r="M33" s="342"/>
      <c r="O33" s="2"/>
      <c r="Q33" s="3" t="str">
        <f>+IFERROR(IF(VLOOKUP(G33,base!$A$26:$C$40,3,FALSE)=F31,1,0),"")</f>
        <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1711</v>
      </c>
      <c r="G35" s="340" t="s">
        <v>1587</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501</v>
      </c>
      <c r="G45" s="340" t="s">
        <v>502</v>
      </c>
      <c r="H45" s="341"/>
      <c r="I45" s="341"/>
      <c r="J45" s="341"/>
      <c r="K45" s="341"/>
      <c r="L45" s="341"/>
      <c r="M45" s="342"/>
      <c r="O45" s="2"/>
      <c r="Q45" s="3" t="str">
        <f>+IFERROR(VLOOKUP(G45,base!$A$41:$C$45,3,FALSE),"")</f>
        <v>misional</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503</v>
      </c>
      <c r="G47" s="340" t="s">
        <v>504</v>
      </c>
      <c r="H47" s="341"/>
      <c r="I47" s="341"/>
      <c r="J47" s="341"/>
      <c r="K47" s="341"/>
      <c r="L47" s="341"/>
      <c r="M47" s="342"/>
      <c r="O47" s="2"/>
      <c r="Q47" s="3">
        <f>+IF(VLOOKUP(G47,base!$A$46:$C$66,3,FALSE)=F45,1,0)</f>
        <v>1</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535</v>
      </c>
      <c r="G49" s="340" t="s">
        <v>30</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496</v>
      </c>
      <c r="G51" s="337" t="s">
        <v>32</v>
      </c>
      <c r="H51" s="337"/>
      <c r="I51" s="8">
        <v>2000000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75" customHeight="1" x14ac:dyDescent="0.25">
      <c r="B59" s="2"/>
      <c r="D59" s="337" t="s">
        <v>34</v>
      </c>
      <c r="E59" s="337"/>
      <c r="F59" s="344" t="s">
        <v>642</v>
      </c>
      <c r="G59" s="344"/>
      <c r="H59" s="344"/>
      <c r="I59" s="344"/>
      <c r="J59" s="344"/>
      <c r="K59" s="344"/>
      <c r="L59" s="344"/>
      <c r="M59" s="344"/>
      <c r="O59" s="2"/>
    </row>
    <row r="60" spans="2:15" ht="27" customHeight="1" x14ac:dyDescent="0.25">
      <c r="B60" s="2"/>
      <c r="D60" s="359" t="s">
        <v>35</v>
      </c>
      <c r="E60" s="359"/>
      <c r="F60" s="344" t="s">
        <v>643</v>
      </c>
      <c r="G60" s="344"/>
      <c r="H60" s="344"/>
      <c r="I60" s="344"/>
      <c r="J60" s="344"/>
      <c r="K60" s="344"/>
      <c r="L60" s="344"/>
      <c r="M60" s="344"/>
      <c r="O60" s="2"/>
    </row>
    <row r="61" spans="2:15" ht="27" customHeight="1" x14ac:dyDescent="0.25">
      <c r="B61" s="2"/>
      <c r="D61" s="359" t="s">
        <v>36</v>
      </c>
      <c r="E61" s="359"/>
      <c r="F61" s="344" t="s">
        <v>590</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48" ht="3" customHeight="1" x14ac:dyDescent="0.25">
      <c r="B65" s="2"/>
      <c r="C65" s="2"/>
      <c r="D65" s="2"/>
      <c r="E65" s="2"/>
      <c r="F65" s="2"/>
      <c r="G65" s="2"/>
      <c r="H65" s="2"/>
      <c r="I65" s="2"/>
      <c r="J65" s="2"/>
      <c r="K65" s="2"/>
      <c r="L65" s="2"/>
      <c r="M65" s="2"/>
      <c r="N65" s="2"/>
      <c r="O65" s="2"/>
    </row>
    <row r="66" spans="2:48" ht="3.95" customHeight="1" x14ac:dyDescent="0.25">
      <c r="B66" s="2"/>
      <c r="O66" s="2"/>
    </row>
    <row r="67" spans="2:48" x14ac:dyDescent="0.25">
      <c r="B67" s="2"/>
      <c r="D67" s="361" t="s">
        <v>38</v>
      </c>
      <c r="E67" s="361"/>
      <c r="O67" s="2"/>
    </row>
    <row r="68" spans="2:48" ht="3.95" customHeight="1" x14ac:dyDescent="0.25">
      <c r="B68" s="2"/>
      <c r="D68" s="7"/>
      <c r="E68" s="7"/>
      <c r="O68" s="2"/>
    </row>
    <row r="69" spans="2:48" ht="18.75" customHeight="1" x14ac:dyDescent="0.25">
      <c r="B69" s="2"/>
      <c r="O69" s="2"/>
      <c r="U69" s="3">
        <f>+IFERROR(VLOOKUP(F23,base!$A$1:$B$8,2,FALSE),"")</f>
        <v>1</v>
      </c>
    </row>
    <row r="70" spans="2:48" ht="3.95" customHeight="1" x14ac:dyDescent="0.25">
      <c r="B70" s="2"/>
      <c r="D70" s="7"/>
      <c r="E70" s="7"/>
      <c r="O70" s="2"/>
    </row>
    <row r="71" spans="2:48" ht="18.75" customHeight="1" x14ac:dyDescent="0.25">
      <c r="B71" s="2"/>
      <c r="D71" s="343" t="s">
        <v>39</v>
      </c>
      <c r="E71" s="343"/>
      <c r="F71" s="4" t="s">
        <v>40</v>
      </c>
      <c r="G71" s="3">
        <v>2</v>
      </c>
      <c r="O71" s="2"/>
    </row>
    <row r="72" spans="2:48" ht="3.95" customHeight="1" x14ac:dyDescent="0.25">
      <c r="B72" s="2"/>
      <c r="D72" s="7"/>
      <c r="E72" s="7"/>
      <c r="O72" s="2"/>
    </row>
    <row r="73" spans="2:48" x14ac:dyDescent="0.25">
      <c r="B73" s="2"/>
      <c r="D73" s="362" t="s">
        <v>41</v>
      </c>
      <c r="E73" s="362"/>
      <c r="F73" s="363" t="s">
        <v>42</v>
      </c>
      <c r="G73" s="364"/>
      <c r="H73" s="363" t="s">
        <v>43</v>
      </c>
      <c r="I73" s="364"/>
      <c r="J73" s="363" t="s">
        <v>44</v>
      </c>
      <c r="K73" s="364"/>
      <c r="L73" s="363" t="s">
        <v>45</v>
      </c>
      <c r="M73" s="364"/>
      <c r="O73" s="2"/>
    </row>
    <row r="74" spans="2:48" x14ac:dyDescent="0.25">
      <c r="B74" s="2"/>
      <c r="D74" s="362"/>
      <c r="E74" s="362"/>
      <c r="F74" s="15" t="s">
        <v>51</v>
      </c>
      <c r="G74" s="15" t="s">
        <v>52</v>
      </c>
      <c r="H74" s="15" t="s">
        <v>51</v>
      </c>
      <c r="I74" s="15" t="s">
        <v>52</v>
      </c>
      <c r="J74" s="15" t="s">
        <v>51</v>
      </c>
      <c r="K74" s="15" t="s">
        <v>52</v>
      </c>
      <c r="L74" s="15" t="s">
        <v>51</v>
      </c>
      <c r="M74" s="15" t="s">
        <v>52</v>
      </c>
      <c r="O74" s="2"/>
    </row>
    <row r="75" spans="2:48"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c r="AV75" s="99"/>
    </row>
    <row r="76" spans="2:48" x14ac:dyDescent="0.25">
      <c r="B76" s="2"/>
      <c r="D76" s="360" t="s">
        <v>40</v>
      </c>
      <c r="E76" s="360"/>
      <c r="F76" s="16" t="s">
        <v>500</v>
      </c>
      <c r="G76" s="16">
        <v>0.4</v>
      </c>
      <c r="H76" s="16">
        <v>0.40100000000000002</v>
      </c>
      <c r="I76" s="16">
        <v>0.6</v>
      </c>
      <c r="J76" s="16">
        <v>0.60099999999999998</v>
      </c>
      <c r="K76" s="16">
        <v>0.749</v>
      </c>
      <c r="L76" s="16">
        <v>0.75</v>
      </c>
      <c r="M76" s="16" t="s">
        <v>500</v>
      </c>
      <c r="O76" s="2"/>
      <c r="AE76" s="3" t="s">
        <v>40</v>
      </c>
      <c r="AF76" s="3">
        <v>2</v>
      </c>
      <c r="AG76" s="3">
        <f t="shared" ref="AG76:AG86" si="0">+IF(AF76&gt;=$G$71,1,0)</f>
        <v>1</v>
      </c>
      <c r="AH76" s="3">
        <f>+IF(AG76=0,0,IF(AG76=1,(SUM($AG$75:AG76)-1),1))</f>
        <v>0</v>
      </c>
      <c r="AI76" s="3">
        <f t="shared" ref="AI76:AI86" si="1">+IF(AH76=0,0,IF(MOD(AH76,$U$69)=0,1,0))</f>
        <v>0</v>
      </c>
      <c r="AJ76" s="3">
        <f t="shared" ref="AJ76:AJ86" si="2">+IF(AE76=$F$71,1,0)</f>
        <v>1</v>
      </c>
      <c r="AK76" s="3">
        <f t="shared" ref="AK76:AK86" si="3">+MAX(AI76:AJ76)</f>
        <v>1</v>
      </c>
      <c r="AV76" s="99"/>
    </row>
    <row r="77" spans="2:48" x14ac:dyDescent="0.25">
      <c r="B77" s="2"/>
      <c r="D77" s="360" t="s">
        <v>47</v>
      </c>
      <c r="E77" s="360"/>
      <c r="F77" s="16" t="s">
        <v>500</v>
      </c>
      <c r="G77" s="16">
        <v>0.4</v>
      </c>
      <c r="H77" s="16">
        <v>0.40100000000000002</v>
      </c>
      <c r="I77" s="16">
        <v>0.6</v>
      </c>
      <c r="J77" s="16">
        <v>0.60099999999999998</v>
      </c>
      <c r="K77" s="16">
        <v>0.749</v>
      </c>
      <c r="L77" s="16">
        <v>0.75</v>
      </c>
      <c r="M77" s="16" t="s">
        <v>500</v>
      </c>
      <c r="O77" s="2"/>
      <c r="AE77" s="3" t="s">
        <v>47</v>
      </c>
      <c r="AF77" s="3">
        <v>3</v>
      </c>
      <c r="AG77" s="3">
        <f t="shared" si="0"/>
        <v>1</v>
      </c>
      <c r="AH77" s="3">
        <f>+IF(AG77=0,0,IF(AG77=1,(SUM($AG$75:AG77)-1),1))</f>
        <v>1</v>
      </c>
      <c r="AI77" s="3">
        <f t="shared" si="1"/>
        <v>1</v>
      </c>
      <c r="AJ77" s="3">
        <f t="shared" si="2"/>
        <v>0</v>
      </c>
      <c r="AK77" s="3">
        <f t="shared" si="3"/>
        <v>1</v>
      </c>
      <c r="AV77" s="99"/>
    </row>
    <row r="78" spans="2:48" x14ac:dyDescent="0.25">
      <c r="B78" s="2"/>
      <c r="D78" s="360" t="s">
        <v>48</v>
      </c>
      <c r="E78" s="360"/>
      <c r="F78" s="16" t="s">
        <v>500</v>
      </c>
      <c r="G78" s="16">
        <v>0.4</v>
      </c>
      <c r="H78" s="16">
        <v>0.40100000000000002</v>
      </c>
      <c r="I78" s="16">
        <v>0.6</v>
      </c>
      <c r="J78" s="16">
        <v>0.60099999999999998</v>
      </c>
      <c r="K78" s="16">
        <v>0.749</v>
      </c>
      <c r="L78" s="16">
        <v>0.75</v>
      </c>
      <c r="M78" s="16" t="s">
        <v>500</v>
      </c>
      <c r="O78" s="2"/>
      <c r="AE78" s="3" t="s">
        <v>48</v>
      </c>
      <c r="AF78" s="3">
        <v>4</v>
      </c>
      <c r="AG78" s="3">
        <f t="shared" si="0"/>
        <v>1</v>
      </c>
      <c r="AH78" s="3">
        <f>+IF(AG78=0,0,IF(AG78=1,(SUM($AG$75:AG78)-1),1))</f>
        <v>2</v>
      </c>
      <c r="AI78" s="3">
        <f t="shared" si="1"/>
        <v>1</v>
      </c>
      <c r="AJ78" s="3">
        <f t="shared" si="2"/>
        <v>0</v>
      </c>
      <c r="AK78" s="3">
        <f t="shared" si="3"/>
        <v>1</v>
      </c>
      <c r="AV78" s="99"/>
    </row>
    <row r="79" spans="2:48" x14ac:dyDescent="0.25">
      <c r="B79" s="2"/>
      <c r="D79" s="360" t="s">
        <v>49</v>
      </c>
      <c r="E79" s="360"/>
      <c r="F79" s="16" t="s">
        <v>500</v>
      </c>
      <c r="G79" s="16">
        <v>0.4</v>
      </c>
      <c r="H79" s="16">
        <v>0.40100000000000002</v>
      </c>
      <c r="I79" s="16">
        <v>0.6</v>
      </c>
      <c r="J79" s="16">
        <v>0.60099999999999998</v>
      </c>
      <c r="K79" s="16">
        <v>0.749</v>
      </c>
      <c r="L79" s="16">
        <v>0.75</v>
      </c>
      <c r="M79" s="16" t="s">
        <v>500</v>
      </c>
      <c r="O79" s="2"/>
      <c r="AE79" s="3" t="s">
        <v>49</v>
      </c>
      <c r="AF79" s="3">
        <v>5</v>
      </c>
      <c r="AG79" s="3">
        <f t="shared" si="0"/>
        <v>1</v>
      </c>
      <c r="AH79" s="3">
        <f>+IF(AG79=0,0,IF(AG79=1,(SUM($AG$75:AG79)-1),1))</f>
        <v>3</v>
      </c>
      <c r="AI79" s="3">
        <f t="shared" si="1"/>
        <v>1</v>
      </c>
      <c r="AJ79" s="3">
        <f t="shared" si="2"/>
        <v>0</v>
      </c>
      <c r="AK79" s="3">
        <f t="shared" si="3"/>
        <v>1</v>
      </c>
      <c r="AV79" s="99"/>
    </row>
    <row r="80" spans="2:48" x14ac:dyDescent="0.25">
      <c r="B80" s="2"/>
      <c r="D80" s="360" t="s">
        <v>50</v>
      </c>
      <c r="E80" s="360"/>
      <c r="F80" s="16" t="s">
        <v>500</v>
      </c>
      <c r="G80" s="16">
        <v>0.4</v>
      </c>
      <c r="H80" s="16">
        <v>0.40100000000000002</v>
      </c>
      <c r="I80" s="16">
        <v>0.6</v>
      </c>
      <c r="J80" s="16">
        <v>0.60099999999999998</v>
      </c>
      <c r="K80" s="16">
        <v>0.749</v>
      </c>
      <c r="L80" s="16">
        <v>0.75</v>
      </c>
      <c r="M80" s="16" t="s">
        <v>500</v>
      </c>
      <c r="O80" s="2"/>
      <c r="AE80" s="3" t="s">
        <v>50</v>
      </c>
      <c r="AF80" s="3">
        <v>6</v>
      </c>
      <c r="AG80" s="3">
        <f t="shared" si="0"/>
        <v>1</v>
      </c>
      <c r="AH80" s="3">
        <f>+IF(AG80=0,0,IF(AG80=1,(SUM($AG$75:AG80)-1),1))</f>
        <v>4</v>
      </c>
      <c r="AI80" s="3">
        <f t="shared" si="1"/>
        <v>1</v>
      </c>
      <c r="AJ80" s="3">
        <f t="shared" si="2"/>
        <v>0</v>
      </c>
      <c r="AK80" s="3">
        <f t="shared" si="3"/>
        <v>1</v>
      </c>
      <c r="AV80" s="99"/>
    </row>
    <row r="81" spans="2:48" x14ac:dyDescent="0.25">
      <c r="B81" s="2"/>
      <c r="D81" s="360" t="s">
        <v>53</v>
      </c>
      <c r="E81" s="360"/>
      <c r="F81" s="16" t="s">
        <v>500</v>
      </c>
      <c r="G81" s="16">
        <v>0.5</v>
      </c>
      <c r="H81" s="16">
        <v>0.501</v>
      </c>
      <c r="I81" s="16">
        <v>0.7</v>
      </c>
      <c r="J81" s="16">
        <v>0.70099999999999996</v>
      </c>
      <c r="K81" s="16">
        <v>0.79900000000000004</v>
      </c>
      <c r="L81" s="16">
        <v>0.8</v>
      </c>
      <c r="M81" s="16" t="s">
        <v>500</v>
      </c>
      <c r="O81" s="2"/>
      <c r="AE81" s="3" t="s">
        <v>53</v>
      </c>
      <c r="AF81" s="3">
        <v>7</v>
      </c>
      <c r="AG81" s="3">
        <f t="shared" si="0"/>
        <v>1</v>
      </c>
      <c r="AH81" s="3">
        <f>+IF(AG81=0,0,IF(AG81=1,(SUM($AG$75:AG81)-1),1))</f>
        <v>5</v>
      </c>
      <c r="AI81" s="3">
        <f t="shared" si="1"/>
        <v>1</v>
      </c>
      <c r="AJ81" s="3">
        <f t="shared" si="2"/>
        <v>0</v>
      </c>
      <c r="AK81" s="3">
        <f t="shared" si="3"/>
        <v>1</v>
      </c>
      <c r="AV81" s="99"/>
    </row>
    <row r="82" spans="2:48" x14ac:dyDescent="0.25">
      <c r="B82" s="2"/>
      <c r="D82" s="360" t="s">
        <v>54</v>
      </c>
      <c r="E82" s="360"/>
      <c r="F82" s="16" t="s">
        <v>500</v>
      </c>
      <c r="G82" s="16">
        <v>0.5</v>
      </c>
      <c r="H82" s="16">
        <v>0.501</v>
      </c>
      <c r="I82" s="16">
        <v>0.7</v>
      </c>
      <c r="J82" s="16">
        <v>0.70099999999999996</v>
      </c>
      <c r="K82" s="16">
        <v>0.79900000000000004</v>
      </c>
      <c r="L82" s="16">
        <v>0.8</v>
      </c>
      <c r="M82" s="16" t="s">
        <v>500</v>
      </c>
      <c r="O82" s="2"/>
      <c r="AE82" s="3" t="s">
        <v>54</v>
      </c>
      <c r="AF82" s="3">
        <v>8</v>
      </c>
      <c r="AG82" s="3">
        <f t="shared" si="0"/>
        <v>1</v>
      </c>
      <c r="AH82" s="3">
        <f>+IF(AG82=0,0,IF(AG82=1,(SUM($AG$75:AG82)-1),1))</f>
        <v>6</v>
      </c>
      <c r="AI82" s="3">
        <f t="shared" si="1"/>
        <v>1</v>
      </c>
      <c r="AJ82" s="3">
        <f t="shared" si="2"/>
        <v>0</v>
      </c>
      <c r="AK82" s="3">
        <f t="shared" si="3"/>
        <v>1</v>
      </c>
      <c r="AV82" s="99"/>
    </row>
    <row r="83" spans="2:48" x14ac:dyDescent="0.25">
      <c r="B83" s="2"/>
      <c r="D83" s="360" t="s">
        <v>55</v>
      </c>
      <c r="E83" s="360"/>
      <c r="F83" s="16" t="s">
        <v>500</v>
      </c>
      <c r="G83" s="16">
        <v>0.5</v>
      </c>
      <c r="H83" s="16">
        <v>0.501</v>
      </c>
      <c r="I83" s="16">
        <v>0.7</v>
      </c>
      <c r="J83" s="16">
        <v>0.70099999999999996</v>
      </c>
      <c r="K83" s="16">
        <v>0.79900000000000004</v>
      </c>
      <c r="L83" s="16">
        <v>0.8</v>
      </c>
      <c r="M83" s="16" t="s">
        <v>500</v>
      </c>
      <c r="O83" s="2"/>
      <c r="AE83" s="3" t="s">
        <v>55</v>
      </c>
      <c r="AF83" s="3">
        <v>9</v>
      </c>
      <c r="AG83" s="3">
        <f t="shared" si="0"/>
        <v>1</v>
      </c>
      <c r="AH83" s="3">
        <f>+IF(AG83=0,0,IF(AG83=1,(SUM($AG$75:AG83)-1),1))</f>
        <v>7</v>
      </c>
      <c r="AI83" s="3">
        <f t="shared" si="1"/>
        <v>1</v>
      </c>
      <c r="AJ83" s="3">
        <f t="shared" si="2"/>
        <v>0</v>
      </c>
      <c r="AK83" s="3">
        <f t="shared" si="3"/>
        <v>1</v>
      </c>
      <c r="AV83" s="99"/>
    </row>
    <row r="84" spans="2:48" x14ac:dyDescent="0.25">
      <c r="B84" s="2"/>
      <c r="D84" s="360" t="s">
        <v>56</v>
      </c>
      <c r="E84" s="360"/>
      <c r="F84" s="16" t="s">
        <v>500</v>
      </c>
      <c r="G84" s="16">
        <v>0.6</v>
      </c>
      <c r="H84" s="16">
        <v>0.60099999999999998</v>
      </c>
      <c r="I84" s="16">
        <v>0.75</v>
      </c>
      <c r="J84" s="16">
        <v>0.751</v>
      </c>
      <c r="K84" s="16">
        <v>0.84899999999999998</v>
      </c>
      <c r="L84" s="16">
        <v>0.85</v>
      </c>
      <c r="M84" s="16" t="s">
        <v>500</v>
      </c>
      <c r="O84" s="2"/>
      <c r="AE84" s="3" t="s">
        <v>56</v>
      </c>
      <c r="AF84" s="3">
        <v>10</v>
      </c>
      <c r="AG84" s="3">
        <f t="shared" si="0"/>
        <v>1</v>
      </c>
      <c r="AH84" s="3">
        <f>+IF(AG84=0,0,IF(AG84=1,(SUM($AG$75:AG84)-1),1))</f>
        <v>8</v>
      </c>
      <c r="AI84" s="3">
        <f t="shared" si="1"/>
        <v>1</v>
      </c>
      <c r="AJ84" s="3">
        <f t="shared" si="2"/>
        <v>0</v>
      </c>
      <c r="AK84" s="3">
        <f t="shared" si="3"/>
        <v>1</v>
      </c>
      <c r="AV84" s="99"/>
    </row>
    <row r="85" spans="2:48" x14ac:dyDescent="0.25">
      <c r="B85" s="2"/>
      <c r="D85" s="360" t="s">
        <v>57</v>
      </c>
      <c r="E85" s="360"/>
      <c r="F85" s="16" t="s">
        <v>500</v>
      </c>
      <c r="G85" s="16">
        <v>0.7</v>
      </c>
      <c r="H85" s="16">
        <v>0.70099999999999996</v>
      </c>
      <c r="I85" s="16">
        <v>0.8</v>
      </c>
      <c r="J85" s="16">
        <v>0.80100000000000005</v>
      </c>
      <c r="K85" s="16">
        <v>0.89900000000000002</v>
      </c>
      <c r="L85" s="16">
        <v>0.9</v>
      </c>
      <c r="M85" s="16" t="s">
        <v>500</v>
      </c>
      <c r="O85" s="2"/>
      <c r="AE85" s="3" t="s">
        <v>57</v>
      </c>
      <c r="AF85" s="3">
        <v>11</v>
      </c>
      <c r="AG85" s="3">
        <f t="shared" si="0"/>
        <v>1</v>
      </c>
      <c r="AH85" s="3">
        <f>+IF(AG85=0,0,IF(AG85=1,(SUM($AG$75:AG85)-1),1))</f>
        <v>9</v>
      </c>
      <c r="AI85" s="3">
        <f t="shared" si="1"/>
        <v>1</v>
      </c>
      <c r="AJ85" s="3">
        <f t="shared" si="2"/>
        <v>0</v>
      </c>
      <c r="AK85" s="3">
        <f t="shared" si="3"/>
        <v>1</v>
      </c>
      <c r="AV85" s="99"/>
    </row>
    <row r="86" spans="2:48" x14ac:dyDescent="0.25">
      <c r="B86" s="2"/>
      <c r="D86" s="360" t="s">
        <v>58</v>
      </c>
      <c r="E86" s="360"/>
      <c r="F86" s="16" t="s">
        <v>500</v>
      </c>
      <c r="G86" s="16">
        <v>0.8</v>
      </c>
      <c r="H86" s="16">
        <v>0.80100000000000005</v>
      </c>
      <c r="I86" s="16">
        <v>0.9</v>
      </c>
      <c r="J86" s="16">
        <v>0.90100000000000002</v>
      </c>
      <c r="K86" s="16">
        <v>0.999</v>
      </c>
      <c r="L86" s="16">
        <v>1</v>
      </c>
      <c r="M86" s="16" t="s">
        <v>500</v>
      </c>
      <c r="O86" s="2"/>
      <c r="AE86" s="3" t="s">
        <v>58</v>
      </c>
      <c r="AF86" s="65">
        <v>12</v>
      </c>
      <c r="AG86" s="3">
        <f t="shared" si="0"/>
        <v>1</v>
      </c>
      <c r="AH86" s="3">
        <f>+IF(AG86=0,0,IF(AG86=1,(SUM($AG$75:AG86)-1),1))</f>
        <v>10</v>
      </c>
      <c r="AI86" s="3">
        <f t="shared" si="1"/>
        <v>1</v>
      </c>
      <c r="AJ86" s="3">
        <f t="shared" si="2"/>
        <v>0</v>
      </c>
      <c r="AK86" s="3">
        <f t="shared" si="3"/>
        <v>1</v>
      </c>
      <c r="AV86" s="99"/>
    </row>
    <row r="87" spans="2:48" ht="3.75" customHeight="1" x14ac:dyDescent="0.25">
      <c r="B87" s="2"/>
      <c r="O87" s="2"/>
    </row>
    <row r="88" spans="2:48" ht="136.5" customHeight="1" x14ac:dyDescent="0.25">
      <c r="B88" s="2"/>
      <c r="D88" s="338" t="s">
        <v>59</v>
      </c>
      <c r="E88" s="339"/>
      <c r="F88" s="340" t="s">
        <v>2148</v>
      </c>
      <c r="G88" s="341"/>
      <c r="H88" s="341"/>
      <c r="I88" s="341"/>
      <c r="J88" s="341"/>
      <c r="K88" s="341"/>
      <c r="L88" s="341"/>
      <c r="M88" s="342"/>
      <c r="O88" s="2"/>
    </row>
    <row r="89" spans="2:48" ht="3.95" customHeight="1" x14ac:dyDescent="0.25">
      <c r="B89" s="2"/>
      <c r="O89" s="2"/>
    </row>
    <row r="90" spans="2:48" ht="3" customHeight="1" x14ac:dyDescent="0.25">
      <c r="B90" s="2"/>
      <c r="C90" s="2"/>
      <c r="D90" s="2"/>
      <c r="E90" s="2"/>
      <c r="F90" s="2"/>
      <c r="G90" s="2"/>
      <c r="H90" s="2"/>
      <c r="I90" s="2"/>
      <c r="J90" s="2"/>
      <c r="K90" s="2"/>
      <c r="L90" s="2"/>
      <c r="M90" s="2"/>
      <c r="N90" s="2"/>
      <c r="O90" s="2"/>
    </row>
    <row r="91" spans="2:48" ht="3" customHeight="1" x14ac:dyDescent="0.25"/>
    <row r="92" spans="2:48" ht="3" customHeight="1" x14ac:dyDescent="0.25">
      <c r="B92" s="2"/>
      <c r="C92" s="2"/>
      <c r="D92" s="2"/>
      <c r="E92" s="2"/>
      <c r="F92" s="2"/>
      <c r="G92" s="2"/>
      <c r="H92" s="2"/>
      <c r="I92" s="2"/>
      <c r="J92" s="2"/>
      <c r="K92" s="2"/>
      <c r="L92" s="2"/>
      <c r="M92" s="2"/>
      <c r="N92" s="2"/>
      <c r="O92" s="2"/>
    </row>
    <row r="93" spans="2:48" ht="3.95" customHeight="1" x14ac:dyDescent="0.25">
      <c r="B93" s="2"/>
      <c r="O93" s="2"/>
    </row>
    <row r="94" spans="2:48" x14ac:dyDescent="0.25">
      <c r="B94" s="2"/>
      <c r="D94" s="7" t="s">
        <v>60</v>
      </c>
      <c r="O94" s="2"/>
    </row>
    <row r="95" spans="2:48" ht="3.95" customHeight="1" x14ac:dyDescent="0.25">
      <c r="B95" s="2"/>
      <c r="O95" s="2"/>
    </row>
    <row r="96" spans="2:48" ht="20.100000000000001" customHeight="1" x14ac:dyDescent="0.25">
      <c r="B96" s="2"/>
      <c r="D96" s="337" t="s">
        <v>61</v>
      </c>
      <c r="E96" s="337"/>
      <c r="O96" s="2"/>
    </row>
    <row r="97" spans="2:15" ht="28.5" customHeight="1" x14ac:dyDescent="0.25">
      <c r="B97" s="2"/>
      <c r="D97" s="359" t="s">
        <v>35</v>
      </c>
      <c r="E97" s="359"/>
      <c r="F97" s="344" t="s">
        <v>640</v>
      </c>
      <c r="G97" s="344"/>
      <c r="H97" s="344"/>
      <c r="I97" s="344"/>
      <c r="J97" s="344"/>
      <c r="K97" s="344"/>
      <c r="L97" s="344"/>
      <c r="M97" s="344"/>
      <c r="O97" s="2"/>
    </row>
    <row r="98" spans="2:15" ht="28.5" customHeight="1" x14ac:dyDescent="0.25">
      <c r="B98" s="2"/>
      <c r="D98" s="359" t="s">
        <v>36</v>
      </c>
      <c r="E98" s="359"/>
      <c r="F98" s="344" t="s">
        <v>605</v>
      </c>
      <c r="G98" s="344"/>
      <c r="H98" s="344"/>
      <c r="I98" s="344"/>
      <c r="J98" s="344"/>
      <c r="K98" s="344"/>
      <c r="L98" s="344"/>
      <c r="M98" s="344"/>
      <c r="O98" s="2"/>
    </row>
    <row r="99" spans="2:15" ht="3.95" customHeight="1" x14ac:dyDescent="0.25">
      <c r="B99" s="2"/>
      <c r="O99" s="2"/>
    </row>
    <row r="100" spans="2:15" ht="95.25" customHeight="1" x14ac:dyDescent="0.25">
      <c r="B100" s="2"/>
      <c r="D100" s="338" t="s">
        <v>62</v>
      </c>
      <c r="E100" s="339"/>
      <c r="F100" s="340" t="s">
        <v>63</v>
      </c>
      <c r="G100" s="341"/>
      <c r="H100" s="341"/>
      <c r="I100" s="341"/>
      <c r="J100" s="341"/>
      <c r="K100" s="341"/>
      <c r="L100" s="341"/>
      <c r="M100" s="342"/>
      <c r="O100" s="2"/>
    </row>
    <row r="101" spans="2:15" ht="3.95" customHeight="1" x14ac:dyDescent="0.25">
      <c r="B101" s="2"/>
      <c r="O101" s="2"/>
    </row>
    <row r="102" spans="2:15" ht="19.5" customHeight="1" x14ac:dyDescent="0.25">
      <c r="B102" s="2"/>
      <c r="D102" s="329" t="s">
        <v>64</v>
      </c>
      <c r="E102" s="330"/>
      <c r="F102" s="19" t="s">
        <v>65</v>
      </c>
      <c r="G102" s="4" t="s">
        <v>1</v>
      </c>
      <c r="K102" s="20"/>
      <c r="O102" s="2"/>
    </row>
    <row r="103" spans="2:15" ht="19.5" customHeight="1" x14ac:dyDescent="0.25">
      <c r="B103" s="2"/>
      <c r="D103" s="331"/>
      <c r="E103" s="332"/>
      <c r="F103" s="19" t="s">
        <v>66</v>
      </c>
      <c r="G103" s="4" t="s">
        <v>1710</v>
      </c>
      <c r="K103" s="21"/>
      <c r="O103" s="2"/>
    </row>
    <row r="104" spans="2:15" ht="27.75" customHeight="1" x14ac:dyDescent="0.25">
      <c r="B104" s="2"/>
      <c r="D104" s="331"/>
      <c r="E104" s="332"/>
      <c r="F104" s="19" t="s">
        <v>67</v>
      </c>
      <c r="G104" s="333" t="s">
        <v>1709</v>
      </c>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69</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 xml:space="preserve">Director(a) Primera Infancia </v>
      </c>
      <c r="H108" s="334"/>
      <c r="I108" s="334"/>
      <c r="J108" s="334"/>
      <c r="K108" s="334"/>
      <c r="L108" s="334"/>
      <c r="M108" s="335"/>
      <c r="O108" s="2"/>
    </row>
    <row r="109" spans="2:15" ht="17.25" customHeight="1" x14ac:dyDescent="0.25">
      <c r="B109" s="2"/>
      <c r="D109" s="331"/>
      <c r="E109" s="332"/>
      <c r="F109" s="19" t="s">
        <v>2042</v>
      </c>
      <c r="G109" s="333" t="str">
        <f>+IF(M23="Si","Coordinador(a) Planeación y Sistemas","")</f>
        <v>Coordinador(a) Planeación y Sistemas</v>
      </c>
      <c r="H109" s="334"/>
      <c r="I109" s="334"/>
      <c r="J109" s="334"/>
      <c r="K109" s="334"/>
      <c r="L109" s="334"/>
      <c r="M109" s="335"/>
      <c r="O109" s="2"/>
    </row>
    <row r="110" spans="2:15" ht="17.25" customHeight="1" x14ac:dyDescent="0.25">
      <c r="B110" s="2"/>
      <c r="D110" s="331"/>
      <c r="E110" s="332"/>
      <c r="F110" s="19" t="s">
        <v>2043</v>
      </c>
      <c r="G110" s="333" t="str">
        <f>+IF(M24="Si","Coordinador(a) Centro Zonal","")</f>
        <v>Coordinador(a) Centro Zonal</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F51 G102">
    <cfRule type="expression" dxfId="3455" priority="30">
      <formula>+IF($F$43="no",1,0)</formula>
    </cfRule>
  </conditionalFormatting>
  <conditionalFormatting sqref="F32:M33">
    <cfRule type="expression" dxfId="3454" priority="29">
      <formula>+IF($Q$30="NA",1,0)</formula>
    </cfRule>
  </conditionalFormatting>
  <conditionalFormatting sqref="F33:M33">
    <cfRule type="expression" dxfId="3453" priority="28">
      <formula>+IF($Q$33=0,1,0)</formula>
    </cfRule>
  </conditionalFormatting>
  <conditionalFormatting sqref="F47:M47">
    <cfRule type="expression" dxfId="3452" priority="27">
      <formula>+IF($Q$47=0,1,0)</formula>
    </cfRule>
  </conditionalFormatting>
  <conditionalFormatting sqref="F73:G73">
    <cfRule type="cellIs" dxfId="3451" priority="22" operator="equal">
      <formula>"optimo"</formula>
    </cfRule>
    <cfRule type="cellIs" dxfId="3450" priority="23" operator="equal">
      <formula>"critico"</formula>
    </cfRule>
  </conditionalFormatting>
  <conditionalFormatting sqref="H73:I73">
    <cfRule type="cellIs" dxfId="3449" priority="20" operator="equal">
      <formula>"Adecuado"</formula>
    </cfRule>
    <cfRule type="cellIs" dxfId="3448" priority="21" operator="equal">
      <formula>"en riesgo"</formula>
    </cfRule>
  </conditionalFormatting>
  <conditionalFormatting sqref="J73:K73">
    <cfRule type="cellIs" dxfId="3447" priority="18" operator="equal">
      <formula>"Adecuado"</formula>
    </cfRule>
    <cfRule type="cellIs" dxfId="3446" priority="19" operator="equal">
      <formula>"en riesgo"</formula>
    </cfRule>
  </conditionalFormatting>
  <conditionalFormatting sqref="L73:M73">
    <cfRule type="cellIs" dxfId="3445" priority="16" operator="equal">
      <formula>"optimo"</formula>
    </cfRule>
    <cfRule type="cellIs" dxfId="3444" priority="17" operator="equal">
      <formula>"critico"</formula>
    </cfRule>
  </conditionalFormatting>
  <conditionalFormatting sqref="F75:M86">
    <cfRule type="expression" dxfId="3443" priority="15">
      <formula>+IF($AK75=0,1)</formula>
    </cfRule>
  </conditionalFormatting>
  <conditionalFormatting sqref="F103:G104">
    <cfRule type="expression" dxfId="3442" priority="14">
      <formula>+IF($G$102="No",1,0)</formula>
    </cfRule>
  </conditionalFormatting>
  <conditionalFormatting sqref="I51">
    <cfRule type="expression" dxfId="3441" priority="13">
      <formula>+IF($F$51="no",1,0)</formula>
    </cfRule>
  </conditionalFormatting>
  <conditionalFormatting sqref="F109:F110">
    <cfRule type="expression" dxfId="3440" priority="3">
      <formula>+IF($G$102="No",1,0)</formula>
    </cfRule>
  </conditionalFormatting>
  <conditionalFormatting sqref="G108:G109">
    <cfRule type="expression" dxfId="3439" priority="2">
      <formula>+IF($G$102="No",1,0)</formula>
    </cfRule>
  </conditionalFormatting>
  <conditionalFormatting sqref="G110">
    <cfRule type="expression" dxfId="3438" priority="1">
      <formula>+IF($G$102="No",1,0)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3">
    <tabColor rgb="FF0070C0"/>
  </sheetPr>
  <dimension ref="A1:AV113"/>
  <sheetViews>
    <sheetView zoomScaleNormal="100" workbookViewId="0"/>
  </sheetViews>
  <sheetFormatPr baseColWidth="10" defaultRowHeight="12.75" x14ac:dyDescent="0.25"/>
  <cols>
    <col min="1" max="1" width="1.140625" style="104" customWidth="1"/>
    <col min="2" max="2" width="0.5703125" style="104" customWidth="1"/>
    <col min="3" max="3" width="1.42578125" style="104" customWidth="1"/>
    <col min="4" max="4" width="11" style="104" customWidth="1"/>
    <col min="5" max="13" width="11.42578125" style="104" customWidth="1"/>
    <col min="14" max="14" width="1.42578125" style="104" customWidth="1"/>
    <col min="15" max="15" width="0.5703125" style="104" customWidth="1"/>
    <col min="16" max="16" width="11.42578125" style="105"/>
    <col min="17" max="18" width="11.42578125" style="105" customWidth="1"/>
    <col min="19" max="19" width="11.42578125" style="105"/>
    <col min="20" max="20" width="2.7109375" style="105" customWidth="1"/>
    <col min="21" max="21" width="11.42578125" style="105"/>
    <col min="22" max="22" width="2.7109375" style="105" customWidth="1"/>
    <col min="23" max="23" width="11.42578125" style="105"/>
    <col min="24" max="24" width="2.7109375" style="105" customWidth="1"/>
    <col min="25" max="25" width="11.42578125" style="105"/>
    <col min="26" max="26" width="2.7109375" style="105" customWidth="1"/>
    <col min="27" max="27" width="11.42578125" style="105"/>
    <col min="28" max="28" width="2.7109375" style="105" customWidth="1"/>
    <col min="29" max="31" width="11.42578125" style="105"/>
    <col min="32" max="37" width="3.140625" style="105" customWidth="1"/>
    <col min="38" max="45" width="7.42578125" style="105" customWidth="1"/>
    <col min="46" max="48" width="11.42578125" style="105"/>
    <col min="49" max="16384" width="11.42578125" style="104"/>
  </cols>
  <sheetData>
    <row r="1" spans="1:19" ht="3.95" customHeight="1" x14ac:dyDescent="0.25"/>
    <row r="2" spans="1:19" ht="3.95" customHeight="1" x14ac:dyDescent="0.25">
      <c r="B2" s="106"/>
      <c r="C2" s="106"/>
      <c r="D2" s="106"/>
      <c r="E2" s="106"/>
      <c r="F2" s="106"/>
      <c r="G2" s="106"/>
      <c r="H2" s="106"/>
      <c r="I2" s="106"/>
      <c r="J2" s="106"/>
      <c r="K2" s="106"/>
      <c r="L2" s="106"/>
      <c r="M2" s="106"/>
      <c r="N2" s="106"/>
      <c r="O2" s="106"/>
    </row>
    <row r="3" spans="1:19" ht="20.25" customHeight="1" x14ac:dyDescent="0.25">
      <c r="B3" s="106"/>
      <c r="C3" s="411" t="s">
        <v>0</v>
      </c>
      <c r="D3" s="411"/>
      <c r="E3" s="411"/>
      <c r="F3" s="411"/>
      <c r="G3" s="411"/>
      <c r="H3" s="411"/>
      <c r="I3" s="411"/>
      <c r="J3" s="411"/>
      <c r="K3" s="411"/>
      <c r="L3" s="411"/>
      <c r="M3" s="411"/>
      <c r="N3" s="411"/>
      <c r="O3" s="106"/>
    </row>
    <row r="4" spans="1:19" ht="20.25" customHeight="1" x14ac:dyDescent="0.25">
      <c r="B4" s="106"/>
      <c r="C4" s="411"/>
      <c r="D4" s="411"/>
      <c r="E4" s="411"/>
      <c r="F4" s="411"/>
      <c r="G4" s="411"/>
      <c r="H4" s="411"/>
      <c r="I4" s="411"/>
      <c r="J4" s="411"/>
      <c r="K4" s="411"/>
      <c r="L4" s="411"/>
      <c r="M4" s="411"/>
      <c r="N4" s="411"/>
      <c r="O4" s="106"/>
      <c r="Q4" s="3"/>
      <c r="R4" s="3"/>
      <c r="S4" s="105" t="s">
        <v>1</v>
      </c>
    </row>
    <row r="5" spans="1:19" ht="20.25" customHeight="1" x14ac:dyDescent="0.25">
      <c r="B5" s="106"/>
      <c r="C5" s="411"/>
      <c r="D5" s="411"/>
      <c r="E5" s="411"/>
      <c r="F5" s="411"/>
      <c r="G5" s="411"/>
      <c r="H5" s="411"/>
      <c r="I5" s="411"/>
      <c r="J5" s="411"/>
      <c r="K5" s="411"/>
      <c r="L5" s="411"/>
      <c r="M5" s="411"/>
      <c r="N5" s="411"/>
      <c r="O5" s="106"/>
      <c r="S5" s="105" t="s">
        <v>2</v>
      </c>
    </row>
    <row r="6" spans="1:19" ht="3" customHeight="1" x14ac:dyDescent="0.25">
      <c r="B6" s="106"/>
      <c r="C6" s="106"/>
      <c r="D6" s="106"/>
      <c r="E6" s="106"/>
      <c r="F6" s="106"/>
      <c r="G6" s="106"/>
      <c r="H6" s="106"/>
      <c r="I6" s="106"/>
      <c r="J6" s="106"/>
      <c r="K6" s="106"/>
      <c r="L6" s="106"/>
      <c r="M6" s="106"/>
      <c r="N6" s="106"/>
      <c r="O6" s="106"/>
    </row>
    <row r="7" spans="1:19" ht="3" customHeight="1" x14ac:dyDescent="0.25"/>
    <row r="8" spans="1:19" ht="3.95" customHeight="1" x14ac:dyDescent="0.25">
      <c r="B8" s="106"/>
      <c r="C8" s="106"/>
      <c r="D8" s="106"/>
      <c r="E8" s="106"/>
      <c r="F8" s="106"/>
      <c r="G8" s="106"/>
      <c r="H8" s="106"/>
      <c r="I8" s="106"/>
      <c r="J8" s="106"/>
      <c r="K8" s="106"/>
      <c r="L8" s="106"/>
      <c r="M8" s="106"/>
      <c r="N8" s="106"/>
      <c r="O8" s="106"/>
    </row>
    <row r="9" spans="1:19" ht="3.95" customHeight="1" x14ac:dyDescent="0.25">
      <c r="B9" s="106"/>
      <c r="O9" s="106"/>
    </row>
    <row r="10" spans="1:19" ht="15.75" customHeight="1" x14ac:dyDescent="0.25">
      <c r="B10" s="106"/>
      <c r="D10" s="387" t="s">
        <v>3</v>
      </c>
      <c r="E10" s="387"/>
      <c r="F10" s="107">
        <v>2015</v>
      </c>
      <c r="G10" s="108" t="s">
        <v>4</v>
      </c>
      <c r="H10" s="107" t="s">
        <v>1358</v>
      </c>
      <c r="O10" s="106"/>
    </row>
    <row r="11" spans="1:19" ht="3.95" customHeight="1" x14ac:dyDescent="0.25">
      <c r="B11" s="106"/>
      <c r="D11" s="109"/>
      <c r="O11" s="106"/>
    </row>
    <row r="12" spans="1:19" ht="36" customHeight="1" x14ac:dyDescent="0.25">
      <c r="B12" s="106"/>
      <c r="D12" s="378" t="s">
        <v>5</v>
      </c>
      <c r="E12" s="379"/>
      <c r="F12" s="389" t="s">
        <v>1355</v>
      </c>
      <c r="G12" s="390"/>
      <c r="H12" s="390"/>
      <c r="I12" s="390"/>
      <c r="J12" s="390"/>
      <c r="K12" s="390"/>
      <c r="L12" s="390"/>
      <c r="M12" s="391"/>
      <c r="O12" s="106"/>
      <c r="Q12" s="110" t="s">
        <v>1977</v>
      </c>
      <c r="S12" s="111">
        <v>154</v>
      </c>
    </row>
    <row r="13" spans="1:19" ht="3.95" customHeight="1" x14ac:dyDescent="0.25">
      <c r="B13" s="106"/>
      <c r="O13" s="106"/>
    </row>
    <row r="14" spans="1:19" ht="38.25" customHeight="1" x14ac:dyDescent="0.25">
      <c r="A14" s="104" t="s">
        <v>1358</v>
      </c>
      <c r="B14" s="106"/>
      <c r="D14" s="378" t="s">
        <v>6</v>
      </c>
      <c r="E14" s="379"/>
      <c r="F14" s="389" t="s">
        <v>1327</v>
      </c>
      <c r="G14" s="390"/>
      <c r="H14" s="390"/>
      <c r="I14" s="390"/>
      <c r="J14" s="390"/>
      <c r="K14" s="390"/>
      <c r="L14" s="390"/>
      <c r="M14" s="391"/>
      <c r="O14" s="106"/>
    </row>
    <row r="15" spans="1:19" ht="3.95" customHeight="1" x14ac:dyDescent="0.25">
      <c r="B15" s="106"/>
      <c r="O15" s="106"/>
    </row>
    <row r="16" spans="1:19" ht="3" customHeight="1" x14ac:dyDescent="0.25">
      <c r="B16" s="106"/>
      <c r="C16" s="106"/>
      <c r="D16" s="106"/>
      <c r="E16" s="106"/>
      <c r="F16" s="106"/>
      <c r="G16" s="106"/>
      <c r="H16" s="106"/>
      <c r="I16" s="106"/>
      <c r="J16" s="106"/>
      <c r="K16" s="106"/>
      <c r="L16" s="106"/>
      <c r="M16" s="106"/>
      <c r="N16" s="106"/>
      <c r="O16" s="106"/>
    </row>
    <row r="17" spans="2:17" ht="3" customHeight="1" x14ac:dyDescent="0.25"/>
    <row r="18" spans="2:17" ht="3" customHeight="1" x14ac:dyDescent="0.25">
      <c r="B18" s="106"/>
      <c r="C18" s="106"/>
      <c r="D18" s="106"/>
      <c r="E18" s="106"/>
      <c r="F18" s="106"/>
      <c r="G18" s="106"/>
      <c r="H18" s="106"/>
      <c r="I18" s="106"/>
      <c r="J18" s="106"/>
      <c r="K18" s="106"/>
      <c r="L18" s="106"/>
      <c r="M18" s="106"/>
      <c r="N18" s="106"/>
      <c r="O18" s="106"/>
    </row>
    <row r="19" spans="2:17" ht="3.95" customHeight="1" x14ac:dyDescent="0.25">
      <c r="B19" s="106"/>
      <c r="O19" s="106"/>
    </row>
    <row r="20" spans="2:17" x14ac:dyDescent="0.25">
      <c r="B20" s="106"/>
      <c r="D20" s="112" t="s">
        <v>7</v>
      </c>
      <c r="O20" s="106"/>
    </row>
    <row r="21" spans="2:17" ht="3.95" customHeight="1" x14ac:dyDescent="0.25">
      <c r="B21" s="106"/>
      <c r="O21" s="106"/>
    </row>
    <row r="22" spans="2:17" ht="18.75" customHeight="1" x14ac:dyDescent="0.25">
      <c r="B22" s="106"/>
      <c r="D22" s="387" t="s">
        <v>8</v>
      </c>
      <c r="E22" s="387"/>
      <c r="F22" s="113" t="s">
        <v>1978</v>
      </c>
      <c r="G22" s="387" t="s">
        <v>9</v>
      </c>
      <c r="H22" s="387"/>
      <c r="I22" s="114">
        <f>+IFERROR(VLOOKUP($S$12,[1]Hoja1!$B$5:$AT$190,19,FALSE),"")</f>
        <v>1</v>
      </c>
      <c r="K22" s="387" t="s">
        <v>10</v>
      </c>
      <c r="L22" s="387"/>
      <c r="M22" s="115" t="str">
        <f>+IFERROR(VLOOKUP($S$12,[1]Hoja1!$B$5:$AT$190,22,FALSE),"")</f>
        <v>Si</v>
      </c>
      <c r="O22" s="106"/>
    </row>
    <row r="23" spans="2:17" ht="19.5" customHeight="1" x14ac:dyDescent="0.25">
      <c r="B23" s="106"/>
      <c r="D23" s="387" t="s">
        <v>11</v>
      </c>
      <c r="E23" s="387"/>
      <c r="F23" s="107" t="str">
        <f>+IFERROR(VLOOKUP($S$12,[1]Hoja1!$B$5:$AT$190,33,FALSE),"")</f>
        <v>Mensual</v>
      </c>
      <c r="G23" s="387" t="s">
        <v>12</v>
      </c>
      <c r="H23" s="387"/>
      <c r="I23" s="107" t="str">
        <f>+IFERROR(VLOOKUP($S$12,[1]Hoja1!$B$5:$AT$190,21,FALSE),"")</f>
        <v>Porcentaje</v>
      </c>
      <c r="K23" s="387" t="s">
        <v>13</v>
      </c>
      <c r="L23" s="387"/>
      <c r="M23" s="115" t="str">
        <f>+IFERROR(VLOOKUP($S$12,[1]Hoja1!$B$5:$AT$190,23,FALSE),"")</f>
        <v>No</v>
      </c>
      <c r="O23" s="106"/>
    </row>
    <row r="24" spans="2:17" ht="20.100000000000001" customHeight="1" x14ac:dyDescent="0.25">
      <c r="B24" s="106"/>
      <c r="D24" s="387" t="s">
        <v>14</v>
      </c>
      <c r="E24" s="387"/>
      <c r="F24" s="107" t="s">
        <v>498</v>
      </c>
      <c r="G24" s="387" t="s">
        <v>15</v>
      </c>
      <c r="H24" s="387"/>
      <c r="I24" s="107" t="s">
        <v>103</v>
      </c>
      <c r="K24" s="387" t="s">
        <v>16</v>
      </c>
      <c r="L24" s="387"/>
      <c r="M24" s="115" t="str">
        <f>+IFERROR(VLOOKUP($S$12,[1]Hoja1!$B$5:$AT$190,24,FALSE),"")</f>
        <v>No</v>
      </c>
      <c r="O24" s="106"/>
    </row>
    <row r="25" spans="2:17" ht="20.100000000000001" customHeight="1" x14ac:dyDescent="0.25">
      <c r="B25" s="106"/>
      <c r="D25" s="387" t="s">
        <v>17</v>
      </c>
      <c r="E25" s="387"/>
      <c r="F25" s="107" t="str">
        <f>+IFERROR(VLOOKUP($S$12,[1]Hoja1!$B$5:$AT$190,18,FALSE),"")</f>
        <v>Eficiencia</v>
      </c>
      <c r="O25" s="106"/>
    </row>
    <row r="26" spans="2:17" ht="3.95" customHeight="1" x14ac:dyDescent="0.25">
      <c r="B26" s="106"/>
      <c r="O26" s="106"/>
    </row>
    <row r="27" spans="2:17" x14ac:dyDescent="0.25">
      <c r="B27" s="106"/>
      <c r="D27" s="112" t="s">
        <v>18</v>
      </c>
      <c r="O27" s="106"/>
    </row>
    <row r="28" spans="2:17" ht="3.95" customHeight="1" x14ac:dyDescent="0.25">
      <c r="B28" s="106"/>
      <c r="O28" s="106"/>
    </row>
    <row r="29" spans="2:17" ht="36" customHeight="1" x14ac:dyDescent="0.25">
      <c r="B29" s="106"/>
      <c r="D29" s="393" t="s">
        <v>19</v>
      </c>
      <c r="E29" s="393"/>
      <c r="F29" s="344" t="s">
        <v>489</v>
      </c>
      <c r="G29" s="344"/>
      <c r="H29" s="344"/>
      <c r="I29" s="344"/>
      <c r="J29" s="344"/>
      <c r="K29" s="344"/>
      <c r="L29" s="344"/>
      <c r="M29" s="344"/>
      <c r="O29" s="106"/>
      <c r="P29" s="105" t="s">
        <v>1998</v>
      </c>
    </row>
    <row r="30" spans="2:17" ht="18" customHeight="1" x14ac:dyDescent="0.25">
      <c r="B30" s="106"/>
      <c r="D30" s="404" t="s">
        <v>21</v>
      </c>
      <c r="E30" s="405"/>
      <c r="F30" s="10" t="s">
        <v>22</v>
      </c>
      <c r="G30" s="349" t="s">
        <v>5</v>
      </c>
      <c r="H30" s="350"/>
      <c r="I30" s="350"/>
      <c r="J30" s="350"/>
      <c r="K30" s="350"/>
      <c r="L30" s="350"/>
      <c r="M30" s="351"/>
      <c r="O30" s="106"/>
      <c r="Q30" s="105" t="str">
        <f>+IFERROR(VLOOKUP(G31,[1]base!$A$9:$C$25,3,FALSE),"")</f>
        <v>NA</v>
      </c>
    </row>
    <row r="31" spans="2:17" ht="24" customHeight="1" x14ac:dyDescent="0.25">
      <c r="B31" s="106"/>
      <c r="D31" s="406"/>
      <c r="E31" s="407"/>
      <c r="F31" s="4" t="s">
        <v>176</v>
      </c>
      <c r="G31" s="340" t="s">
        <v>177</v>
      </c>
      <c r="H31" s="341"/>
      <c r="I31" s="341"/>
      <c r="J31" s="341"/>
      <c r="K31" s="341"/>
      <c r="L31" s="341"/>
      <c r="M31" s="342"/>
      <c r="O31" s="106"/>
    </row>
    <row r="32" spans="2:17" ht="18" customHeight="1" x14ac:dyDescent="0.25">
      <c r="B32" s="106"/>
      <c r="D32" s="404" t="s">
        <v>23</v>
      </c>
      <c r="E32" s="405"/>
      <c r="F32" s="116" t="s">
        <v>22</v>
      </c>
      <c r="G32" s="408" t="s">
        <v>5</v>
      </c>
      <c r="H32" s="409"/>
      <c r="I32" s="409"/>
      <c r="J32" s="409"/>
      <c r="K32" s="409"/>
      <c r="L32" s="409"/>
      <c r="M32" s="410"/>
      <c r="O32" s="106"/>
    </row>
    <row r="33" spans="2:17" ht="24" customHeight="1" x14ac:dyDescent="0.25">
      <c r="B33" s="106"/>
      <c r="D33" s="406"/>
      <c r="E33" s="407"/>
      <c r="F33" s="117" t="str">
        <f>+IFERROR(VLOOKUP(G33,[1]base!$A$26:$B$40,2,FALSE),"")</f>
        <v/>
      </c>
      <c r="G33" s="389"/>
      <c r="H33" s="390"/>
      <c r="I33" s="390"/>
      <c r="J33" s="390"/>
      <c r="K33" s="390"/>
      <c r="L33" s="390"/>
      <c r="M33" s="391"/>
      <c r="O33" s="106"/>
      <c r="Q33" s="105" t="str">
        <f>+IFERROR(IF(VLOOKUP(G33,[1]base!$A$26:$C$40,3,FALSE)=F31,1,0),"")</f>
        <v/>
      </c>
    </row>
    <row r="34" spans="2:17" ht="18" customHeight="1" x14ac:dyDescent="0.25">
      <c r="B34" s="106"/>
      <c r="D34" s="404" t="s">
        <v>24</v>
      </c>
      <c r="E34" s="405"/>
      <c r="F34" s="116" t="s">
        <v>22</v>
      </c>
      <c r="G34" s="408" t="s">
        <v>5</v>
      </c>
      <c r="H34" s="409"/>
      <c r="I34" s="409"/>
      <c r="J34" s="409"/>
      <c r="K34" s="409"/>
      <c r="L34" s="409"/>
      <c r="M34" s="410"/>
      <c r="O34" s="106"/>
    </row>
    <row r="35" spans="2:17" ht="28.5" customHeight="1" x14ac:dyDescent="0.25">
      <c r="B35" s="106"/>
      <c r="D35" s="406"/>
      <c r="E35" s="407"/>
      <c r="F35" s="4" t="s">
        <v>1714</v>
      </c>
      <c r="G35" s="340" t="s">
        <v>1590</v>
      </c>
      <c r="H35" s="341"/>
      <c r="I35" s="341"/>
      <c r="J35" s="341"/>
      <c r="K35" s="341"/>
      <c r="L35" s="341"/>
      <c r="M35" s="342"/>
      <c r="O35" s="106"/>
    </row>
    <row r="36" spans="2:17" ht="3.95" customHeight="1" x14ac:dyDescent="0.25">
      <c r="B36" s="106"/>
      <c r="O36" s="106"/>
    </row>
    <row r="37" spans="2:17" ht="3" customHeight="1" x14ac:dyDescent="0.25">
      <c r="B37" s="106"/>
      <c r="C37" s="106"/>
      <c r="D37" s="106"/>
      <c r="E37" s="106"/>
      <c r="F37" s="106"/>
      <c r="G37" s="106"/>
      <c r="H37" s="106"/>
      <c r="I37" s="106"/>
      <c r="J37" s="106"/>
      <c r="K37" s="106"/>
      <c r="L37" s="106"/>
      <c r="M37" s="106"/>
      <c r="N37" s="106"/>
      <c r="O37" s="106"/>
    </row>
    <row r="38" spans="2:17" ht="3" customHeight="1" x14ac:dyDescent="0.25"/>
    <row r="39" spans="2:17" ht="3" customHeight="1" x14ac:dyDescent="0.25">
      <c r="B39" s="106"/>
      <c r="C39" s="106"/>
      <c r="D39" s="106"/>
      <c r="E39" s="106"/>
      <c r="F39" s="106"/>
      <c r="G39" s="106"/>
      <c r="H39" s="106"/>
      <c r="I39" s="106"/>
      <c r="J39" s="106"/>
      <c r="K39" s="106"/>
      <c r="L39" s="106"/>
      <c r="M39" s="106"/>
      <c r="N39" s="106"/>
      <c r="O39" s="106"/>
    </row>
    <row r="40" spans="2:17" ht="3.95" customHeight="1" x14ac:dyDescent="0.25">
      <c r="B40" s="106"/>
      <c r="D40" s="112"/>
      <c r="O40" s="106"/>
    </row>
    <row r="41" spans="2:17" x14ac:dyDescent="0.25">
      <c r="B41" s="106"/>
      <c r="D41" s="112" t="s">
        <v>25</v>
      </c>
      <c r="O41" s="106"/>
    </row>
    <row r="42" spans="2:17" ht="3.95" customHeight="1" x14ac:dyDescent="0.25">
      <c r="B42" s="106"/>
      <c r="O42" s="106"/>
    </row>
    <row r="43" spans="2:17" ht="20.100000000000001" customHeight="1" x14ac:dyDescent="0.25">
      <c r="B43" s="106"/>
      <c r="D43" s="387" t="s">
        <v>26</v>
      </c>
      <c r="E43" s="387"/>
      <c r="F43" s="107" t="s">
        <v>2</v>
      </c>
      <c r="O43" s="106"/>
    </row>
    <row r="44" spans="2:17" ht="18" customHeight="1" x14ac:dyDescent="0.25">
      <c r="B44" s="106"/>
      <c r="D44" s="397" t="s">
        <v>27</v>
      </c>
      <c r="E44" s="398"/>
      <c r="F44" s="118" t="s">
        <v>22</v>
      </c>
      <c r="G44" s="401" t="s">
        <v>5</v>
      </c>
      <c r="H44" s="402"/>
      <c r="I44" s="402"/>
      <c r="J44" s="402"/>
      <c r="K44" s="402"/>
      <c r="L44" s="402"/>
      <c r="M44" s="403"/>
      <c r="O44" s="106"/>
    </row>
    <row r="45" spans="2:17" ht="18" customHeight="1" x14ac:dyDescent="0.25">
      <c r="B45" s="106"/>
      <c r="D45" s="399"/>
      <c r="E45" s="400"/>
      <c r="F45" s="107" t="str">
        <f>+IFERROR(VLOOKUP(G45,[1]base!$A$41:$B$45,2,FALSE),"")</f>
        <v>LP5</v>
      </c>
      <c r="G45" s="389" t="str">
        <f>+IFERROR(VLOOKUP($S$12,[1]Hoja1!$B$5:$AT$190,6,FALSE),"")</f>
        <v>Gestión Financiera</v>
      </c>
      <c r="H45" s="390"/>
      <c r="I45" s="390"/>
      <c r="J45" s="390"/>
      <c r="K45" s="390"/>
      <c r="L45" s="390"/>
      <c r="M45" s="391"/>
      <c r="O45" s="106"/>
      <c r="Q45" s="105" t="str">
        <f>+IFERROR(VLOOKUP(G45,[1]base!$A$41:$C$45,3,FALSE),"")</f>
        <v>financiera</v>
      </c>
    </row>
    <row r="46" spans="2:17" ht="18" customHeight="1" x14ac:dyDescent="0.25">
      <c r="B46" s="106"/>
      <c r="D46" s="397" t="s">
        <v>28</v>
      </c>
      <c r="E46" s="398"/>
      <c r="F46" s="118" t="s">
        <v>22</v>
      </c>
      <c r="G46" s="401" t="s">
        <v>5</v>
      </c>
      <c r="H46" s="402"/>
      <c r="I46" s="402"/>
      <c r="J46" s="402"/>
      <c r="K46" s="402"/>
      <c r="L46" s="402"/>
      <c r="M46" s="403"/>
      <c r="O46" s="106"/>
    </row>
    <row r="47" spans="2:17" ht="18" customHeight="1" x14ac:dyDescent="0.25">
      <c r="B47" s="106"/>
      <c r="D47" s="399"/>
      <c r="E47" s="400"/>
      <c r="F47" s="107" t="str">
        <f>+IFERROR(VLOOKUP(G47,[1]base!$A$46:$B$66,2,FALSE),"")</f>
        <v/>
      </c>
      <c r="G47" s="389"/>
      <c r="H47" s="390"/>
      <c r="I47" s="390"/>
      <c r="J47" s="390"/>
      <c r="K47" s="390"/>
      <c r="L47" s="390"/>
      <c r="M47" s="391"/>
      <c r="O47" s="106"/>
      <c r="Q47" s="105" t="e">
        <f>+IF(VLOOKUP(G47,[1]base!$A$46:$C$66,3,FALSE)=F45,1,0)</f>
        <v>#N/A</v>
      </c>
    </row>
    <row r="48" spans="2:17" ht="18" customHeight="1" x14ac:dyDescent="0.25">
      <c r="B48" s="106"/>
      <c r="D48" s="397" t="s">
        <v>29</v>
      </c>
      <c r="E48" s="398"/>
      <c r="F48" s="118" t="s">
        <v>22</v>
      </c>
      <c r="G48" s="401" t="s">
        <v>5</v>
      </c>
      <c r="H48" s="402"/>
      <c r="I48" s="402"/>
      <c r="J48" s="402"/>
      <c r="K48" s="402"/>
      <c r="L48" s="402"/>
      <c r="M48" s="403"/>
      <c r="O48" s="106"/>
    </row>
    <row r="49" spans="2:15" ht="29.25" customHeight="1" x14ac:dyDescent="0.25">
      <c r="B49" s="106"/>
      <c r="D49" s="399"/>
      <c r="E49" s="400"/>
      <c r="F49" s="119" t="str">
        <f>+IFERROR(VLOOKUP(G49,[1]base!$G$37:$H$47,2,FALSE),"")</f>
        <v>C-310-300-2</v>
      </c>
      <c r="G49" s="389" t="s">
        <v>899</v>
      </c>
      <c r="H49" s="390"/>
      <c r="I49" s="390"/>
      <c r="J49" s="390"/>
      <c r="K49" s="390"/>
      <c r="L49" s="390"/>
      <c r="M49" s="391"/>
      <c r="O49" s="106"/>
    </row>
    <row r="50" spans="2:15" ht="3.95" customHeight="1" x14ac:dyDescent="0.25">
      <c r="B50" s="106"/>
      <c r="O50" s="106"/>
    </row>
    <row r="51" spans="2:15" ht="20.100000000000001" customHeight="1" x14ac:dyDescent="0.25">
      <c r="B51" s="106"/>
      <c r="D51" s="387" t="s">
        <v>31</v>
      </c>
      <c r="E51" s="387"/>
      <c r="F51" s="107" t="str">
        <f>+IFERROR(VLOOKUP($S$12,[1]Hoja1!$B$5:$AT$190,26,FALSE),"")</f>
        <v>No</v>
      </c>
      <c r="G51" s="387" t="s">
        <v>32</v>
      </c>
      <c r="H51" s="387"/>
      <c r="I51" s="120" t="str">
        <f>+IFERROR(IF(F51="No","",VLOOKUP($S$12,[1]Hoja1!$B$5:$AT$190,20,FALSE)),"")</f>
        <v/>
      </c>
      <c r="O51" s="106"/>
    </row>
    <row r="52" spans="2:15" ht="3.95" customHeight="1" x14ac:dyDescent="0.25">
      <c r="B52" s="106"/>
      <c r="O52" s="106"/>
    </row>
    <row r="53" spans="2:15" ht="3" customHeight="1" x14ac:dyDescent="0.25">
      <c r="B53" s="106"/>
      <c r="C53" s="106"/>
      <c r="D53" s="106"/>
      <c r="E53" s="106"/>
      <c r="F53" s="106"/>
      <c r="G53" s="106"/>
      <c r="H53" s="106"/>
      <c r="I53" s="106"/>
      <c r="J53" s="106"/>
      <c r="K53" s="106"/>
      <c r="L53" s="106"/>
      <c r="M53" s="106"/>
      <c r="N53" s="106"/>
      <c r="O53" s="106"/>
    </row>
    <row r="54" spans="2:15" ht="3" customHeight="1" x14ac:dyDescent="0.25"/>
    <row r="55" spans="2:15" ht="3.95" customHeight="1" x14ac:dyDescent="0.25">
      <c r="B55" s="106"/>
      <c r="C55" s="106"/>
      <c r="D55" s="106"/>
      <c r="E55" s="106"/>
      <c r="F55" s="106"/>
      <c r="G55" s="106"/>
      <c r="H55" s="106"/>
      <c r="I55" s="106"/>
      <c r="J55" s="106"/>
      <c r="K55" s="106"/>
      <c r="L55" s="106"/>
      <c r="M55" s="106"/>
      <c r="N55" s="106"/>
      <c r="O55" s="106"/>
    </row>
    <row r="56" spans="2:15" ht="3.95" customHeight="1" x14ac:dyDescent="0.25">
      <c r="B56" s="106"/>
      <c r="O56" s="106"/>
    </row>
    <row r="57" spans="2:15" x14ac:dyDescent="0.25">
      <c r="B57" s="106"/>
      <c r="D57" s="112" t="s">
        <v>33</v>
      </c>
      <c r="O57" s="106"/>
    </row>
    <row r="58" spans="2:15" ht="3.95" customHeight="1" x14ac:dyDescent="0.25">
      <c r="B58" s="106"/>
      <c r="O58" s="106"/>
    </row>
    <row r="59" spans="2:15" ht="30" customHeight="1" x14ac:dyDescent="0.25">
      <c r="B59" s="106"/>
      <c r="D59" s="387" t="s">
        <v>34</v>
      </c>
      <c r="E59" s="387"/>
      <c r="F59" s="370" t="str">
        <f>+IF(F60="","",F60&amp;" / "&amp;F61)</f>
        <v>Recursos Comprometidos / Meta Mensual de Compromisos</v>
      </c>
      <c r="G59" s="370"/>
      <c r="H59" s="370"/>
      <c r="I59" s="370"/>
      <c r="J59" s="370"/>
      <c r="K59" s="370"/>
      <c r="L59" s="370"/>
      <c r="M59" s="370"/>
      <c r="O59" s="106"/>
    </row>
    <row r="60" spans="2:15" ht="30" customHeight="1" x14ac:dyDescent="0.25">
      <c r="B60" s="106"/>
      <c r="D60" s="369" t="s">
        <v>35</v>
      </c>
      <c r="E60" s="369"/>
      <c r="F60" s="370" t="str">
        <f>+IFERROR(VLOOKUP($S$12,[1]Hoja1!$B$5:$AT$190,28,FALSE),"")</f>
        <v>Recursos Comprometidos</v>
      </c>
      <c r="G60" s="370"/>
      <c r="H60" s="370"/>
      <c r="I60" s="370"/>
      <c r="J60" s="370"/>
      <c r="K60" s="370"/>
      <c r="L60" s="370"/>
      <c r="M60" s="370"/>
      <c r="O60" s="106"/>
    </row>
    <row r="61" spans="2:15" ht="30" customHeight="1" x14ac:dyDescent="0.25">
      <c r="B61" s="106"/>
      <c r="D61" s="369" t="s">
        <v>36</v>
      </c>
      <c r="E61" s="369"/>
      <c r="F61" s="389" t="str">
        <f>+IFERROR(VLOOKUP($S$12,[1]Hoja1!$B$5:$AT$190,30,FALSE),"")</f>
        <v>Meta Mensual de Compromisos</v>
      </c>
      <c r="G61" s="390"/>
      <c r="H61" s="390"/>
      <c r="I61" s="390"/>
      <c r="J61" s="390"/>
      <c r="K61" s="390"/>
      <c r="L61" s="390"/>
      <c r="M61" s="391"/>
      <c r="O61" s="106"/>
    </row>
    <row r="62" spans="2:15" ht="3.95" customHeight="1" x14ac:dyDescent="0.25">
      <c r="B62" s="106"/>
      <c r="O62" s="106"/>
    </row>
    <row r="63" spans="2:15" ht="3" customHeight="1" x14ac:dyDescent="0.25">
      <c r="B63" s="106"/>
      <c r="C63" s="106"/>
      <c r="D63" s="106"/>
      <c r="E63" s="106"/>
      <c r="F63" s="106"/>
      <c r="G63" s="106"/>
      <c r="H63" s="106"/>
      <c r="I63" s="106"/>
      <c r="J63" s="106"/>
      <c r="K63" s="106"/>
      <c r="L63" s="106"/>
      <c r="M63" s="106"/>
      <c r="N63" s="106"/>
      <c r="O63" s="106"/>
    </row>
    <row r="64" spans="2:15" x14ac:dyDescent="0.25">
      <c r="M64" s="121" t="s">
        <v>37</v>
      </c>
    </row>
    <row r="65" spans="2:45" ht="3" customHeight="1" x14ac:dyDescent="0.25">
      <c r="B65" s="106"/>
      <c r="C65" s="106"/>
      <c r="D65" s="106"/>
      <c r="E65" s="106"/>
      <c r="F65" s="106"/>
      <c r="G65" s="106"/>
      <c r="H65" s="106"/>
      <c r="I65" s="106"/>
      <c r="J65" s="106"/>
      <c r="K65" s="106"/>
      <c r="L65" s="106"/>
      <c r="M65" s="106"/>
      <c r="N65" s="106"/>
      <c r="O65" s="106"/>
    </row>
    <row r="66" spans="2:45" ht="3.95" customHeight="1" x14ac:dyDescent="0.25">
      <c r="B66" s="106"/>
      <c r="O66" s="106"/>
    </row>
    <row r="67" spans="2:45" x14ac:dyDescent="0.25">
      <c r="B67" s="106"/>
      <c r="D67" s="392" t="s">
        <v>38</v>
      </c>
      <c r="E67" s="392"/>
      <c r="O67" s="106"/>
    </row>
    <row r="68" spans="2:45" ht="3.95" customHeight="1" x14ac:dyDescent="0.25">
      <c r="B68" s="106"/>
      <c r="D68" s="112"/>
      <c r="E68" s="112"/>
      <c r="O68" s="106"/>
    </row>
    <row r="69" spans="2:45" ht="18.75" customHeight="1" x14ac:dyDescent="0.25">
      <c r="B69" s="106"/>
      <c r="O69" s="106"/>
      <c r="Q69" s="122" t="s">
        <v>11</v>
      </c>
      <c r="S69" s="105" t="str">
        <f>+IF(F23=0,"",F23)</f>
        <v>Mensual</v>
      </c>
      <c r="U69" s="105">
        <f>+IFERROR(VLOOKUP(S69,[1]base!$H$23:$I$28,2,FALSE),"")</f>
        <v>1</v>
      </c>
    </row>
    <row r="70" spans="2:45" ht="3.95" customHeight="1" x14ac:dyDescent="0.25">
      <c r="B70" s="106"/>
      <c r="D70" s="112"/>
      <c r="E70" s="112"/>
      <c r="O70" s="106"/>
    </row>
    <row r="71" spans="2:45" ht="18.75" customHeight="1" x14ac:dyDescent="0.25">
      <c r="B71" s="106"/>
      <c r="D71" s="393" t="s">
        <v>39</v>
      </c>
      <c r="E71" s="393"/>
      <c r="F71" s="107" t="s">
        <v>47</v>
      </c>
      <c r="G71" s="105">
        <f>+IFERROR(VLOOKUP(F71,$AE$75:$AF$86,2,FALSE),"")</f>
        <v>3</v>
      </c>
      <c r="O71" s="106"/>
      <c r="Q71" s="122" t="s">
        <v>14</v>
      </c>
      <c r="S71" s="105" t="str">
        <f>+IF(F24=0,"",F24)</f>
        <v>Creciente</v>
      </c>
    </row>
    <row r="72" spans="2:45" ht="3.95" customHeight="1" x14ac:dyDescent="0.25">
      <c r="B72" s="106"/>
      <c r="D72" s="112"/>
      <c r="E72" s="112"/>
      <c r="O72" s="106"/>
    </row>
    <row r="73" spans="2:45" x14ac:dyDescent="0.25">
      <c r="B73" s="106"/>
      <c r="D73" s="394" t="s">
        <v>41</v>
      </c>
      <c r="E73" s="394"/>
      <c r="F73" s="395" t="s">
        <v>42</v>
      </c>
      <c r="G73" s="396"/>
      <c r="H73" s="395" t="s">
        <v>43</v>
      </c>
      <c r="I73" s="396"/>
      <c r="J73" s="395" t="s">
        <v>44</v>
      </c>
      <c r="K73" s="396"/>
      <c r="L73" s="395" t="s">
        <v>45</v>
      </c>
      <c r="M73" s="396"/>
      <c r="O73" s="106"/>
      <c r="S73" s="111">
        <f>+IFERROR(VLOOKUP(S74,$AE$75:$AK$86,7,FALSE),"")</f>
        <v>0</v>
      </c>
      <c r="U73" s="111">
        <f>+IFERROR(VLOOKUP(U74,$AE$75:$AK$86,7,FALSE),"")</f>
        <v>0</v>
      </c>
      <c r="W73" s="111">
        <f>+IFERROR(VLOOKUP(W74,$AE$75:$AK$86,7,FALSE),"")</f>
        <v>1</v>
      </c>
      <c r="Y73" s="111">
        <f>+IFERROR(VLOOKUP(Y74,$AE$75:$AK$86,7,FALSE),"")</f>
        <v>1</v>
      </c>
      <c r="AA73" s="111">
        <f>+IFERROR(VLOOKUP(AA74,$AE$75:$AK$86,7,FALSE),"")</f>
        <v>1</v>
      </c>
      <c r="AC73" s="111">
        <f>+IFERROR(VLOOKUP(AC74,$AE$75:$AK$86,7,FALSE),"")</f>
        <v>1</v>
      </c>
      <c r="AL73" s="388" t="s">
        <v>42</v>
      </c>
      <c r="AM73" s="388"/>
      <c r="AN73" s="388" t="s">
        <v>43</v>
      </c>
      <c r="AO73" s="388"/>
      <c r="AP73" s="388" t="s">
        <v>44</v>
      </c>
      <c r="AQ73" s="388"/>
      <c r="AR73" s="388" t="s">
        <v>45</v>
      </c>
      <c r="AS73" s="388"/>
    </row>
    <row r="74" spans="2:45" x14ac:dyDescent="0.25">
      <c r="B74" s="106"/>
      <c r="D74" s="394"/>
      <c r="E74" s="394"/>
      <c r="F74" s="123" t="str">
        <f>+IF($F$24="Decreciente","Max","Min")</f>
        <v>Min</v>
      </c>
      <c r="G74" s="123" t="str">
        <f>+IF($F$24="Decreciente","MIn","Max")</f>
        <v>Max</v>
      </c>
      <c r="H74" s="123" t="str">
        <f>+IF($F$24="Decreciente","Max","Min")</f>
        <v>Min</v>
      </c>
      <c r="I74" s="123" t="str">
        <f>+IF($F$24="Decreciente","MIn","Max")</f>
        <v>Max</v>
      </c>
      <c r="J74" s="123" t="str">
        <f>+IF($F$24="Decreciente","Max","Min")</f>
        <v>Min</v>
      </c>
      <c r="K74" s="123" t="str">
        <f>+IF($F$24="Decreciente","MIn","Max")</f>
        <v>Max</v>
      </c>
      <c r="L74" s="123" t="str">
        <f>+IF($F$24="Decreciente","Max","Min")</f>
        <v>Min</v>
      </c>
      <c r="M74" s="123" t="str">
        <f>+IF($F$24="Decreciente","MIn","Max")</f>
        <v>Max</v>
      </c>
      <c r="O74" s="106"/>
      <c r="S74" s="124" t="s">
        <v>46</v>
      </c>
      <c r="T74" s="124"/>
      <c r="U74" s="124" t="s">
        <v>40</v>
      </c>
      <c r="V74" s="124"/>
      <c r="W74" s="124" t="s">
        <v>47</v>
      </c>
      <c r="X74" s="124"/>
      <c r="Y74" s="124" t="s">
        <v>48</v>
      </c>
      <c r="Z74" s="124"/>
      <c r="AA74" s="124" t="s">
        <v>49</v>
      </c>
      <c r="AB74" s="124"/>
      <c r="AC74" s="124" t="s">
        <v>50</v>
      </c>
      <c r="AL74" s="125" t="s">
        <v>51</v>
      </c>
      <c r="AM74" s="125" t="s">
        <v>52</v>
      </c>
      <c r="AN74" s="125" t="s">
        <v>51</v>
      </c>
      <c r="AO74" s="125" t="s">
        <v>52</v>
      </c>
      <c r="AP74" s="125" t="s">
        <v>51</v>
      </c>
      <c r="AQ74" s="125" t="s">
        <v>52</v>
      </c>
      <c r="AR74" s="125" t="s">
        <v>51</v>
      </c>
      <c r="AS74" s="125" t="s">
        <v>52</v>
      </c>
    </row>
    <row r="75" spans="2:45" x14ac:dyDescent="0.25">
      <c r="B75" s="106"/>
      <c r="D75" s="386" t="s">
        <v>46</v>
      </c>
      <c r="E75" s="386"/>
      <c r="F75" s="126"/>
      <c r="G75" s="126"/>
      <c r="H75" s="126"/>
      <c r="I75" s="126"/>
      <c r="J75" s="126"/>
      <c r="K75" s="126"/>
      <c r="L75" s="126"/>
      <c r="M75" s="126"/>
      <c r="O75" s="106"/>
      <c r="Q75" s="122" t="s">
        <v>1980</v>
      </c>
      <c r="R75" s="111"/>
      <c r="S75" s="127"/>
      <c r="T75" s="111"/>
      <c r="U75" s="127"/>
      <c r="V75" s="111"/>
      <c r="W75" s="127"/>
      <c r="X75" s="111"/>
      <c r="Y75" s="127"/>
      <c r="Z75" s="111"/>
      <c r="AA75" s="127"/>
      <c r="AB75" s="111"/>
      <c r="AC75" s="127"/>
      <c r="AE75" s="105" t="s">
        <v>46</v>
      </c>
      <c r="AF75" s="105">
        <v>1</v>
      </c>
      <c r="AG75" s="105">
        <f>+IF(AF75&gt;=$G$71,1,0)</f>
        <v>0</v>
      </c>
      <c r="AH75" s="105">
        <f>+IF(AG75=0,0,IF(AG75=1,(SUM($AG$75:AG75)-1),1))</f>
        <v>0</v>
      </c>
      <c r="AI75" s="105">
        <f>+IF(AH75=0,0,IF(MOD(AH75,$U$69)=0,1,0))</f>
        <v>0</v>
      </c>
      <c r="AJ75" s="105">
        <f>+IF(AE75=$F$71,1,0)</f>
        <v>0</v>
      </c>
      <c r="AK75" s="105">
        <f>+MAX(AI75:AJ75)</f>
        <v>0</v>
      </c>
      <c r="AL75" s="128" t="str">
        <f>+""</f>
        <v/>
      </c>
      <c r="AM75" s="128" t="str">
        <f>+IF(AK75=0,"",IF(R78="&gt;",S78+0.001,IF(R78="&lt;",S78-0.001,S78)))</f>
        <v/>
      </c>
      <c r="AN75" s="128" t="str">
        <f>+IF(R77="NA","",IF(AK75=0,"",IF(R78="≥",S78-0.001,IF(R78="≤",S78+0.001,S78))))</f>
        <v/>
      </c>
      <c r="AO75" s="128" t="str">
        <f>IF(R77="NA","",IF(AK75=0,"",IF(R77="&gt;",S77+0.001,IF(R77="&lt;",S77-0.001,S77))))</f>
        <v/>
      </c>
      <c r="AP75" s="128" t="str">
        <f>+IF(R76="NA","",IF(AK75=0,"",IF(R77="≥",S77-0.001,IF(R77="≤",S77+0.001,S77))))</f>
        <v/>
      </c>
      <c r="AQ75" s="128" t="str">
        <f>+IF(R76="NA","",IF(AK75=0,"",IF(R76="&gt;",S76+0.001,IF(R76="&lt;",S76-0.001,S76))))</f>
        <v/>
      </c>
      <c r="AR75" s="128" t="str">
        <f>IF(AK75=0,"",IF(R76="≥",S75-0.001,IF(R76="≤",S75+0.001,"")))</f>
        <v/>
      </c>
      <c r="AS75" s="128" t="str">
        <f>+IF(AK75=0,"",IF(R75="=",S75,""))</f>
        <v/>
      </c>
    </row>
    <row r="76" spans="2:45" x14ac:dyDescent="0.25">
      <c r="B76" s="106"/>
      <c r="D76" s="386" t="s">
        <v>40</v>
      </c>
      <c r="E76" s="386"/>
      <c r="F76" s="126"/>
      <c r="G76" s="126"/>
      <c r="H76" s="126"/>
      <c r="I76" s="126"/>
      <c r="J76" s="126"/>
      <c r="K76" s="126"/>
      <c r="L76" s="126"/>
      <c r="M76" s="126"/>
      <c r="O76" s="106"/>
      <c r="Q76" s="122" t="s">
        <v>1981</v>
      </c>
      <c r="R76" s="111"/>
      <c r="S76" s="127"/>
      <c r="T76" s="111"/>
      <c r="U76" s="127"/>
      <c r="V76" s="111"/>
      <c r="W76" s="127"/>
      <c r="X76" s="111"/>
      <c r="Y76" s="127"/>
      <c r="Z76" s="111"/>
      <c r="AA76" s="127"/>
      <c r="AB76" s="111"/>
      <c r="AC76" s="127"/>
      <c r="AE76" s="105" t="s">
        <v>40</v>
      </c>
      <c r="AF76" s="105">
        <v>2</v>
      </c>
      <c r="AG76" s="105">
        <f t="shared" ref="AG76:AG86" si="0">+IF(AF76&gt;=$G$71,1,0)</f>
        <v>0</v>
      </c>
      <c r="AH76" s="105">
        <f>+IF(AG76=0,0,IF(AG76=1,(SUM($AG$75:AG76)-1),1))</f>
        <v>0</v>
      </c>
      <c r="AI76" s="105">
        <f t="shared" ref="AI76:AI86" si="1">+IF(AH76=0,0,IF(MOD(AH76,$U$69)=0,1,0))</f>
        <v>0</v>
      </c>
      <c r="AJ76" s="105">
        <f t="shared" ref="AJ76:AJ86" si="2">+IF(AE76=$F$71,1,0)</f>
        <v>0</v>
      </c>
      <c r="AK76" s="105">
        <f t="shared" ref="AK76:AK86" si="3">+MAX(AI76:AJ76)</f>
        <v>0</v>
      </c>
      <c r="AL76" s="128" t="str">
        <f>+""</f>
        <v/>
      </c>
      <c r="AM76" s="128" t="str">
        <f>+IF(AK76=0,"",IF(T78="&gt;",U78+0.001,IF(T78="&lt;",U78-0.001,U78)))</f>
        <v/>
      </c>
      <c r="AN76" s="128" t="str">
        <f>+IF(T77="NA","",IF(AK76=0,"",IF(T78="≥",U78-0.001,IF(T78="≤",U78+0.001,U78))))</f>
        <v/>
      </c>
      <c r="AO76" s="128" t="str">
        <f>IF(T77="NA","",IF(AK76=0,"",IF(T77="&gt;",U77+0.001,IF(T77="&lt;",U77-0.001,U77))))</f>
        <v/>
      </c>
      <c r="AP76" s="128" t="str">
        <f>+IF(T76="NA","",IF(AK76=0,"",IF(T77="≥",U77-0.001,IF(T77="≤",U77+0.001,U77))))</f>
        <v/>
      </c>
      <c r="AQ76" s="128" t="str">
        <f>+IF(T76="NA","",IF(AK76=0,"",IF(T76="&gt;",U76+0.001,IF(T76="&lt;",U76-0.001,U76))))</f>
        <v/>
      </c>
      <c r="AR76" s="128" t="str">
        <f>IF(AK76=0,"",IF(T76="≥",U75-0.001,IF(T76="≤",U75+0.001,"")))</f>
        <v/>
      </c>
      <c r="AS76" s="128" t="str">
        <f>+IF(AK76=0,"",IF(T75="=",U75,""))</f>
        <v/>
      </c>
    </row>
    <row r="77" spans="2:45" x14ac:dyDescent="0.25">
      <c r="B77" s="106"/>
      <c r="D77" s="386" t="s">
        <v>47</v>
      </c>
      <c r="E77" s="386"/>
      <c r="F77" s="126"/>
      <c r="G77" s="126">
        <v>0.94</v>
      </c>
      <c r="H77" s="126">
        <v>0.94099999999999995</v>
      </c>
      <c r="I77" s="126">
        <v>0.96899999999999997</v>
      </c>
      <c r="J77" s="126">
        <v>0.97</v>
      </c>
      <c r="K77" s="126">
        <v>0.999</v>
      </c>
      <c r="L77" s="126">
        <v>1</v>
      </c>
      <c r="M77" s="126"/>
      <c r="O77" s="106"/>
      <c r="Q77" s="122" t="s">
        <v>1982</v>
      </c>
      <c r="R77" s="111"/>
      <c r="S77" s="127"/>
      <c r="T77" s="111"/>
      <c r="U77" s="127"/>
      <c r="V77" s="111"/>
      <c r="W77" s="127"/>
      <c r="X77" s="111"/>
      <c r="Y77" s="127"/>
      <c r="Z77" s="111"/>
      <c r="AA77" s="127"/>
      <c r="AB77" s="111"/>
      <c r="AC77" s="127"/>
      <c r="AE77" s="105" t="s">
        <v>47</v>
      </c>
      <c r="AF77" s="105">
        <v>3</v>
      </c>
      <c r="AG77" s="105">
        <f t="shared" si="0"/>
        <v>1</v>
      </c>
      <c r="AH77" s="105">
        <f>+IF(AG77=0,0,IF(AG77=1,(SUM($AG$75:AG77)-1),1))</f>
        <v>0</v>
      </c>
      <c r="AI77" s="105">
        <f t="shared" si="1"/>
        <v>0</v>
      </c>
      <c r="AJ77" s="105">
        <f t="shared" si="2"/>
        <v>1</v>
      </c>
      <c r="AK77" s="105">
        <f t="shared" si="3"/>
        <v>1</v>
      </c>
      <c r="AL77" s="128" t="str">
        <f>+""</f>
        <v/>
      </c>
      <c r="AM77" s="128">
        <f>+IF(AK77=0,"",IF(V78="&gt;",W78+0.001,IF(V78="&lt;",W78-0.001,W78)))</f>
        <v>0</v>
      </c>
      <c r="AN77" s="128">
        <f>+IF(V77="NA","",IF(AK77=0,"",IF(V78="≥",W78-0.001,IF(V78="≤",W78+0.001,W78))))</f>
        <v>0</v>
      </c>
      <c r="AO77" s="128">
        <f>IF(V77="NA","",IF(AK77=0,"",IF(V77="&gt;",W77+0.001,IF(V77="&lt;",W77-0.001,W77))))</f>
        <v>0</v>
      </c>
      <c r="AP77" s="128">
        <f>+IF(V76="NA","",IF(AK77=0,"",IF(V77="≥",W77-0.001,IF(V77="≤",W77+0.001,W77))))</f>
        <v>0</v>
      </c>
      <c r="AQ77" s="128">
        <f>+IF(V76="NA","",IF(AK77=0,"",IF(V76="&gt;",W76+0.001,IF(V76="&lt;",W76-0.001,W76))))</f>
        <v>0</v>
      </c>
      <c r="AR77" s="128" t="str">
        <f>IF(AK77=0,"",IF(V76="≥",W75-0.001,IF(V76="≤",W75+0.001,"")))</f>
        <v/>
      </c>
      <c r="AS77" s="128" t="str">
        <f>+IF(AK77=0,"",IF(V75="=",W75,""))</f>
        <v/>
      </c>
    </row>
    <row r="78" spans="2:45" x14ac:dyDescent="0.25">
      <c r="B78" s="106"/>
      <c r="D78" s="386" t="s">
        <v>48</v>
      </c>
      <c r="E78" s="386"/>
      <c r="F78" s="126"/>
      <c r="G78" s="126">
        <v>0.94</v>
      </c>
      <c r="H78" s="126">
        <v>0.94099999999999995</v>
      </c>
      <c r="I78" s="126">
        <v>0.96899999999999997</v>
      </c>
      <c r="J78" s="126">
        <v>0.97</v>
      </c>
      <c r="K78" s="126">
        <v>0.999</v>
      </c>
      <c r="L78" s="126">
        <v>1</v>
      </c>
      <c r="M78" s="126"/>
      <c r="O78" s="106"/>
      <c r="Q78" s="122" t="s">
        <v>1983</v>
      </c>
      <c r="R78" s="111"/>
      <c r="S78" s="127"/>
      <c r="T78" s="111"/>
      <c r="U78" s="127"/>
      <c r="V78" s="111"/>
      <c r="W78" s="127"/>
      <c r="X78" s="111"/>
      <c r="Y78" s="127"/>
      <c r="Z78" s="111"/>
      <c r="AA78" s="127"/>
      <c r="AB78" s="111"/>
      <c r="AC78" s="127"/>
      <c r="AE78" s="105" t="s">
        <v>48</v>
      </c>
      <c r="AF78" s="105">
        <v>4</v>
      </c>
      <c r="AG78" s="105">
        <f t="shared" si="0"/>
        <v>1</v>
      </c>
      <c r="AH78" s="105">
        <f>+IF(AG78=0,0,IF(AG78=1,(SUM($AG$75:AG78)-1),1))</f>
        <v>1</v>
      </c>
      <c r="AI78" s="105">
        <f t="shared" si="1"/>
        <v>1</v>
      </c>
      <c r="AJ78" s="105">
        <f t="shared" si="2"/>
        <v>0</v>
      </c>
      <c r="AK78" s="105">
        <f t="shared" si="3"/>
        <v>1</v>
      </c>
      <c r="AL78" s="128" t="str">
        <f>+""</f>
        <v/>
      </c>
      <c r="AM78" s="128">
        <f>+IF(AK78=0,"",IF(X78="&gt;",Y78+0.001,IF(X78="&lt;",Y78-0.001,Y78)))</f>
        <v>0</v>
      </c>
      <c r="AN78" s="128">
        <f>+IF(X77="NA","",IF(AK78=0,"",IF(X78="≥",Y78-0.001,IF(X78="≤",Y78+0.001,Y78))))</f>
        <v>0</v>
      </c>
      <c r="AO78" s="128">
        <f>IF(X77="NA","",IF(AK78=0,"",IF(X77="&gt;",Y77+0.001,IF(X77="&lt;",Y77-0.001,Y77))))</f>
        <v>0</v>
      </c>
      <c r="AP78" s="128">
        <f>+IF(X76="NA","",IF(AK78=0,"",IF(X77="≥",Y77-0.001,IF(X77="≤",Y77+0.001,Y77))))</f>
        <v>0</v>
      </c>
      <c r="AQ78" s="128">
        <f>+IF(X76="NA","",IF(AK78=0,"",IF(X76="&gt;",Y76+0.001,IF(X76="&lt;",Y76-0.001,Y76))))</f>
        <v>0</v>
      </c>
      <c r="AR78" s="128" t="str">
        <f>IF(AK78=0,"",IF(X76="≥",Y75-0.001,IF(X76="≤",Y75+0.001,"")))</f>
        <v/>
      </c>
      <c r="AS78" s="128" t="str">
        <f>+IF(AK78=0,"",IF(X75="=",Y75,""))</f>
        <v/>
      </c>
    </row>
    <row r="79" spans="2:45" x14ac:dyDescent="0.25">
      <c r="B79" s="106"/>
      <c r="D79" s="386" t="s">
        <v>49</v>
      </c>
      <c r="E79" s="386"/>
      <c r="F79" s="126"/>
      <c r="G79" s="126">
        <v>0.94</v>
      </c>
      <c r="H79" s="126">
        <v>0.94099999999999995</v>
      </c>
      <c r="I79" s="126">
        <v>0.96899999999999997</v>
      </c>
      <c r="J79" s="126">
        <v>0.97</v>
      </c>
      <c r="K79" s="126">
        <v>0.999</v>
      </c>
      <c r="L79" s="126">
        <v>1</v>
      </c>
      <c r="M79" s="126"/>
      <c r="O79" s="106"/>
      <c r="R79" s="111"/>
      <c r="S79" s="111">
        <f>+IFERROR(VLOOKUP(S80,$AE$75:$AK$86,7,FALSE),"")</f>
        <v>1</v>
      </c>
      <c r="U79" s="111">
        <f>+IFERROR(VLOOKUP(U80,$AE$75:$AK$86,7,FALSE),"")</f>
        <v>1</v>
      </c>
      <c r="W79" s="111">
        <f>+IFERROR(VLOOKUP(W80,$AE$75:$AK$86,7,FALSE),"")</f>
        <v>1</v>
      </c>
      <c r="Y79" s="111">
        <f>+IFERROR(VLOOKUP(Y80,$AE$75:$AK$86,7,FALSE),"")</f>
        <v>1</v>
      </c>
      <c r="AA79" s="111">
        <f>+IFERROR(VLOOKUP(AA80,$AE$75:$AK$86,7,FALSE),"")</f>
        <v>1</v>
      </c>
      <c r="AC79" s="111">
        <f>+IFERROR(VLOOKUP(AC80,$AE$75:$AK$86,7,FALSE),"")</f>
        <v>1</v>
      </c>
      <c r="AE79" s="105" t="s">
        <v>49</v>
      </c>
      <c r="AF79" s="105">
        <v>5</v>
      </c>
      <c r="AG79" s="105">
        <f t="shared" si="0"/>
        <v>1</v>
      </c>
      <c r="AH79" s="105">
        <f>+IF(AG79=0,0,IF(AG79=1,(SUM($AG$75:AG79)-1),1))</f>
        <v>2</v>
      </c>
      <c r="AI79" s="105">
        <f t="shared" si="1"/>
        <v>1</v>
      </c>
      <c r="AJ79" s="105">
        <f t="shared" si="2"/>
        <v>0</v>
      </c>
      <c r="AK79" s="105">
        <f t="shared" si="3"/>
        <v>1</v>
      </c>
      <c r="AL79" s="128" t="str">
        <f>+""</f>
        <v/>
      </c>
      <c r="AM79" s="128">
        <f>+IF(AK79=0,"",IF(Z78="&gt;",AA78+0.001,IF(Z78="&lt;",AA78-0.001,AA78)))</f>
        <v>0</v>
      </c>
      <c r="AN79" s="128">
        <f>+IF(Z77="NA","",IF(AK79=0,"",IF(Z78="≥",AA78-0.001,IF(Z78="≤",AA78+0.001,AA78))))</f>
        <v>0</v>
      </c>
      <c r="AO79" s="128">
        <f>IF(Z77="NA","",IF(AK79=0,"",IF(Z77="&gt;",AA77+0.001,IF(Z77="&lt;",AA77-0.001,AA77))))</f>
        <v>0</v>
      </c>
      <c r="AP79" s="128">
        <f>+IF(Z76="NA","",IF(AK79=0,"",IF(Z77="≥",AA77-0.001,IF(Z77="≤",AA77+0.001,AA77))))</f>
        <v>0</v>
      </c>
      <c r="AQ79" s="128">
        <f>+IF(Z76="NA","",IF(AK79=0,"",IF(Z76="&gt;",AA76+0.001,IF(Z76="&lt;",AA76-0.001,AA76))))</f>
        <v>0</v>
      </c>
      <c r="AR79" s="128" t="str">
        <f>IF(AK79=0,"",IF(Z76="≥",AA75-0.001,IF(Z76="≤",AA75+0.001,"")))</f>
        <v/>
      </c>
      <c r="AS79" s="128" t="str">
        <f>+IF(AK79=0,"",IF(Z75="=",AA75,""))</f>
        <v/>
      </c>
    </row>
    <row r="80" spans="2:45" x14ac:dyDescent="0.25">
      <c r="B80" s="106"/>
      <c r="D80" s="386" t="s">
        <v>50</v>
      </c>
      <c r="E80" s="386"/>
      <c r="F80" s="126"/>
      <c r="G80" s="126">
        <v>0.94</v>
      </c>
      <c r="H80" s="126">
        <v>0.94099999999999995</v>
      </c>
      <c r="I80" s="126">
        <v>0.96899999999999997</v>
      </c>
      <c r="J80" s="126">
        <v>0.97</v>
      </c>
      <c r="K80" s="126">
        <v>0.999</v>
      </c>
      <c r="L80" s="126">
        <v>1</v>
      </c>
      <c r="M80" s="126"/>
      <c r="O80" s="106"/>
      <c r="R80" s="111"/>
      <c r="S80" s="124" t="s">
        <v>53</v>
      </c>
      <c r="T80" s="124"/>
      <c r="U80" s="124" t="s">
        <v>54</v>
      </c>
      <c r="V80" s="124"/>
      <c r="W80" s="124" t="s">
        <v>55</v>
      </c>
      <c r="X80" s="124"/>
      <c r="Y80" s="124" t="s">
        <v>56</v>
      </c>
      <c r="Z80" s="124"/>
      <c r="AA80" s="124" t="s">
        <v>57</v>
      </c>
      <c r="AB80" s="124"/>
      <c r="AC80" s="124" t="s">
        <v>58</v>
      </c>
      <c r="AE80" s="105" t="s">
        <v>50</v>
      </c>
      <c r="AF80" s="105">
        <v>6</v>
      </c>
      <c r="AG80" s="105">
        <f t="shared" si="0"/>
        <v>1</v>
      </c>
      <c r="AH80" s="105">
        <f>+IF(AG80=0,0,IF(AG80=1,(SUM($AG$75:AG80)-1),1))</f>
        <v>3</v>
      </c>
      <c r="AI80" s="105">
        <f t="shared" si="1"/>
        <v>1</v>
      </c>
      <c r="AJ80" s="105">
        <f t="shared" si="2"/>
        <v>0</v>
      </c>
      <c r="AK80" s="105">
        <f t="shared" si="3"/>
        <v>1</v>
      </c>
      <c r="AL80" s="128" t="str">
        <f>+""</f>
        <v/>
      </c>
      <c r="AM80" s="128">
        <f>+IF(AK80=0,"",IF(AB78="&gt;",AC78+0.001,IF(AB78="&lt;",AC78-0.001,AC78)))</f>
        <v>0</v>
      </c>
      <c r="AN80" s="128">
        <f>+IF(AB77="NA","",IF(AK80=0,"",IF(AB78="≥",AC78-0.001,IF(AB78="≤",AC78+0.001,AC78))))</f>
        <v>0</v>
      </c>
      <c r="AO80" s="128">
        <f>IF(AB77="NA","",IF(AK80=0,"",IF(AB77="&gt;",AC77+0.001,IF(AB77="&lt;",AC77-0.001,AC77))))</f>
        <v>0</v>
      </c>
      <c r="AP80" s="128">
        <f>+IF(AB76="NA","",IF(AK80=0,"",IF(AB77="≥",AC77-0.001,IF(AB77="≤",AC77+0.001,AC77))))</f>
        <v>0</v>
      </c>
      <c r="AQ80" s="128">
        <f>+IF(AB76="NA","",IF(AK80=0,"",IF(AB76="&gt;",AC76+0.001,IF(AB76="&lt;",AC76-0.001,AC76))))</f>
        <v>0</v>
      </c>
      <c r="AR80" s="128" t="str">
        <f>IF(AK80=0,"",IF(AB76="≥",AC75-0.001,IF(AB76="≤",AC75+0.001,"")))</f>
        <v/>
      </c>
      <c r="AS80" s="128" t="str">
        <f>+IF(AK80=0,"",IF(AB75="=",AC75,""))</f>
        <v/>
      </c>
    </row>
    <row r="81" spans="2:45" x14ac:dyDescent="0.25">
      <c r="B81" s="106"/>
      <c r="D81" s="386" t="s">
        <v>53</v>
      </c>
      <c r="E81" s="386"/>
      <c r="F81" s="126"/>
      <c r="G81" s="126">
        <v>0.94</v>
      </c>
      <c r="H81" s="126">
        <v>0.94099999999999995</v>
      </c>
      <c r="I81" s="126">
        <v>0.96899999999999997</v>
      </c>
      <c r="J81" s="126">
        <v>0.97</v>
      </c>
      <c r="K81" s="126">
        <v>0.999</v>
      </c>
      <c r="L81" s="126">
        <v>1</v>
      </c>
      <c r="M81" s="126"/>
      <c r="O81" s="106"/>
      <c r="Q81" s="122" t="s">
        <v>1980</v>
      </c>
      <c r="R81" s="111"/>
      <c r="S81" s="127"/>
      <c r="T81" s="111"/>
      <c r="U81" s="127"/>
      <c r="V81" s="111"/>
      <c r="W81" s="127"/>
      <c r="X81" s="111"/>
      <c r="Y81" s="127"/>
      <c r="Z81" s="111"/>
      <c r="AA81" s="127"/>
      <c r="AB81" s="111"/>
      <c r="AC81" s="127"/>
      <c r="AE81" s="105" t="s">
        <v>53</v>
      </c>
      <c r="AF81" s="105">
        <v>7</v>
      </c>
      <c r="AG81" s="105">
        <f t="shared" si="0"/>
        <v>1</v>
      </c>
      <c r="AH81" s="105">
        <f>+IF(AG81=0,0,IF(AG81=1,(SUM($AG$75:AG81)-1),1))</f>
        <v>4</v>
      </c>
      <c r="AI81" s="105">
        <f t="shared" si="1"/>
        <v>1</v>
      </c>
      <c r="AJ81" s="105">
        <f t="shared" si="2"/>
        <v>0</v>
      </c>
      <c r="AK81" s="105">
        <f t="shared" si="3"/>
        <v>1</v>
      </c>
      <c r="AL81" s="128" t="str">
        <f>+""</f>
        <v/>
      </c>
      <c r="AM81" s="128">
        <f>+IF(AK81=0,"",IF(R84="&gt;",S84+0.001,IF(R84="&lt;",S84-0.001,S84)))</f>
        <v>0</v>
      </c>
      <c r="AN81" s="128">
        <f>+IF(R83="NA","",IF(AK81=0,"",IF(R84="≥",S84-0.001,IF(R84="≤",S84+0.001,S84))))</f>
        <v>0</v>
      </c>
      <c r="AO81" s="128">
        <f>IF(R83="NA","",IF(AK81=0,"",IF(R83="&gt;",S83+0.001,IF(R83="&lt;",S83-0.001,S83))))</f>
        <v>0</v>
      </c>
      <c r="AP81" s="128">
        <f>+IF(R82="NA","",IF(AK81=0,"",IF(R83="≥",S83-0.001,IF(R83="≤",S83+0.001,S83))))</f>
        <v>0</v>
      </c>
      <c r="AQ81" s="128">
        <f>+IF(R82="NA","",IF(AK81=0,"",IF(R82="&gt;",S82+0.001,IF(R82="&lt;",S82-0.001,S82))))</f>
        <v>0</v>
      </c>
      <c r="AR81" s="128" t="str">
        <f>IF(AK81=0,"",IF(R82="≥",S81-0.001,IF(R82="≤",S81+0.001,"")))</f>
        <v/>
      </c>
      <c r="AS81" s="128" t="str">
        <f>+IF(AK81=0,"",IF(R81="=",S81,""))</f>
        <v/>
      </c>
    </row>
    <row r="82" spans="2:45" x14ac:dyDescent="0.25">
      <c r="B82" s="106"/>
      <c r="D82" s="386" t="s">
        <v>54</v>
      </c>
      <c r="E82" s="386"/>
      <c r="F82" s="126"/>
      <c r="G82" s="126">
        <v>0.94</v>
      </c>
      <c r="H82" s="126">
        <v>0.94099999999999995</v>
      </c>
      <c r="I82" s="126">
        <v>0.96899999999999997</v>
      </c>
      <c r="J82" s="126">
        <v>0.97</v>
      </c>
      <c r="K82" s="126">
        <v>0.999</v>
      </c>
      <c r="L82" s="126">
        <v>1</v>
      </c>
      <c r="M82" s="126"/>
      <c r="O82" s="106"/>
      <c r="Q82" s="122" t="s">
        <v>1981</v>
      </c>
      <c r="R82" s="111"/>
      <c r="S82" s="127"/>
      <c r="T82" s="111"/>
      <c r="U82" s="127"/>
      <c r="V82" s="111"/>
      <c r="W82" s="127"/>
      <c r="X82" s="111"/>
      <c r="Y82" s="127"/>
      <c r="Z82" s="111"/>
      <c r="AA82" s="127"/>
      <c r="AB82" s="111"/>
      <c r="AC82" s="127"/>
      <c r="AE82" s="105" t="s">
        <v>54</v>
      </c>
      <c r="AF82" s="105">
        <v>8</v>
      </c>
      <c r="AG82" s="105">
        <f t="shared" si="0"/>
        <v>1</v>
      </c>
      <c r="AH82" s="105">
        <f>+IF(AG82=0,0,IF(AG82=1,(SUM($AG$75:AG82)-1),1))</f>
        <v>5</v>
      </c>
      <c r="AI82" s="105">
        <f t="shared" si="1"/>
        <v>1</v>
      </c>
      <c r="AJ82" s="105">
        <f t="shared" si="2"/>
        <v>0</v>
      </c>
      <c r="AK82" s="105">
        <f t="shared" si="3"/>
        <v>1</v>
      </c>
      <c r="AL82" s="128" t="str">
        <f>+""</f>
        <v/>
      </c>
      <c r="AM82" s="128">
        <f>+IF(AK82=0,"",IF(T84="&gt;",U84+0.001,IF(T84="&lt;",U84-0.001,U84)))</f>
        <v>0</v>
      </c>
      <c r="AN82" s="128">
        <f>+IF(T83="NA","",IF(AK82=0,"",IF(T84="≥",U84-0.001,IF(T84="≤",U84+0.001,U84))))</f>
        <v>0</v>
      </c>
      <c r="AO82" s="128">
        <f>IF(T83="NA","",IF(AK82=0,"",IF(T83="&gt;",U83+0.001,IF(T83="&lt;",U83-0.001,U83))))</f>
        <v>0</v>
      </c>
      <c r="AP82" s="128">
        <f>+IF(T82="NA","",IF(AK82=0,"",IF(T83="≥",U83-0.001,IF(T83="≤",U83+0.001,U83))))</f>
        <v>0</v>
      </c>
      <c r="AQ82" s="128">
        <f>+IF(T82="NA","",IF(AK82=0,"",IF(T82="&gt;",U82+0.001,IF(T82="&lt;",U82-0.001,U82))))</f>
        <v>0</v>
      </c>
      <c r="AR82" s="128" t="str">
        <f>IF(AK82=0,"",IF(T82="≥",U81-0.001,IF(T82="≤",U81+0.001,"")))</f>
        <v/>
      </c>
      <c r="AS82" s="128" t="str">
        <f>+IF(AK82=0,"",IF(T81="=",U81,""))</f>
        <v/>
      </c>
    </row>
    <row r="83" spans="2:45" x14ac:dyDescent="0.25">
      <c r="B83" s="106"/>
      <c r="D83" s="386" t="s">
        <v>55</v>
      </c>
      <c r="E83" s="386"/>
      <c r="F83" s="126"/>
      <c r="G83" s="126">
        <v>0.94</v>
      </c>
      <c r="H83" s="126">
        <v>0.94099999999999995</v>
      </c>
      <c r="I83" s="126">
        <v>0.96899999999999997</v>
      </c>
      <c r="J83" s="126">
        <v>0.97</v>
      </c>
      <c r="K83" s="126">
        <v>0.999</v>
      </c>
      <c r="L83" s="126">
        <v>1</v>
      </c>
      <c r="M83" s="126"/>
      <c r="O83" s="106"/>
      <c r="Q83" s="122" t="s">
        <v>1982</v>
      </c>
      <c r="R83" s="111"/>
      <c r="S83" s="127"/>
      <c r="T83" s="111"/>
      <c r="U83" s="127"/>
      <c r="V83" s="111"/>
      <c r="W83" s="127"/>
      <c r="X83" s="111"/>
      <c r="Y83" s="127"/>
      <c r="Z83" s="111"/>
      <c r="AA83" s="127"/>
      <c r="AB83" s="111"/>
      <c r="AC83" s="127"/>
      <c r="AE83" s="105" t="s">
        <v>55</v>
      </c>
      <c r="AF83" s="105">
        <v>9</v>
      </c>
      <c r="AG83" s="105">
        <f t="shared" si="0"/>
        <v>1</v>
      </c>
      <c r="AH83" s="105">
        <f>+IF(AG83=0,0,IF(AG83=1,(SUM($AG$75:AG83)-1),1))</f>
        <v>6</v>
      </c>
      <c r="AI83" s="105">
        <f t="shared" si="1"/>
        <v>1</v>
      </c>
      <c r="AJ83" s="105">
        <f t="shared" si="2"/>
        <v>0</v>
      </c>
      <c r="AK83" s="105">
        <f t="shared" si="3"/>
        <v>1</v>
      </c>
      <c r="AL83" s="128" t="str">
        <f>+""</f>
        <v/>
      </c>
      <c r="AM83" s="128">
        <f>+IF(AK83=0,"",IF(V84="&gt;",W84+0.001,IF(V84="&lt;",W84-0.001,W84)))</f>
        <v>0</v>
      </c>
      <c r="AN83" s="128">
        <f>+IF(V83="NA","",IF(AK83=0,"",IF(V84="≥",W84-0.001,IF(V84="≤",W84+0.001,W84))))</f>
        <v>0</v>
      </c>
      <c r="AO83" s="128">
        <f>IF(V83="NA","",IF(AK83=0,"",IF(V83="&gt;",W83+0.001,IF(V83="&lt;",W83-0.001,W83))))</f>
        <v>0</v>
      </c>
      <c r="AP83" s="128">
        <f>+IF(V82="NA","",IF(AK83=0,"",IF(V83="≥",W83-0.001,IF(V83="≤",W83+0.001,W83))))</f>
        <v>0</v>
      </c>
      <c r="AQ83" s="128">
        <f>+IF(V82="NA","",IF(AK83=0,"",IF(V82="&gt;",W82+0.001,IF(V82="&lt;",W82-0.001,W82))))</f>
        <v>0</v>
      </c>
      <c r="AR83" s="128" t="str">
        <f>IF(AK83=0,"",IF(V82="≥",W81-0.001,IF(V82="≤",W81+0.001,"")))</f>
        <v/>
      </c>
      <c r="AS83" s="128" t="str">
        <f>+IF(AK83=0,"",IF(V81="=",W81,""))</f>
        <v/>
      </c>
    </row>
    <row r="84" spans="2:45" x14ac:dyDescent="0.25">
      <c r="B84" s="106"/>
      <c r="D84" s="386" t="s">
        <v>56</v>
      </c>
      <c r="E84" s="386"/>
      <c r="F84" s="126"/>
      <c r="G84" s="126">
        <v>0.94</v>
      </c>
      <c r="H84" s="126">
        <v>0.94099999999999995</v>
      </c>
      <c r="I84" s="126">
        <v>0.96899999999999997</v>
      </c>
      <c r="J84" s="126">
        <v>0.97</v>
      </c>
      <c r="K84" s="126">
        <v>0.999</v>
      </c>
      <c r="L84" s="126">
        <v>1</v>
      </c>
      <c r="M84" s="126"/>
      <c r="O84" s="106"/>
      <c r="Q84" s="122" t="s">
        <v>1983</v>
      </c>
      <c r="R84" s="111"/>
      <c r="S84" s="127"/>
      <c r="T84" s="111"/>
      <c r="U84" s="127"/>
      <c r="V84" s="111"/>
      <c r="W84" s="127"/>
      <c r="X84" s="111"/>
      <c r="Y84" s="127"/>
      <c r="Z84" s="111"/>
      <c r="AA84" s="127"/>
      <c r="AB84" s="111"/>
      <c r="AC84" s="127"/>
      <c r="AE84" s="105" t="s">
        <v>56</v>
      </c>
      <c r="AF84" s="105">
        <v>10</v>
      </c>
      <c r="AG84" s="105">
        <f t="shared" si="0"/>
        <v>1</v>
      </c>
      <c r="AH84" s="105">
        <f>+IF(AG84=0,0,IF(AG84=1,(SUM($AG$75:AG84)-1),1))</f>
        <v>7</v>
      </c>
      <c r="AI84" s="105">
        <f t="shared" si="1"/>
        <v>1</v>
      </c>
      <c r="AJ84" s="105">
        <f t="shared" si="2"/>
        <v>0</v>
      </c>
      <c r="AK84" s="105">
        <f t="shared" si="3"/>
        <v>1</v>
      </c>
      <c r="AL84" s="128" t="str">
        <f>+""</f>
        <v/>
      </c>
      <c r="AM84" s="128">
        <f>+IF(AK84=0,"",IF(X84="&gt;",Y84+0.001,IF(X84="&lt;",Y84-0.001,Y84)))</f>
        <v>0</v>
      </c>
      <c r="AN84" s="128">
        <f>+IF(X83="NA","",IF(AK84=0,"",IF(X84="≥",Y84-0.001,IF(X84="≤",Y84+0.001,Y84))))</f>
        <v>0</v>
      </c>
      <c r="AO84" s="128">
        <f>IF(X83="NA","",IF(AK84=0,"",IF(X83="&gt;",Y83+0.001,IF(X83="&lt;",Y83-0.001,Y83))))</f>
        <v>0</v>
      </c>
      <c r="AP84" s="128">
        <f>+IF(X82="NA","",IF(AK84=0,"",IF(X83="≥",Y83-0.001,IF(X83="≤",Y83+0.001,Y83))))</f>
        <v>0</v>
      </c>
      <c r="AQ84" s="128">
        <f>+IF(X82="NA","",IF(AK84=0,"",IF(X82="&gt;",Y82+0.001,IF(X82="&lt;",Y82-0.001,Y82))))</f>
        <v>0</v>
      </c>
      <c r="AR84" s="128" t="str">
        <f>IF(AK84=0,"",IF(X82="≥",Y81-0.001,IF(X82="≤",Y81+0.001,"")))</f>
        <v/>
      </c>
      <c r="AS84" s="128" t="str">
        <f>+IF(AK84=0,"",IF(X81="=",Y81,""))</f>
        <v/>
      </c>
    </row>
    <row r="85" spans="2:45" x14ac:dyDescent="0.25">
      <c r="B85" s="106"/>
      <c r="D85" s="386" t="s">
        <v>57</v>
      </c>
      <c r="E85" s="386"/>
      <c r="F85" s="126"/>
      <c r="G85" s="126">
        <v>0.94</v>
      </c>
      <c r="H85" s="126">
        <v>0.94099999999999995</v>
      </c>
      <c r="I85" s="126">
        <v>0.96899999999999997</v>
      </c>
      <c r="J85" s="126">
        <v>0.97</v>
      </c>
      <c r="K85" s="126">
        <v>0.999</v>
      </c>
      <c r="L85" s="126">
        <v>1</v>
      </c>
      <c r="M85" s="126"/>
      <c r="O85" s="106"/>
      <c r="AE85" s="105" t="s">
        <v>57</v>
      </c>
      <c r="AF85" s="105">
        <v>11</v>
      </c>
      <c r="AG85" s="105">
        <f t="shared" si="0"/>
        <v>1</v>
      </c>
      <c r="AH85" s="105">
        <f>+IF(AG85=0,0,IF(AG85=1,(SUM($AG$75:AG85)-1),1))</f>
        <v>8</v>
      </c>
      <c r="AI85" s="105">
        <f t="shared" si="1"/>
        <v>1</v>
      </c>
      <c r="AJ85" s="105">
        <f t="shared" si="2"/>
        <v>0</v>
      </c>
      <c r="AK85" s="105">
        <f t="shared" si="3"/>
        <v>1</v>
      </c>
      <c r="AL85" s="128" t="str">
        <f>+""</f>
        <v/>
      </c>
      <c r="AM85" s="128">
        <f>+IF(AK85=0,"",IF(Z84="&gt;",AA84+0.001,IF(Z84="&lt;",AA84-0.001,AA84)))</f>
        <v>0</v>
      </c>
      <c r="AN85" s="128">
        <f>+IF(Z83="NA","",IF(AK85=0,"",IF(Z84="≥",AA84-0.001,IF(Z84="≤",AA84+0.001,AA84))))</f>
        <v>0</v>
      </c>
      <c r="AO85" s="128">
        <f>IF(Z83="NA","",IF(AK85=0,"",IF(Z83="&gt;",AA83+0.001,IF(Z83="&lt;",AA83-0.001,AA83))))</f>
        <v>0</v>
      </c>
      <c r="AP85" s="128">
        <f>+IF(Z82="NA","",IF(AK85=0,"",IF(Z83="≥",AA83-0.001,IF(Z83="≤",AA83+0.001,AA83))))</f>
        <v>0</v>
      </c>
      <c r="AQ85" s="128">
        <f>+IF(Z82="NA","",IF(AK85=0,"",IF(Z82="&gt;",AA82+0.001,IF(Z82="&lt;",AA82-0.001,AA82))))</f>
        <v>0</v>
      </c>
      <c r="AR85" s="128" t="str">
        <f>IF(AK85=0,"",IF(Z82="≥",AA81-0.001,IF(Z82="≤",AA81+0.001,"")))</f>
        <v/>
      </c>
      <c r="AS85" s="128" t="str">
        <f>+IF(AK85=0,"",IF(Z81="=",AA81,""))</f>
        <v/>
      </c>
    </row>
    <row r="86" spans="2:45" x14ac:dyDescent="0.25">
      <c r="B86" s="106"/>
      <c r="D86" s="386" t="s">
        <v>58</v>
      </c>
      <c r="E86" s="386"/>
      <c r="F86" s="126"/>
      <c r="G86" s="126">
        <v>0.94</v>
      </c>
      <c r="H86" s="126">
        <v>0.94099999999999995</v>
      </c>
      <c r="I86" s="126">
        <v>0.96899999999999997</v>
      </c>
      <c r="J86" s="126">
        <v>0.97</v>
      </c>
      <c r="K86" s="126">
        <v>0.999</v>
      </c>
      <c r="L86" s="126">
        <v>1</v>
      </c>
      <c r="M86" s="126"/>
      <c r="O86" s="106"/>
      <c r="AE86" s="105" t="s">
        <v>58</v>
      </c>
      <c r="AF86" s="129">
        <v>12</v>
      </c>
      <c r="AG86" s="105">
        <f t="shared" si="0"/>
        <v>1</v>
      </c>
      <c r="AH86" s="105">
        <f>+IF(AG86=0,0,IF(AG86=1,(SUM($AG$75:AG86)-1),1))</f>
        <v>9</v>
      </c>
      <c r="AI86" s="105">
        <f t="shared" si="1"/>
        <v>1</v>
      </c>
      <c r="AJ86" s="105">
        <f t="shared" si="2"/>
        <v>0</v>
      </c>
      <c r="AK86" s="105">
        <f t="shared" si="3"/>
        <v>1</v>
      </c>
      <c r="AL86" s="128" t="str">
        <f>+""</f>
        <v/>
      </c>
      <c r="AM86" s="128">
        <f>+IF(AK86=0,"",IF(AB84="&gt;",AC84+0.001,IF(AB84="&lt;",AC84-0.001,AC84)))</f>
        <v>0</v>
      </c>
      <c r="AN86" s="128">
        <f>+IF(AB83="NA","",IF(AK86=0,"",IF(AB84="≥",AC84-0.001,IF(AB84="≤",AC84+0.001,AC84))))</f>
        <v>0</v>
      </c>
      <c r="AO86" s="128">
        <f>IF(AB83="NA","",IF(AK86=0,"",IF(AB83="&gt;",AC83+0.001,IF(AB83="&lt;",AC83-0.001,AC83))))</f>
        <v>0</v>
      </c>
      <c r="AP86" s="128">
        <f>+IF(AB82="NA","",IF(AK86=0,"",IF(AB83="≥",AC83-0.001,IF(AB83="≤",AC83+0.001,AC83))))</f>
        <v>0</v>
      </c>
      <c r="AQ86" s="128">
        <f>+IF(AB82="NA","",IF(AK86=0,"",IF(AB82="&gt;",AC82+0.001,IF(AB82="&lt;",AC82-0.001,AC82))))</f>
        <v>0</v>
      </c>
      <c r="AR86" s="128" t="str">
        <f>IF(AK86=0,"",IF(AB82="≥",AC81-0.001,IF(AB82="≤",AC81+0.001,"")))</f>
        <v/>
      </c>
      <c r="AS86" s="128" t="str">
        <f>+IF(AK86=0,"",IF(AB81="=",AC81,""))</f>
        <v/>
      </c>
    </row>
    <row r="87" spans="2:45" ht="3.75" customHeight="1" x14ac:dyDescent="0.25">
      <c r="B87" s="106"/>
      <c r="O87" s="106"/>
      <c r="AR87" s="128" t="str">
        <f>IF(AK87=0,"",IF(S83="Creciente",IF(R88="≥",S88-0.001,""),IF(R88="≤",S88+0.001,"")))</f>
        <v/>
      </c>
    </row>
    <row r="88" spans="2:45" ht="66" customHeight="1" x14ac:dyDescent="0.25">
      <c r="B88" s="106"/>
      <c r="D88" s="378" t="s">
        <v>59</v>
      </c>
      <c r="E88" s="379"/>
      <c r="F88" s="380" t="s">
        <v>2079</v>
      </c>
      <c r="G88" s="381"/>
      <c r="H88" s="381"/>
      <c r="I88" s="381"/>
      <c r="J88" s="381"/>
      <c r="K88" s="381"/>
      <c r="L88" s="381"/>
      <c r="M88" s="382"/>
      <c r="O88" s="106"/>
    </row>
    <row r="89" spans="2:45" ht="3.95" customHeight="1" x14ac:dyDescent="0.25">
      <c r="B89" s="106"/>
      <c r="O89" s="106"/>
    </row>
    <row r="90" spans="2:45" ht="3" customHeight="1" x14ac:dyDescent="0.25">
      <c r="B90" s="106"/>
      <c r="C90" s="106"/>
      <c r="D90" s="106"/>
      <c r="E90" s="106"/>
      <c r="F90" s="106"/>
      <c r="G90" s="106"/>
      <c r="H90" s="106"/>
      <c r="I90" s="106"/>
      <c r="J90" s="106"/>
      <c r="K90" s="106"/>
      <c r="L90" s="106"/>
      <c r="M90" s="106"/>
      <c r="N90" s="106"/>
      <c r="O90" s="106"/>
    </row>
    <row r="91" spans="2:45" ht="3" customHeight="1" x14ac:dyDescent="0.25"/>
    <row r="92" spans="2:45" ht="3" customHeight="1" x14ac:dyDescent="0.25">
      <c r="B92" s="106"/>
      <c r="C92" s="106"/>
      <c r="D92" s="106"/>
      <c r="E92" s="106"/>
      <c r="F92" s="106"/>
      <c r="G92" s="106"/>
      <c r="H92" s="106"/>
      <c r="I92" s="106"/>
      <c r="J92" s="106"/>
      <c r="K92" s="106"/>
      <c r="L92" s="106"/>
      <c r="M92" s="106"/>
      <c r="N92" s="106"/>
      <c r="O92" s="106"/>
    </row>
    <row r="93" spans="2:45" ht="3.95" customHeight="1" x14ac:dyDescent="0.25">
      <c r="B93" s="106"/>
      <c r="O93" s="106"/>
    </row>
    <row r="94" spans="2:45" x14ac:dyDescent="0.25">
      <c r="B94" s="106"/>
      <c r="D94" s="112" t="s">
        <v>60</v>
      </c>
      <c r="O94" s="106"/>
    </row>
    <row r="95" spans="2:45" ht="3.95" customHeight="1" x14ac:dyDescent="0.25">
      <c r="B95" s="106"/>
      <c r="O95" s="106"/>
    </row>
    <row r="96" spans="2:45" ht="20.100000000000001" customHeight="1" x14ac:dyDescent="0.25">
      <c r="B96" s="106"/>
      <c r="D96" s="387" t="s">
        <v>61</v>
      </c>
      <c r="E96" s="387"/>
      <c r="O96" s="106"/>
    </row>
    <row r="97" spans="2:15" ht="30" customHeight="1" x14ac:dyDescent="0.25">
      <c r="B97" s="106"/>
      <c r="D97" s="369" t="s">
        <v>35</v>
      </c>
      <c r="E97" s="369"/>
      <c r="F97" s="370" t="str">
        <f>+IFERROR(VLOOKUP($S$12,[1]Hoja1!$B$5:$AT$190,29,FALSE),"")</f>
        <v>Reportes de Ejecucion Presupuestal SIIF</v>
      </c>
      <c r="G97" s="370"/>
      <c r="H97" s="370"/>
      <c r="I97" s="370"/>
      <c r="J97" s="370"/>
      <c r="K97" s="370"/>
      <c r="L97" s="370"/>
      <c r="M97" s="370"/>
      <c r="O97" s="106"/>
    </row>
    <row r="98" spans="2:15" ht="30" customHeight="1" x14ac:dyDescent="0.25">
      <c r="B98" s="106"/>
      <c r="D98" s="369" t="s">
        <v>36</v>
      </c>
      <c r="E98" s="369"/>
      <c r="F98" s="370" t="s">
        <v>1984</v>
      </c>
      <c r="G98" s="370"/>
      <c r="H98" s="370"/>
      <c r="I98" s="370"/>
      <c r="J98" s="370"/>
      <c r="K98" s="370"/>
      <c r="L98" s="370"/>
      <c r="M98" s="370"/>
      <c r="O98" s="106"/>
    </row>
    <row r="99" spans="2:15" ht="3.95" customHeight="1" x14ac:dyDescent="0.25">
      <c r="B99" s="106"/>
      <c r="O99" s="106"/>
    </row>
    <row r="100" spans="2:15" ht="58.5" customHeight="1" x14ac:dyDescent="0.25">
      <c r="B100" s="106"/>
      <c r="D100" s="378" t="s">
        <v>62</v>
      </c>
      <c r="E100" s="379"/>
      <c r="F100" s="383"/>
      <c r="G100" s="384"/>
      <c r="H100" s="384"/>
      <c r="I100" s="384"/>
      <c r="J100" s="384"/>
      <c r="K100" s="384"/>
      <c r="L100" s="384"/>
      <c r="M100" s="385"/>
      <c r="O100" s="106"/>
    </row>
    <row r="101" spans="2:15" ht="3.95" customHeight="1" x14ac:dyDescent="0.25">
      <c r="B101" s="106"/>
      <c r="O101" s="106"/>
    </row>
    <row r="102" spans="2:15" ht="19.5" customHeight="1" x14ac:dyDescent="0.25">
      <c r="B102" s="106"/>
      <c r="D102" s="371" t="s">
        <v>64</v>
      </c>
      <c r="E102" s="372"/>
      <c r="F102" s="130" t="s">
        <v>65</v>
      </c>
      <c r="G102" s="107" t="s">
        <v>2</v>
      </c>
      <c r="K102" s="131"/>
      <c r="O102" s="106"/>
    </row>
    <row r="103" spans="2:15" ht="19.5" customHeight="1" x14ac:dyDescent="0.25">
      <c r="B103" s="106"/>
      <c r="D103" s="373"/>
      <c r="E103" s="374"/>
      <c r="F103" s="130" t="s">
        <v>66</v>
      </c>
      <c r="G103" s="132"/>
      <c r="K103" s="133"/>
      <c r="O103" s="106"/>
    </row>
    <row r="104" spans="2:15" ht="27.75" customHeight="1" x14ac:dyDescent="0.25">
      <c r="B104" s="106"/>
      <c r="D104" s="373"/>
      <c r="E104" s="374"/>
      <c r="F104" s="130" t="s">
        <v>67</v>
      </c>
      <c r="G104" s="375"/>
      <c r="H104" s="376"/>
      <c r="I104" s="376"/>
      <c r="J104" s="376"/>
      <c r="K104" s="376"/>
      <c r="L104" s="376"/>
      <c r="M104" s="377"/>
      <c r="O104" s="106"/>
    </row>
    <row r="105" spans="2:15" ht="3.95" customHeight="1" x14ac:dyDescent="0.25">
      <c r="B105" s="106"/>
      <c r="O105" s="106"/>
    </row>
    <row r="106" spans="2:15" ht="229.5" customHeight="1" x14ac:dyDescent="0.25">
      <c r="B106" s="106"/>
      <c r="D106" s="378" t="s">
        <v>68</v>
      </c>
      <c r="E106" s="379"/>
      <c r="F106" s="380" t="s">
        <v>102</v>
      </c>
      <c r="G106" s="381"/>
      <c r="H106" s="381"/>
      <c r="I106" s="381"/>
      <c r="J106" s="381"/>
      <c r="K106" s="381"/>
      <c r="L106" s="381"/>
      <c r="M106" s="382"/>
      <c r="O106" s="106"/>
    </row>
    <row r="107" spans="2:15" ht="3.95" customHeight="1" x14ac:dyDescent="0.25">
      <c r="B107" s="106"/>
      <c r="O107" s="106"/>
    </row>
    <row r="108" spans="2:15" ht="17.25" customHeight="1" x14ac:dyDescent="0.25">
      <c r="B108" s="106"/>
      <c r="D108" s="371" t="s">
        <v>2040</v>
      </c>
      <c r="E108" s="372"/>
      <c r="F108" s="130" t="s">
        <v>2041</v>
      </c>
      <c r="G108" s="375" t="str">
        <f>+VLOOKUP(H10,tablero!$P$5:$R$201,3,FALSE)</f>
        <v>Director(a) Nutrición</v>
      </c>
      <c r="H108" s="376"/>
      <c r="I108" s="376"/>
      <c r="J108" s="376"/>
      <c r="K108" s="376"/>
      <c r="L108" s="376"/>
      <c r="M108" s="377"/>
      <c r="O108" s="106"/>
    </row>
    <row r="109" spans="2:15" ht="17.25" customHeight="1" x14ac:dyDescent="0.25">
      <c r="B109" s="106"/>
      <c r="D109" s="373"/>
      <c r="E109" s="374"/>
      <c r="F109" s="130" t="s">
        <v>2042</v>
      </c>
      <c r="G109" s="375" t="str">
        <f>+IF(M23="Si","Coordinador(a) Planeación y Sistemas","")</f>
        <v/>
      </c>
      <c r="H109" s="376"/>
      <c r="I109" s="376"/>
      <c r="J109" s="376"/>
      <c r="K109" s="376"/>
      <c r="L109" s="376"/>
      <c r="M109" s="377"/>
      <c r="O109" s="106"/>
    </row>
    <row r="110" spans="2:15" ht="17.25" customHeight="1" x14ac:dyDescent="0.25">
      <c r="B110" s="106"/>
      <c r="D110" s="373"/>
      <c r="E110" s="374"/>
      <c r="F110" s="130" t="s">
        <v>2043</v>
      </c>
      <c r="G110" s="375" t="str">
        <f>+IF(M24="Si","Coordinador(a) Centro Zonal","")</f>
        <v/>
      </c>
      <c r="H110" s="376"/>
      <c r="I110" s="376"/>
      <c r="J110" s="376"/>
      <c r="K110" s="376"/>
      <c r="L110" s="376"/>
      <c r="M110" s="377"/>
      <c r="O110" s="106"/>
    </row>
    <row r="111" spans="2:15" ht="3.95" customHeight="1" x14ac:dyDescent="0.25">
      <c r="B111" s="106"/>
      <c r="O111" s="106"/>
    </row>
    <row r="112" spans="2:15" ht="3" customHeight="1" x14ac:dyDescent="0.25">
      <c r="B112" s="106"/>
      <c r="C112" s="106"/>
      <c r="D112" s="106"/>
      <c r="E112" s="106"/>
      <c r="F112" s="106"/>
      <c r="G112" s="106"/>
      <c r="H112" s="106"/>
      <c r="I112" s="106"/>
      <c r="J112" s="106"/>
      <c r="K112" s="106"/>
      <c r="L112" s="106"/>
      <c r="M112" s="106"/>
      <c r="N112" s="106"/>
      <c r="O112" s="106"/>
    </row>
    <row r="113" spans="13:13" x14ac:dyDescent="0.25">
      <c r="M113" s="121" t="s">
        <v>70</v>
      </c>
    </row>
  </sheetData>
  <mergeCells count="85">
    <mergeCell ref="C3:N5"/>
    <mergeCell ref="D10:E10"/>
    <mergeCell ref="D12:E12"/>
    <mergeCell ref="F12:M12"/>
    <mergeCell ref="D14:E14"/>
    <mergeCell ref="F14:M14"/>
    <mergeCell ref="D22:E22"/>
    <mergeCell ref="G22:H22"/>
    <mergeCell ref="K22:L22"/>
    <mergeCell ref="D23:E23"/>
    <mergeCell ref="G23:H23"/>
    <mergeCell ref="K23:L23"/>
    <mergeCell ref="D24:E24"/>
    <mergeCell ref="G24:H24"/>
    <mergeCell ref="K24:L24"/>
    <mergeCell ref="D25:E25"/>
    <mergeCell ref="D29:E29"/>
    <mergeCell ref="F29:M29"/>
    <mergeCell ref="D30:E31"/>
    <mergeCell ref="G30:M30"/>
    <mergeCell ref="G31:M31"/>
    <mergeCell ref="D32:E33"/>
    <mergeCell ref="G32:M32"/>
    <mergeCell ref="G33:M33"/>
    <mergeCell ref="D34:E35"/>
    <mergeCell ref="G34:M34"/>
    <mergeCell ref="G35:M35"/>
    <mergeCell ref="D43:E43"/>
    <mergeCell ref="D44:E45"/>
    <mergeCell ref="G44:M44"/>
    <mergeCell ref="G45:M45"/>
    <mergeCell ref="D46:E47"/>
    <mergeCell ref="G46:M46"/>
    <mergeCell ref="G47:M47"/>
    <mergeCell ref="D48:E49"/>
    <mergeCell ref="G48:M48"/>
    <mergeCell ref="G49:M49"/>
    <mergeCell ref="D51:E51"/>
    <mergeCell ref="G51:H51"/>
    <mergeCell ref="D59:E59"/>
    <mergeCell ref="F59:M59"/>
    <mergeCell ref="D60:E60"/>
    <mergeCell ref="F60:M60"/>
    <mergeCell ref="D82:E82"/>
    <mergeCell ref="D83:E83"/>
    <mergeCell ref="D61:E61"/>
    <mergeCell ref="F61:M61"/>
    <mergeCell ref="D67:E67"/>
    <mergeCell ref="D71:E71"/>
    <mergeCell ref="D73:E74"/>
    <mergeCell ref="F73:G73"/>
    <mergeCell ref="H73:I73"/>
    <mergeCell ref="J73:K73"/>
    <mergeCell ref="L73:M73"/>
    <mergeCell ref="D77:E77"/>
    <mergeCell ref="D78:E78"/>
    <mergeCell ref="D79:E79"/>
    <mergeCell ref="D80:E80"/>
    <mergeCell ref="D81:E81"/>
    <mergeCell ref="AR73:AS73"/>
    <mergeCell ref="D75:E75"/>
    <mergeCell ref="D76:E76"/>
    <mergeCell ref="AL73:AM73"/>
    <mergeCell ref="AN73:AO73"/>
    <mergeCell ref="AP73:AQ73"/>
    <mergeCell ref="D84:E84"/>
    <mergeCell ref="D85:E85"/>
    <mergeCell ref="D86:E86"/>
    <mergeCell ref="D88:E88"/>
    <mergeCell ref="F97:M97"/>
    <mergeCell ref="D96:E96"/>
    <mergeCell ref="D97:E97"/>
    <mergeCell ref="F88:M88"/>
    <mergeCell ref="D98:E98"/>
    <mergeCell ref="F98:M98"/>
    <mergeCell ref="D108:E110"/>
    <mergeCell ref="G108:M108"/>
    <mergeCell ref="G109:M109"/>
    <mergeCell ref="G110:M110"/>
    <mergeCell ref="D102:E104"/>
    <mergeCell ref="G104:M104"/>
    <mergeCell ref="D106:E106"/>
    <mergeCell ref="F106:M106"/>
    <mergeCell ref="D100:E100"/>
    <mergeCell ref="F100:M100"/>
  </mergeCells>
  <conditionalFormatting sqref="F44:M49">
    <cfRule type="expression" dxfId="2574" priority="34">
      <formula>+IF($F$43="no",1,0)</formula>
    </cfRule>
  </conditionalFormatting>
  <conditionalFormatting sqref="F32:M33">
    <cfRule type="expression" dxfId="2573" priority="33">
      <formula>+IF($Q$30="NA",1,0)</formula>
    </cfRule>
  </conditionalFormatting>
  <conditionalFormatting sqref="F33:M33">
    <cfRule type="expression" dxfId="2572" priority="32">
      <formula>+IF($Q$33=0,1,0)</formula>
    </cfRule>
  </conditionalFormatting>
  <conditionalFormatting sqref="F47:M47">
    <cfRule type="expression" dxfId="2571" priority="31">
      <formula>+IF($Q$47=0,1,0)</formula>
    </cfRule>
  </conditionalFormatting>
  <conditionalFormatting sqref="Y75:Y78">
    <cfRule type="expression" dxfId="2570" priority="27">
      <formula>+IF(Y$73=0,1,0)</formula>
    </cfRule>
  </conditionalFormatting>
  <conditionalFormatting sqref="AA75:AA78">
    <cfRule type="expression" dxfId="2569" priority="26">
      <formula>+IF(AA$73=0,1,0)</formula>
    </cfRule>
  </conditionalFormatting>
  <conditionalFormatting sqref="AC75:AC78">
    <cfRule type="expression" dxfId="2568" priority="25">
      <formula>+IF(AC$73=0,1,0)</formula>
    </cfRule>
  </conditionalFormatting>
  <conditionalFormatting sqref="S82:S84">
    <cfRule type="expression" dxfId="2567" priority="24">
      <formula>+IF(S$79=0,1,0)</formula>
    </cfRule>
  </conditionalFormatting>
  <conditionalFormatting sqref="U82:U84">
    <cfRule type="expression" dxfId="2566" priority="23">
      <formula>+IF(U$79=0,1,0)</formula>
    </cfRule>
  </conditionalFormatting>
  <conditionalFormatting sqref="W82:W84">
    <cfRule type="expression" dxfId="2565" priority="22">
      <formula>+IF(W$79=0,1,0)</formula>
    </cfRule>
  </conditionalFormatting>
  <conditionalFormatting sqref="Y81:Y84">
    <cfRule type="expression" dxfId="2564" priority="21">
      <formula>+IF(Y$79=0,1,0)</formula>
    </cfRule>
  </conditionalFormatting>
  <conditionalFormatting sqref="AA81:AA84">
    <cfRule type="expression" dxfId="2563" priority="20">
      <formula>+IF(AA$79=0,1,0)</formula>
    </cfRule>
  </conditionalFormatting>
  <conditionalFormatting sqref="AC81:AC84">
    <cfRule type="expression" dxfId="2562" priority="19">
      <formula>+IF(AC$79=0,1,0)</formula>
    </cfRule>
  </conditionalFormatting>
  <conditionalFormatting sqref="F73:G73">
    <cfRule type="cellIs" dxfId="2561" priority="17" operator="equal">
      <formula>"optimo"</formula>
    </cfRule>
    <cfRule type="cellIs" dxfId="2560" priority="18" operator="equal">
      <formula>"critico"</formula>
    </cfRule>
  </conditionalFormatting>
  <conditionalFormatting sqref="H73:I73">
    <cfRule type="cellIs" dxfId="2559" priority="15" operator="equal">
      <formula>"Adecuado"</formula>
    </cfRule>
    <cfRule type="cellIs" dxfId="2558" priority="16" operator="equal">
      <formula>"en riesgo"</formula>
    </cfRule>
  </conditionalFormatting>
  <conditionalFormatting sqref="J73:K73">
    <cfRule type="cellIs" dxfId="2557" priority="13" operator="equal">
      <formula>"Adecuado"</formula>
    </cfRule>
    <cfRule type="cellIs" dxfId="2556" priority="14" operator="equal">
      <formula>"en riesgo"</formula>
    </cfRule>
  </conditionalFormatting>
  <conditionalFormatting sqref="L73:M73">
    <cfRule type="cellIs" dxfId="2555" priority="11" operator="equal">
      <formula>"optimo"</formula>
    </cfRule>
    <cfRule type="cellIs" dxfId="2554" priority="12" operator="equal">
      <formula>"critico"</formula>
    </cfRule>
  </conditionalFormatting>
  <conditionalFormatting sqref="F75:M76">
    <cfRule type="expression" dxfId="2553" priority="10">
      <formula>+IF($AK75=0,1)</formula>
    </cfRule>
  </conditionalFormatting>
  <conditionalFormatting sqref="F103:G104">
    <cfRule type="expression" dxfId="2552" priority="9">
      <formula>+IF($G$102="No",1,0)</formula>
    </cfRule>
  </conditionalFormatting>
  <conditionalFormatting sqref="F51">
    <cfRule type="expression" dxfId="2551" priority="8">
      <formula>+IF($F$43="no",1,0)</formula>
    </cfRule>
  </conditionalFormatting>
  <conditionalFormatting sqref="I51">
    <cfRule type="expression" dxfId="2550" priority="7">
      <formula>+IF($F$51="no",1,0)</formula>
    </cfRule>
  </conditionalFormatting>
  <conditionalFormatting sqref="F77:F86 M77:M86">
    <cfRule type="expression" dxfId="2549" priority="2">
      <formula>+IF($AK77=0,1)</formula>
    </cfRule>
  </conditionalFormatting>
  <conditionalFormatting sqref="G77:L86">
    <cfRule type="expression" dxfId="2548" priority="1">
      <formula>+IF($AK77=0,1)</formula>
    </cfRule>
  </conditionalFormatting>
  <dataValidations count="13">
    <dataValidation type="list" allowBlank="1" showInputMessage="1" showErrorMessage="1" sqref="G102 F43 F51">
      <formula1>$S$4:$S$5</formula1>
    </dataValidation>
    <dataValidation type="list" allowBlank="1" showInputMessage="1" showErrorMessage="1" sqref="F29:M29">
      <formula1>objetivos</formula1>
    </dataValidation>
    <dataValidation type="list" allowBlank="1" showInputMessage="1" showErrorMessage="1" sqref="F35:G35">
      <formula1>macroprocesos</formula1>
    </dataValidation>
    <dataValidation type="list" allowBlank="1" showInputMessage="1" showErrorMessage="1" sqref="G33:M33">
      <formula1>INDIRECT($Q$30)</formula1>
    </dataValidation>
    <dataValidation type="list" allowBlank="1" showInputMessage="1" showErrorMessage="1" sqref="G31:M31">
      <formula1>macroproceso</formula1>
    </dataValidation>
    <dataValidation type="list" allowBlank="1" showInputMessage="1" showErrorMessage="1" sqref="G45:M45">
      <formula1>lineas</formula1>
    </dataValidation>
    <dataValidation type="list" allowBlank="1" showInputMessage="1" showErrorMessage="1" sqref="G47:M47">
      <formula1>INDIRECT($Q$45)</formula1>
    </dataValidation>
    <dataValidation type="list" allowBlank="1" showInputMessage="1" showErrorMessage="1" sqref="F24">
      <formula1>tendencia</formula1>
    </dataValidation>
    <dataValidation type="list" allowBlank="1" showInputMessage="1" showErrorMessage="1" sqref="I23">
      <formula1>medidas</formula1>
    </dataValidation>
    <dataValidation type="list" allowBlank="1" showInputMessage="1" showErrorMessage="1" sqref="I24">
      <formula1>ambito</formula1>
    </dataValidation>
    <dataValidation type="list" allowBlank="1" showInputMessage="1" showErrorMessage="1" sqref="F71">
      <formula1>$D$75:$D$86</formula1>
    </dataValidation>
    <dataValidation type="list" allowBlank="1" showInputMessage="1" showErrorMessage="1" sqref="G49:M49">
      <formula1>proyectos</formula1>
    </dataValidation>
    <dataValidation type="list" allowBlank="1" showInputMessage="1" showErrorMessage="1" sqref="F25">
      <formula1>dimen</formula1>
    </dataValidation>
  </dataValidations>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[1]base!#REF!</xm:f>
          </x14:formula1>
          <xm:sqref>R75:R78 T75:T78 V75:V78 X75:X78 Z75:Z78 AB75:AB78 T81:T84 Z81:Z84 R81:R84 V81:V84 X81:X84 AB81:AB84 F23</xm:sqref>
        </x14:dataValidation>
        <x14:dataValidation type="list" allowBlank="1" showInputMessage="1" showErrorMessage="1">
          <x14:formula1>
            <xm:f>[1]Hoja1!#REF!</xm:f>
          </x14:formula1>
          <xm:sqref>S12</xm:sqref>
        </x14:dataValidation>
      </x14:dataValidations>
    </ext>
  </extLst>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B1:AV113"/>
  <sheetViews>
    <sheetView zoomScaleNormal="100" workbookViewId="0">
      <selection activeCell="F12" sqref="F12:M12"/>
    </sheetView>
  </sheetViews>
  <sheetFormatPr baseColWidth="10" defaultRowHeight="12.75" x14ac:dyDescent="0.25"/>
  <cols>
    <col min="1" max="1" width="1.140625" style="285" customWidth="1"/>
    <col min="2" max="2" width="0.5703125" style="285" customWidth="1"/>
    <col min="3" max="3" width="1.42578125" style="285" customWidth="1"/>
    <col min="4" max="4" width="11" style="285" customWidth="1"/>
    <col min="5" max="13" width="11.42578125" style="285" customWidth="1"/>
    <col min="14" max="14" width="1.42578125" style="285" customWidth="1"/>
    <col min="15" max="15" width="0.5703125" style="285" customWidth="1"/>
    <col min="16" max="30" width="11.42578125" style="286"/>
    <col min="31" max="39" width="0" style="286" hidden="1" customWidth="1"/>
    <col min="40" max="48" width="11.42578125" style="286"/>
    <col min="49" max="16384" width="11.42578125" style="285"/>
  </cols>
  <sheetData>
    <row r="1" spans="2:24" ht="3.95" customHeight="1" x14ac:dyDescent="0.25"/>
    <row r="2" spans="2:24" ht="3.95" customHeight="1" x14ac:dyDescent="0.25">
      <c r="B2" s="287"/>
      <c r="C2" s="287"/>
      <c r="D2" s="287"/>
      <c r="E2" s="287"/>
      <c r="F2" s="287"/>
      <c r="G2" s="287"/>
      <c r="H2" s="287"/>
      <c r="I2" s="287"/>
      <c r="J2" s="287"/>
      <c r="K2" s="287"/>
      <c r="L2" s="287"/>
      <c r="M2" s="287"/>
      <c r="N2" s="287"/>
      <c r="O2" s="287"/>
    </row>
    <row r="3" spans="2:24" ht="20.25" customHeight="1" x14ac:dyDescent="0.25">
      <c r="B3" s="287"/>
      <c r="C3" s="430" t="s">
        <v>0</v>
      </c>
      <c r="D3" s="430"/>
      <c r="E3" s="430"/>
      <c r="F3" s="430"/>
      <c r="G3" s="430"/>
      <c r="H3" s="430"/>
      <c r="I3" s="430"/>
      <c r="J3" s="430"/>
      <c r="K3" s="430"/>
      <c r="L3" s="430"/>
      <c r="M3" s="430"/>
      <c r="N3" s="430"/>
      <c r="O3" s="287"/>
    </row>
    <row r="4" spans="2:24" ht="20.25" customHeight="1" x14ac:dyDescent="0.25">
      <c r="B4" s="287"/>
      <c r="C4" s="430"/>
      <c r="D4" s="430"/>
      <c r="E4" s="430"/>
      <c r="F4" s="430"/>
      <c r="G4" s="430"/>
      <c r="H4" s="430"/>
      <c r="I4" s="430"/>
      <c r="J4" s="430"/>
      <c r="K4" s="430"/>
      <c r="L4" s="430"/>
      <c r="M4" s="430"/>
      <c r="N4" s="430"/>
      <c r="O4" s="287"/>
    </row>
    <row r="5" spans="2:24" ht="20.25" customHeight="1" x14ac:dyDescent="0.25">
      <c r="B5" s="287"/>
      <c r="C5" s="430"/>
      <c r="D5" s="430"/>
      <c r="E5" s="430"/>
      <c r="F5" s="430"/>
      <c r="G5" s="430"/>
      <c r="H5" s="430"/>
      <c r="I5" s="430"/>
      <c r="J5" s="430"/>
      <c r="K5" s="430"/>
      <c r="L5" s="430"/>
      <c r="M5" s="430"/>
      <c r="N5" s="430"/>
      <c r="O5" s="287"/>
    </row>
    <row r="6" spans="2:24" ht="3" customHeight="1" x14ac:dyDescent="0.25">
      <c r="B6" s="287"/>
      <c r="C6" s="287"/>
      <c r="D6" s="287"/>
      <c r="E6" s="287"/>
      <c r="F6" s="287"/>
      <c r="G6" s="287"/>
      <c r="H6" s="287"/>
      <c r="I6" s="287"/>
      <c r="J6" s="287"/>
      <c r="K6" s="287"/>
      <c r="L6" s="287"/>
      <c r="M6" s="287"/>
      <c r="N6" s="287"/>
      <c r="O6" s="287"/>
    </row>
    <row r="7" spans="2:24" ht="3" customHeight="1" x14ac:dyDescent="0.25"/>
    <row r="8" spans="2:24" ht="3.95" customHeight="1" x14ac:dyDescent="0.25">
      <c r="B8" s="287"/>
      <c r="C8" s="287"/>
      <c r="D8" s="287"/>
      <c r="E8" s="287"/>
      <c r="F8" s="287"/>
      <c r="G8" s="287"/>
      <c r="H8" s="287"/>
      <c r="I8" s="287"/>
      <c r="J8" s="287"/>
      <c r="K8" s="287"/>
      <c r="L8" s="287"/>
      <c r="M8" s="287"/>
      <c r="N8" s="287"/>
      <c r="O8" s="287"/>
    </row>
    <row r="9" spans="2:24" ht="3.95" customHeight="1" x14ac:dyDescent="0.25">
      <c r="B9" s="287"/>
      <c r="O9" s="287"/>
    </row>
    <row r="10" spans="2:24" ht="15.75" customHeight="1" x14ac:dyDescent="0.25">
      <c r="B10" s="287"/>
      <c r="D10" s="431" t="s">
        <v>3</v>
      </c>
      <c r="E10" s="431"/>
      <c r="F10" s="288">
        <v>2015</v>
      </c>
      <c r="G10" s="289" t="s">
        <v>4</v>
      </c>
      <c r="H10" s="288" t="s">
        <v>2191</v>
      </c>
      <c r="O10" s="287"/>
    </row>
    <row r="11" spans="2:24" ht="3.95" customHeight="1" x14ac:dyDescent="0.25">
      <c r="B11" s="287"/>
      <c r="D11" s="290"/>
      <c r="O11" s="287"/>
    </row>
    <row r="12" spans="2:24" ht="36" customHeight="1" x14ac:dyDescent="0.25">
      <c r="B12" s="287"/>
      <c r="D12" s="432" t="s">
        <v>5</v>
      </c>
      <c r="E12" s="433"/>
      <c r="F12" s="434" t="s">
        <v>2192</v>
      </c>
      <c r="G12" s="435"/>
      <c r="H12" s="435"/>
      <c r="I12" s="435"/>
      <c r="J12" s="435"/>
      <c r="K12" s="435"/>
      <c r="L12" s="435"/>
      <c r="M12" s="436"/>
      <c r="O12" s="287"/>
      <c r="W12" s="286" t="str">
        <f>+F23</f>
        <v>Mensual</v>
      </c>
      <c r="X12" s="286" t="str">
        <f>+F71</f>
        <v>Junio</v>
      </c>
    </row>
    <row r="13" spans="2:24" ht="3.95" customHeight="1" x14ac:dyDescent="0.25">
      <c r="B13" s="287"/>
      <c r="O13" s="287"/>
    </row>
    <row r="14" spans="2:24" ht="36" customHeight="1" x14ac:dyDescent="0.25">
      <c r="B14" s="287"/>
      <c r="D14" s="432" t="s">
        <v>6</v>
      </c>
      <c r="E14" s="433"/>
      <c r="F14" s="434" t="s">
        <v>2193</v>
      </c>
      <c r="G14" s="435"/>
      <c r="H14" s="435"/>
      <c r="I14" s="435"/>
      <c r="J14" s="435"/>
      <c r="K14" s="435"/>
      <c r="L14" s="435"/>
      <c r="M14" s="436"/>
      <c r="O14" s="287"/>
    </row>
    <row r="15" spans="2:24" ht="3.95" customHeight="1" x14ac:dyDescent="0.25">
      <c r="B15" s="287"/>
      <c r="O15" s="287"/>
    </row>
    <row r="16" spans="2:24" ht="3" customHeight="1" x14ac:dyDescent="0.25">
      <c r="B16" s="287"/>
      <c r="C16" s="287"/>
      <c r="D16" s="287"/>
      <c r="E16" s="287"/>
      <c r="F16" s="287"/>
      <c r="G16" s="287"/>
      <c r="H16" s="287"/>
      <c r="I16" s="287"/>
      <c r="J16" s="287"/>
      <c r="K16" s="287"/>
      <c r="L16" s="287"/>
      <c r="M16" s="287"/>
      <c r="N16" s="287"/>
      <c r="O16" s="287"/>
    </row>
    <row r="17" spans="2:18" ht="3" customHeight="1" x14ac:dyDescent="0.25"/>
    <row r="18" spans="2:18" ht="3" customHeight="1" x14ac:dyDescent="0.25">
      <c r="B18" s="287"/>
      <c r="C18" s="287"/>
      <c r="D18" s="287"/>
      <c r="E18" s="287"/>
      <c r="F18" s="287"/>
      <c r="G18" s="287"/>
      <c r="H18" s="287"/>
      <c r="I18" s="287"/>
      <c r="J18" s="287"/>
      <c r="K18" s="287"/>
      <c r="L18" s="287"/>
      <c r="M18" s="287"/>
      <c r="N18" s="287"/>
      <c r="O18" s="287"/>
    </row>
    <row r="19" spans="2:18" ht="3.95" customHeight="1" x14ac:dyDescent="0.25">
      <c r="B19" s="287"/>
      <c r="O19" s="287"/>
    </row>
    <row r="20" spans="2:18" x14ac:dyDescent="0.25">
      <c r="B20" s="287"/>
      <c r="D20" s="291" t="s">
        <v>7</v>
      </c>
      <c r="O20" s="287"/>
    </row>
    <row r="21" spans="2:18" ht="3.95" customHeight="1" x14ac:dyDescent="0.25">
      <c r="B21" s="287"/>
      <c r="O21" s="287"/>
    </row>
    <row r="22" spans="2:18" ht="19.5" customHeight="1" x14ac:dyDescent="0.25">
      <c r="B22" s="287"/>
      <c r="D22" s="431" t="s">
        <v>8</v>
      </c>
      <c r="E22" s="431"/>
      <c r="F22" s="292">
        <v>547608</v>
      </c>
      <c r="G22" s="431" t="s">
        <v>9</v>
      </c>
      <c r="H22" s="431"/>
      <c r="I22" s="292">
        <v>328000</v>
      </c>
      <c r="K22" s="431" t="s">
        <v>10</v>
      </c>
      <c r="L22" s="431"/>
      <c r="M22" s="293" t="s">
        <v>496</v>
      </c>
      <c r="O22" s="287"/>
    </row>
    <row r="23" spans="2:18" ht="19.5" customHeight="1" x14ac:dyDescent="0.25">
      <c r="B23" s="287"/>
      <c r="D23" s="431" t="s">
        <v>11</v>
      </c>
      <c r="E23" s="431"/>
      <c r="F23" s="288" t="s">
        <v>84</v>
      </c>
      <c r="G23" s="431" t="s">
        <v>12</v>
      </c>
      <c r="H23" s="431"/>
      <c r="I23" s="288" t="s">
        <v>553</v>
      </c>
      <c r="K23" s="431" t="s">
        <v>13</v>
      </c>
      <c r="L23" s="431"/>
      <c r="M23" s="293" t="s">
        <v>496</v>
      </c>
      <c r="O23" s="287"/>
    </row>
    <row r="24" spans="2:18" ht="20.100000000000001" customHeight="1" x14ac:dyDescent="0.25">
      <c r="B24" s="287"/>
      <c r="D24" s="431" t="s">
        <v>14</v>
      </c>
      <c r="E24" s="431"/>
      <c r="F24" s="288" t="s">
        <v>2194</v>
      </c>
      <c r="G24" s="431" t="s">
        <v>15</v>
      </c>
      <c r="H24" s="431"/>
      <c r="I24" s="288" t="s">
        <v>519</v>
      </c>
      <c r="K24" s="431" t="s">
        <v>16</v>
      </c>
      <c r="L24" s="431"/>
      <c r="M24" s="293" t="s">
        <v>2</v>
      </c>
      <c r="O24" s="287"/>
      <c r="R24" s="286">
        <v>0</v>
      </c>
    </row>
    <row r="25" spans="2:18" ht="20.100000000000001" customHeight="1" x14ac:dyDescent="0.25">
      <c r="B25" s="287"/>
      <c r="D25" s="431" t="s">
        <v>17</v>
      </c>
      <c r="E25" s="431"/>
      <c r="F25" s="288" t="s">
        <v>98</v>
      </c>
      <c r="O25" s="287"/>
    </row>
    <row r="26" spans="2:18" ht="3.95" customHeight="1" x14ac:dyDescent="0.25">
      <c r="B26" s="287"/>
      <c r="O26" s="287"/>
    </row>
    <row r="27" spans="2:18" x14ac:dyDescent="0.25">
      <c r="B27" s="287"/>
      <c r="D27" s="291" t="s">
        <v>18</v>
      </c>
      <c r="O27" s="287"/>
    </row>
    <row r="28" spans="2:18" ht="3.95" customHeight="1" x14ac:dyDescent="0.25">
      <c r="B28" s="287"/>
      <c r="O28" s="287"/>
    </row>
    <row r="29" spans="2:18" ht="36" customHeight="1" x14ac:dyDescent="0.25">
      <c r="B29" s="287"/>
      <c r="D29" s="437" t="s">
        <v>19</v>
      </c>
      <c r="E29" s="437"/>
      <c r="F29" s="438" t="s">
        <v>489</v>
      </c>
      <c r="G29" s="438"/>
      <c r="H29" s="438"/>
      <c r="I29" s="438"/>
      <c r="J29" s="438"/>
      <c r="K29" s="438"/>
      <c r="L29" s="438"/>
      <c r="M29" s="438"/>
      <c r="O29" s="287"/>
    </row>
    <row r="30" spans="2:18" ht="18" customHeight="1" x14ac:dyDescent="0.25">
      <c r="B30" s="287"/>
      <c r="D30" s="439" t="s">
        <v>21</v>
      </c>
      <c r="E30" s="440"/>
      <c r="F30" s="294" t="s">
        <v>22</v>
      </c>
      <c r="G30" s="443" t="s">
        <v>5</v>
      </c>
      <c r="H30" s="444"/>
      <c r="I30" s="444"/>
      <c r="J30" s="444"/>
      <c r="K30" s="444"/>
      <c r="L30" s="444"/>
      <c r="M30" s="445"/>
      <c r="O30" s="287"/>
      <c r="Q30" s="286" t="str">
        <f>+IFERROR(VLOOKUP(G31,[3]base!$A$9:$C$25,3,FALSE),"")</f>
        <v>NA</v>
      </c>
    </row>
    <row r="31" spans="2:18" ht="24" customHeight="1" x14ac:dyDescent="0.25">
      <c r="B31" s="287"/>
      <c r="D31" s="441"/>
      <c r="E31" s="442"/>
      <c r="F31" s="288" t="s">
        <v>176</v>
      </c>
      <c r="G31" s="434" t="s">
        <v>177</v>
      </c>
      <c r="H31" s="435"/>
      <c r="I31" s="435"/>
      <c r="J31" s="435"/>
      <c r="K31" s="435"/>
      <c r="L31" s="435"/>
      <c r="M31" s="436"/>
      <c r="O31" s="287"/>
    </row>
    <row r="32" spans="2:18" ht="18" customHeight="1" x14ac:dyDescent="0.25">
      <c r="B32" s="287"/>
      <c r="D32" s="439" t="s">
        <v>23</v>
      </c>
      <c r="E32" s="440"/>
      <c r="F32" s="294" t="s">
        <v>22</v>
      </c>
      <c r="G32" s="443" t="s">
        <v>5</v>
      </c>
      <c r="H32" s="444"/>
      <c r="I32" s="444"/>
      <c r="J32" s="444"/>
      <c r="K32" s="444"/>
      <c r="L32" s="444"/>
      <c r="M32" s="445"/>
      <c r="O32" s="287"/>
    </row>
    <row r="33" spans="2:17" ht="24" customHeight="1" x14ac:dyDescent="0.25">
      <c r="B33" s="287"/>
      <c r="D33" s="441"/>
      <c r="E33" s="442"/>
      <c r="F33" s="295" t="s">
        <v>500</v>
      </c>
      <c r="G33" s="434"/>
      <c r="H33" s="435"/>
      <c r="I33" s="435"/>
      <c r="J33" s="435"/>
      <c r="K33" s="435"/>
      <c r="L33" s="435"/>
      <c r="M33" s="436"/>
      <c r="O33" s="287"/>
      <c r="Q33" s="286" t="str">
        <f>+IFERROR(IF(VLOOKUP(G33,[3]base!$A$26:$C$40,3,FALSE)=F31,1,0),"")</f>
        <v/>
      </c>
    </row>
    <row r="34" spans="2:17" ht="18" customHeight="1" x14ac:dyDescent="0.25">
      <c r="B34" s="287"/>
      <c r="D34" s="439" t="s">
        <v>24</v>
      </c>
      <c r="E34" s="440"/>
      <c r="F34" s="294" t="s">
        <v>22</v>
      </c>
      <c r="G34" s="443" t="s">
        <v>5</v>
      </c>
      <c r="H34" s="444"/>
      <c r="I34" s="444"/>
      <c r="J34" s="444"/>
      <c r="K34" s="444"/>
      <c r="L34" s="444"/>
      <c r="M34" s="445"/>
      <c r="O34" s="287"/>
    </row>
    <row r="35" spans="2:17" ht="36.75" customHeight="1" x14ac:dyDescent="0.25">
      <c r="B35" s="287"/>
      <c r="D35" s="441"/>
      <c r="E35" s="442"/>
      <c r="F35" s="288" t="s">
        <v>1714</v>
      </c>
      <c r="G35" s="434" t="s">
        <v>1590</v>
      </c>
      <c r="H35" s="435"/>
      <c r="I35" s="435"/>
      <c r="J35" s="435"/>
      <c r="K35" s="435"/>
      <c r="L35" s="435"/>
      <c r="M35" s="436"/>
      <c r="O35" s="287"/>
    </row>
    <row r="36" spans="2:17" ht="3.95" customHeight="1" x14ac:dyDescent="0.25">
      <c r="B36" s="287"/>
      <c r="O36" s="287"/>
    </row>
    <row r="37" spans="2:17" ht="3" customHeight="1" x14ac:dyDescent="0.25">
      <c r="B37" s="287"/>
      <c r="C37" s="287"/>
      <c r="D37" s="287"/>
      <c r="E37" s="287"/>
      <c r="F37" s="287"/>
      <c r="G37" s="287"/>
      <c r="H37" s="287"/>
      <c r="I37" s="287"/>
      <c r="J37" s="287"/>
      <c r="K37" s="287"/>
      <c r="L37" s="287"/>
      <c r="M37" s="287"/>
      <c r="N37" s="287"/>
      <c r="O37" s="287"/>
    </row>
    <row r="38" spans="2:17" ht="3" customHeight="1" x14ac:dyDescent="0.25"/>
    <row r="39" spans="2:17" ht="3" customHeight="1" x14ac:dyDescent="0.25">
      <c r="B39" s="287"/>
      <c r="C39" s="287"/>
      <c r="D39" s="287"/>
      <c r="E39" s="287"/>
      <c r="F39" s="287"/>
      <c r="G39" s="287"/>
      <c r="H39" s="287"/>
      <c r="I39" s="287"/>
      <c r="J39" s="287"/>
      <c r="K39" s="287"/>
      <c r="L39" s="287"/>
      <c r="M39" s="287"/>
      <c r="N39" s="287"/>
      <c r="O39" s="287"/>
    </row>
    <row r="40" spans="2:17" ht="3.95" customHeight="1" x14ac:dyDescent="0.25">
      <c r="B40" s="287"/>
      <c r="D40" s="291"/>
      <c r="O40" s="287"/>
    </row>
    <row r="41" spans="2:17" x14ac:dyDescent="0.25">
      <c r="B41" s="287"/>
      <c r="D41" s="291" t="s">
        <v>25</v>
      </c>
      <c r="O41" s="287"/>
    </row>
    <row r="42" spans="2:17" ht="3.95" customHeight="1" x14ac:dyDescent="0.25">
      <c r="B42" s="287"/>
      <c r="O42" s="287"/>
    </row>
    <row r="43" spans="2:17" ht="20.100000000000001" customHeight="1" x14ac:dyDescent="0.25">
      <c r="B43" s="287"/>
      <c r="D43" s="431" t="s">
        <v>26</v>
      </c>
      <c r="E43" s="431"/>
      <c r="F43" s="288" t="s">
        <v>2</v>
      </c>
      <c r="O43" s="287"/>
    </row>
    <row r="44" spans="2:17" ht="18" customHeight="1" x14ac:dyDescent="0.25">
      <c r="B44" s="287"/>
      <c r="D44" s="446" t="s">
        <v>27</v>
      </c>
      <c r="E44" s="447"/>
      <c r="F44" s="296" t="s">
        <v>22</v>
      </c>
      <c r="G44" s="450" t="s">
        <v>5</v>
      </c>
      <c r="H44" s="451"/>
      <c r="I44" s="451"/>
      <c r="J44" s="451"/>
      <c r="K44" s="451"/>
      <c r="L44" s="451"/>
      <c r="M44" s="452"/>
      <c r="O44" s="287"/>
    </row>
    <row r="45" spans="2:17" ht="18" customHeight="1" x14ac:dyDescent="0.25">
      <c r="B45" s="287"/>
      <c r="D45" s="448"/>
      <c r="E45" s="449"/>
      <c r="F45" s="288" t="s">
        <v>500</v>
      </c>
      <c r="G45" s="434" t="s">
        <v>512</v>
      </c>
      <c r="H45" s="435"/>
      <c r="I45" s="435"/>
      <c r="J45" s="435"/>
      <c r="K45" s="435"/>
      <c r="L45" s="435"/>
      <c r="M45" s="436"/>
      <c r="O45" s="287"/>
      <c r="Q45" s="286" t="str">
        <f>+IFERROR(VLOOKUP(G45,[3]base!$A$41:$C$45,3,FALSE),"")</f>
        <v/>
      </c>
    </row>
    <row r="46" spans="2:17" ht="18" customHeight="1" x14ac:dyDescent="0.25">
      <c r="B46" s="287"/>
      <c r="D46" s="446" t="s">
        <v>28</v>
      </c>
      <c r="E46" s="447"/>
      <c r="F46" s="296" t="s">
        <v>22</v>
      </c>
      <c r="G46" s="450" t="s">
        <v>5</v>
      </c>
      <c r="H46" s="451"/>
      <c r="I46" s="451"/>
      <c r="J46" s="451"/>
      <c r="K46" s="451"/>
      <c r="L46" s="451"/>
      <c r="M46" s="452"/>
      <c r="O46" s="287"/>
    </row>
    <row r="47" spans="2:17" ht="18" customHeight="1" x14ac:dyDescent="0.25">
      <c r="B47" s="287"/>
      <c r="D47" s="448"/>
      <c r="E47" s="449"/>
      <c r="F47" s="288" t="s">
        <v>500</v>
      </c>
      <c r="G47" s="434" t="s">
        <v>512</v>
      </c>
      <c r="H47" s="435"/>
      <c r="I47" s="435"/>
      <c r="J47" s="435"/>
      <c r="K47" s="435"/>
      <c r="L47" s="435"/>
      <c r="M47" s="436"/>
      <c r="O47" s="287"/>
      <c r="Q47" s="286" t="e">
        <f>+IF(VLOOKUP(G47,[3]base!$A$46:$C$66,3,FALSE)=F45,1,0)</f>
        <v>#N/A</v>
      </c>
    </row>
    <row r="48" spans="2:17" ht="18" customHeight="1" x14ac:dyDescent="0.25">
      <c r="B48" s="287"/>
      <c r="D48" s="446" t="s">
        <v>29</v>
      </c>
      <c r="E48" s="447"/>
      <c r="F48" s="296" t="s">
        <v>22</v>
      </c>
      <c r="G48" s="450" t="s">
        <v>5</v>
      </c>
      <c r="H48" s="451"/>
      <c r="I48" s="451"/>
      <c r="J48" s="451"/>
      <c r="K48" s="451"/>
      <c r="L48" s="451"/>
      <c r="M48" s="452"/>
      <c r="O48" s="287"/>
    </row>
    <row r="49" spans="2:15" ht="29.25" customHeight="1" x14ac:dyDescent="0.25">
      <c r="B49" s="287"/>
      <c r="D49" s="448"/>
      <c r="E49" s="449"/>
      <c r="F49" s="297" t="s">
        <v>535</v>
      </c>
      <c r="G49" s="434" t="s">
        <v>30</v>
      </c>
      <c r="H49" s="435"/>
      <c r="I49" s="435"/>
      <c r="J49" s="435"/>
      <c r="K49" s="435"/>
      <c r="L49" s="435"/>
      <c r="M49" s="436"/>
      <c r="O49" s="287"/>
    </row>
    <row r="50" spans="2:15" ht="3.95" customHeight="1" x14ac:dyDescent="0.25">
      <c r="B50" s="287"/>
      <c r="O50" s="287"/>
    </row>
    <row r="51" spans="2:15" ht="20.100000000000001" customHeight="1" x14ac:dyDescent="0.25">
      <c r="B51" s="287"/>
      <c r="D51" s="431" t="s">
        <v>31</v>
      </c>
      <c r="E51" s="431"/>
      <c r="F51" s="288" t="s">
        <v>2</v>
      </c>
      <c r="G51" s="431" t="s">
        <v>32</v>
      </c>
      <c r="H51" s="431"/>
      <c r="I51" s="292" t="s">
        <v>500</v>
      </c>
      <c r="O51" s="287"/>
    </row>
    <row r="52" spans="2:15" ht="3.95" customHeight="1" x14ac:dyDescent="0.25">
      <c r="B52" s="287"/>
      <c r="O52" s="287"/>
    </row>
    <row r="53" spans="2:15" ht="3" customHeight="1" x14ac:dyDescent="0.25">
      <c r="B53" s="287"/>
      <c r="C53" s="287"/>
      <c r="D53" s="287"/>
      <c r="E53" s="287"/>
      <c r="F53" s="287"/>
      <c r="G53" s="287"/>
      <c r="H53" s="287"/>
      <c r="I53" s="287"/>
      <c r="J53" s="287"/>
      <c r="K53" s="287"/>
      <c r="L53" s="287"/>
      <c r="M53" s="287"/>
      <c r="N53" s="287"/>
      <c r="O53" s="287"/>
    </row>
    <row r="54" spans="2:15" ht="3" customHeight="1" x14ac:dyDescent="0.25"/>
    <row r="55" spans="2:15" ht="3.95" customHeight="1" x14ac:dyDescent="0.25">
      <c r="B55" s="287"/>
      <c r="C55" s="287"/>
      <c r="D55" s="287"/>
      <c r="E55" s="287"/>
      <c r="F55" s="287"/>
      <c r="G55" s="287"/>
      <c r="H55" s="287"/>
      <c r="I55" s="287"/>
      <c r="J55" s="287"/>
      <c r="K55" s="287"/>
      <c r="L55" s="287"/>
      <c r="M55" s="287"/>
      <c r="N55" s="287"/>
      <c r="O55" s="287"/>
    </row>
    <row r="56" spans="2:15" ht="3.95" customHeight="1" x14ac:dyDescent="0.25">
      <c r="B56" s="287"/>
      <c r="O56" s="287"/>
    </row>
    <row r="57" spans="2:15" x14ac:dyDescent="0.25">
      <c r="B57" s="287"/>
      <c r="D57" s="291" t="s">
        <v>33</v>
      </c>
      <c r="O57" s="287"/>
    </row>
    <row r="58" spans="2:15" ht="3.95" customHeight="1" x14ac:dyDescent="0.25">
      <c r="B58" s="287"/>
      <c r="O58" s="287"/>
    </row>
    <row r="59" spans="2:15" ht="39.75" customHeight="1" x14ac:dyDescent="0.25">
      <c r="B59" s="287"/>
      <c r="D59" s="431" t="s">
        <v>34</v>
      </c>
      <c r="E59" s="431"/>
      <c r="F59" s="438" t="s">
        <v>2201</v>
      </c>
      <c r="G59" s="438"/>
      <c r="H59" s="438"/>
      <c r="I59" s="438"/>
      <c r="J59" s="438"/>
      <c r="K59" s="438"/>
      <c r="L59" s="438"/>
      <c r="M59" s="438"/>
      <c r="O59" s="287"/>
    </row>
    <row r="60" spans="2:15" ht="27" customHeight="1" x14ac:dyDescent="0.25">
      <c r="B60" s="287"/>
      <c r="D60" s="453" t="s">
        <v>35</v>
      </c>
      <c r="E60" s="453"/>
      <c r="F60" s="438" t="s">
        <v>2202</v>
      </c>
      <c r="G60" s="438"/>
      <c r="H60" s="438"/>
      <c r="I60" s="438"/>
      <c r="J60" s="438"/>
      <c r="K60" s="438"/>
      <c r="L60" s="438"/>
      <c r="M60" s="438"/>
      <c r="O60" s="287"/>
    </row>
    <row r="61" spans="2:15" ht="27" customHeight="1" x14ac:dyDescent="0.25">
      <c r="B61" s="287"/>
      <c r="D61" s="453" t="s">
        <v>36</v>
      </c>
      <c r="E61" s="453"/>
      <c r="F61" s="438" t="s">
        <v>2195</v>
      </c>
      <c r="G61" s="438"/>
      <c r="H61" s="438"/>
      <c r="I61" s="438"/>
      <c r="J61" s="438"/>
      <c r="K61" s="438"/>
      <c r="L61" s="438"/>
      <c r="M61" s="438"/>
      <c r="O61" s="287"/>
    </row>
    <row r="62" spans="2:15" ht="3.95" customHeight="1" x14ac:dyDescent="0.25">
      <c r="B62" s="287"/>
      <c r="O62" s="287"/>
    </row>
    <row r="63" spans="2:15" ht="3" customHeight="1" x14ac:dyDescent="0.25">
      <c r="B63" s="287"/>
      <c r="C63" s="287"/>
      <c r="D63" s="287"/>
      <c r="E63" s="287"/>
      <c r="F63" s="287"/>
      <c r="G63" s="287"/>
      <c r="H63" s="287"/>
      <c r="I63" s="287"/>
      <c r="J63" s="287"/>
      <c r="K63" s="287"/>
      <c r="L63" s="287"/>
      <c r="M63" s="287"/>
      <c r="N63" s="287"/>
      <c r="O63" s="287"/>
    </row>
    <row r="64" spans="2:15" x14ac:dyDescent="0.25">
      <c r="M64" s="298" t="s">
        <v>37</v>
      </c>
    </row>
    <row r="65" spans="2:37" ht="3" customHeight="1" x14ac:dyDescent="0.25">
      <c r="B65" s="287"/>
      <c r="C65" s="287"/>
      <c r="D65" s="287"/>
      <c r="E65" s="287"/>
      <c r="F65" s="287"/>
      <c r="G65" s="287"/>
      <c r="H65" s="287"/>
      <c r="I65" s="287"/>
      <c r="J65" s="287"/>
      <c r="K65" s="287"/>
      <c r="L65" s="287"/>
      <c r="M65" s="287"/>
      <c r="N65" s="287"/>
      <c r="O65" s="287"/>
    </row>
    <row r="66" spans="2:37" ht="3.95" customHeight="1" x14ac:dyDescent="0.25">
      <c r="B66" s="287"/>
      <c r="O66" s="287"/>
    </row>
    <row r="67" spans="2:37" x14ac:dyDescent="0.25">
      <c r="B67" s="287"/>
      <c r="D67" s="455" t="s">
        <v>38</v>
      </c>
      <c r="E67" s="455"/>
      <c r="O67" s="287"/>
    </row>
    <row r="68" spans="2:37" ht="3.95" customHeight="1" x14ac:dyDescent="0.25">
      <c r="B68" s="287"/>
      <c r="D68" s="291"/>
      <c r="E68" s="291"/>
      <c r="O68" s="287"/>
    </row>
    <row r="69" spans="2:37" ht="18.75" customHeight="1" x14ac:dyDescent="0.25">
      <c r="B69" s="287"/>
      <c r="O69" s="287"/>
      <c r="U69" s="286">
        <f>+IFERROR(VLOOKUP(F23,[3]base!$A$1:$B$8,2,FALSE),"")</f>
        <v>1</v>
      </c>
    </row>
    <row r="70" spans="2:37" ht="3.95" customHeight="1" x14ac:dyDescent="0.25">
      <c r="B70" s="287"/>
      <c r="D70" s="291"/>
      <c r="E70" s="291"/>
      <c r="O70" s="287"/>
    </row>
    <row r="71" spans="2:37" ht="18.75" customHeight="1" x14ac:dyDescent="0.25">
      <c r="B71" s="287"/>
      <c r="D71" s="437" t="s">
        <v>39</v>
      </c>
      <c r="E71" s="437"/>
      <c r="F71" s="288" t="s">
        <v>50</v>
      </c>
      <c r="G71" s="286">
        <v>4</v>
      </c>
      <c r="O71" s="287"/>
    </row>
    <row r="72" spans="2:37" ht="3.95" customHeight="1" x14ac:dyDescent="0.25">
      <c r="B72" s="287"/>
      <c r="D72" s="291"/>
      <c r="E72" s="291"/>
      <c r="O72" s="287"/>
    </row>
    <row r="73" spans="2:37" x14ac:dyDescent="0.25">
      <c r="B73" s="287"/>
      <c r="D73" s="456" t="s">
        <v>41</v>
      </c>
      <c r="E73" s="456"/>
      <c r="F73" s="457" t="s">
        <v>42</v>
      </c>
      <c r="G73" s="458"/>
      <c r="H73" s="457" t="s">
        <v>43</v>
      </c>
      <c r="I73" s="458"/>
      <c r="J73" s="457" t="s">
        <v>44</v>
      </c>
      <c r="K73" s="458"/>
      <c r="L73" s="457" t="s">
        <v>45</v>
      </c>
      <c r="M73" s="458"/>
      <c r="O73" s="287"/>
    </row>
    <row r="74" spans="2:37" x14ac:dyDescent="0.25">
      <c r="B74" s="287"/>
      <c r="D74" s="456"/>
      <c r="E74" s="456"/>
      <c r="F74" s="299" t="s">
        <v>51</v>
      </c>
      <c r="G74" s="299" t="s">
        <v>52</v>
      </c>
      <c r="H74" s="299" t="s">
        <v>51</v>
      </c>
      <c r="I74" s="299" t="s">
        <v>52</v>
      </c>
      <c r="J74" s="299" t="s">
        <v>51</v>
      </c>
      <c r="K74" s="299" t="s">
        <v>52</v>
      </c>
      <c r="L74" s="299" t="s">
        <v>51</v>
      </c>
      <c r="M74" s="299" t="s">
        <v>52</v>
      </c>
      <c r="O74" s="287"/>
    </row>
    <row r="75" spans="2:37" x14ac:dyDescent="0.25">
      <c r="B75" s="287"/>
      <c r="D75" s="454" t="s">
        <v>46</v>
      </c>
      <c r="E75" s="454"/>
      <c r="F75" s="300" t="s">
        <v>500</v>
      </c>
      <c r="G75" s="300" t="s">
        <v>500</v>
      </c>
      <c r="H75" s="300" t="s">
        <v>500</v>
      </c>
      <c r="I75" s="300" t="s">
        <v>500</v>
      </c>
      <c r="J75" s="300" t="s">
        <v>500</v>
      </c>
      <c r="K75" s="300" t="s">
        <v>500</v>
      </c>
      <c r="L75" s="300" t="s">
        <v>500</v>
      </c>
      <c r="M75" s="300" t="s">
        <v>500</v>
      </c>
      <c r="O75" s="287"/>
      <c r="AE75" s="286" t="s">
        <v>46</v>
      </c>
      <c r="AF75" s="286">
        <v>1</v>
      </c>
      <c r="AG75" s="286">
        <f>+IF(AF75&gt;=$G$71,1,0)</f>
        <v>0</v>
      </c>
      <c r="AH75" s="286">
        <f>+IF(AG75=0,0,IF(AG75=1,(SUM($AG$75:AG75)-1),1))</f>
        <v>0</v>
      </c>
      <c r="AI75" s="286">
        <f>+IF(AH75=0,0,IF(MOD(AH75,$U$69)=0,1,0))</f>
        <v>0</v>
      </c>
      <c r="AJ75" s="286">
        <f>+IF(AE75=$F$71,1,0)</f>
        <v>0</v>
      </c>
      <c r="AK75" s="286">
        <f>+MAX(AI75:AJ75)</f>
        <v>0</v>
      </c>
    </row>
    <row r="76" spans="2:37" x14ac:dyDescent="0.25">
      <c r="B76" s="287"/>
      <c r="D76" s="454" t="s">
        <v>40</v>
      </c>
      <c r="E76" s="454"/>
      <c r="F76" s="300" t="s">
        <v>500</v>
      </c>
      <c r="G76" s="300" t="s">
        <v>500</v>
      </c>
      <c r="H76" s="300" t="s">
        <v>500</v>
      </c>
      <c r="I76" s="300" t="s">
        <v>500</v>
      </c>
      <c r="J76" s="300" t="s">
        <v>500</v>
      </c>
      <c r="K76" s="300" t="s">
        <v>500</v>
      </c>
      <c r="L76" s="300" t="s">
        <v>500</v>
      </c>
      <c r="M76" s="300" t="s">
        <v>500</v>
      </c>
      <c r="O76" s="287"/>
      <c r="AE76" s="286" t="s">
        <v>40</v>
      </c>
      <c r="AF76" s="286">
        <v>2</v>
      </c>
      <c r="AG76" s="286">
        <f t="shared" ref="AG76:AG86" si="0">+IF(AF76&gt;=$G$71,1,0)</f>
        <v>0</v>
      </c>
      <c r="AH76" s="286">
        <f>+IF(AG76=0,0,IF(AG76=1,(SUM($AG$75:AG76)-1),1))</f>
        <v>0</v>
      </c>
      <c r="AI76" s="286">
        <f t="shared" ref="AI76:AI86" si="1">+IF(AH76=0,0,IF(MOD(AH76,$U$69)=0,1,0))</f>
        <v>0</v>
      </c>
      <c r="AJ76" s="286">
        <f t="shared" ref="AJ76:AJ86" si="2">+IF(AE76=$F$71,1,0)</f>
        <v>0</v>
      </c>
      <c r="AK76" s="286">
        <f t="shared" ref="AK76:AK86" si="3">+MAX(AI76:AJ76)</f>
        <v>0</v>
      </c>
    </row>
    <row r="77" spans="2:37" x14ac:dyDescent="0.25">
      <c r="B77" s="287"/>
      <c r="D77" s="454" t="s">
        <v>47</v>
      </c>
      <c r="E77" s="454"/>
      <c r="F77" s="300" t="s">
        <v>500</v>
      </c>
      <c r="G77" s="300" t="s">
        <v>500</v>
      </c>
      <c r="H77" s="300" t="s">
        <v>500</v>
      </c>
      <c r="I77" s="300" t="s">
        <v>500</v>
      </c>
      <c r="J77" s="300" t="s">
        <v>500</v>
      </c>
      <c r="K77" s="300" t="s">
        <v>500</v>
      </c>
      <c r="L77" s="300" t="s">
        <v>500</v>
      </c>
      <c r="M77" s="300" t="s">
        <v>500</v>
      </c>
      <c r="O77" s="287"/>
      <c r="AE77" s="286" t="s">
        <v>47</v>
      </c>
      <c r="AF77" s="286">
        <v>3</v>
      </c>
      <c r="AG77" s="286">
        <f t="shared" si="0"/>
        <v>0</v>
      </c>
      <c r="AH77" s="286">
        <f>+IF(AG77=0,0,IF(AG77=1,(SUM($AG$75:AG77)-1),1))</f>
        <v>0</v>
      </c>
      <c r="AI77" s="286">
        <f t="shared" si="1"/>
        <v>0</v>
      </c>
      <c r="AJ77" s="286">
        <f t="shared" si="2"/>
        <v>0</v>
      </c>
      <c r="AK77" s="286">
        <f t="shared" si="3"/>
        <v>0</v>
      </c>
    </row>
    <row r="78" spans="2:37" x14ac:dyDescent="0.25">
      <c r="B78" s="287"/>
      <c r="D78" s="454" t="s">
        <v>48</v>
      </c>
      <c r="E78" s="454"/>
      <c r="F78" s="300" t="s">
        <v>500</v>
      </c>
      <c r="G78" s="300">
        <v>0.29899999999999999</v>
      </c>
      <c r="H78" s="300">
        <v>0.3</v>
      </c>
      <c r="I78" s="300">
        <v>0.69899999999999995</v>
      </c>
      <c r="J78" s="300">
        <v>0.7</v>
      </c>
      <c r="K78" s="300">
        <v>0.89900000000000002</v>
      </c>
      <c r="L78" s="300">
        <v>0.9</v>
      </c>
      <c r="M78" s="300" t="s">
        <v>500</v>
      </c>
      <c r="O78" s="287"/>
      <c r="AE78" s="286" t="s">
        <v>48</v>
      </c>
      <c r="AF78" s="286">
        <v>4</v>
      </c>
      <c r="AG78" s="286">
        <f t="shared" si="0"/>
        <v>1</v>
      </c>
      <c r="AH78" s="286">
        <f>+IF(AG78=0,0,IF(AG78=1,(SUM($AG$75:AG78)-1),1))</f>
        <v>0</v>
      </c>
      <c r="AI78" s="286">
        <f t="shared" si="1"/>
        <v>0</v>
      </c>
      <c r="AJ78" s="286">
        <f t="shared" si="2"/>
        <v>0</v>
      </c>
      <c r="AK78" s="286">
        <f t="shared" si="3"/>
        <v>0</v>
      </c>
    </row>
    <row r="79" spans="2:37" x14ac:dyDescent="0.25">
      <c r="B79" s="287"/>
      <c r="D79" s="454" t="s">
        <v>49</v>
      </c>
      <c r="E79" s="454"/>
      <c r="F79" s="300"/>
      <c r="G79" s="300"/>
      <c r="H79" s="300"/>
      <c r="I79" s="300"/>
      <c r="J79" s="300"/>
      <c r="K79" s="300"/>
      <c r="L79" s="300"/>
      <c r="M79" s="300"/>
      <c r="O79" s="287"/>
      <c r="AE79" s="286" t="s">
        <v>49</v>
      </c>
      <c r="AF79" s="286">
        <v>5</v>
      </c>
      <c r="AG79" s="286">
        <f t="shared" si="0"/>
        <v>1</v>
      </c>
      <c r="AH79" s="286">
        <f>+IF(AG79=0,0,IF(AG79=1,(SUM($AG$75:AG79)-1),1))</f>
        <v>1</v>
      </c>
      <c r="AI79" s="286">
        <f t="shared" si="1"/>
        <v>1</v>
      </c>
      <c r="AJ79" s="286">
        <f t="shared" si="2"/>
        <v>0</v>
      </c>
      <c r="AK79" s="286">
        <f t="shared" si="3"/>
        <v>1</v>
      </c>
    </row>
    <row r="80" spans="2:37" x14ac:dyDescent="0.25">
      <c r="B80" s="287"/>
      <c r="D80" s="454" t="s">
        <v>50</v>
      </c>
      <c r="E80" s="454"/>
      <c r="F80" s="300"/>
      <c r="G80" s="300"/>
      <c r="H80" s="300"/>
      <c r="I80" s="300"/>
      <c r="J80" s="300"/>
      <c r="K80" s="300"/>
      <c r="L80" s="300"/>
      <c r="M80" s="300" t="s">
        <v>500</v>
      </c>
      <c r="O80" s="287"/>
      <c r="AE80" s="286" t="s">
        <v>50</v>
      </c>
      <c r="AF80" s="286">
        <v>6</v>
      </c>
      <c r="AG80" s="286">
        <f t="shared" si="0"/>
        <v>1</v>
      </c>
      <c r="AH80" s="286">
        <f>+IF(AG80=0,0,IF(AG80=1,(SUM($AG$75:AG80)-1),1))</f>
        <v>2</v>
      </c>
      <c r="AI80" s="286">
        <f t="shared" si="1"/>
        <v>1</v>
      </c>
      <c r="AJ80" s="286">
        <f t="shared" si="2"/>
        <v>1</v>
      </c>
      <c r="AK80" s="286">
        <f t="shared" si="3"/>
        <v>1</v>
      </c>
    </row>
    <row r="81" spans="2:37" x14ac:dyDescent="0.25">
      <c r="B81" s="287"/>
      <c r="D81" s="454" t="s">
        <v>53</v>
      </c>
      <c r="E81" s="454"/>
      <c r="F81" s="300" t="s">
        <v>500</v>
      </c>
      <c r="G81" s="300">
        <v>0.29899999999999999</v>
      </c>
      <c r="H81" s="300">
        <v>0.3</v>
      </c>
      <c r="I81" s="300">
        <v>0.69899999999999995</v>
      </c>
      <c r="J81" s="300">
        <v>0.7</v>
      </c>
      <c r="K81" s="300">
        <v>0.89900000000000002</v>
      </c>
      <c r="L81" s="300">
        <v>0.9</v>
      </c>
      <c r="M81" s="300" t="s">
        <v>500</v>
      </c>
      <c r="O81" s="287"/>
      <c r="AE81" s="286" t="s">
        <v>53</v>
      </c>
      <c r="AF81" s="286">
        <v>7</v>
      </c>
      <c r="AG81" s="286">
        <f t="shared" si="0"/>
        <v>1</v>
      </c>
      <c r="AH81" s="286">
        <f>+IF(AG81=0,0,IF(AG81=1,(SUM($AG$75:AG81)-1),1))</f>
        <v>3</v>
      </c>
      <c r="AI81" s="286">
        <f t="shared" si="1"/>
        <v>1</v>
      </c>
      <c r="AJ81" s="286">
        <f t="shared" si="2"/>
        <v>0</v>
      </c>
      <c r="AK81" s="286">
        <f t="shared" si="3"/>
        <v>1</v>
      </c>
    </row>
    <row r="82" spans="2:37" x14ac:dyDescent="0.25">
      <c r="B82" s="287"/>
      <c r="D82" s="454" t="s">
        <v>54</v>
      </c>
      <c r="E82" s="454"/>
      <c r="F82" s="300" t="s">
        <v>500</v>
      </c>
      <c r="G82" s="300">
        <v>0.29899999999999999</v>
      </c>
      <c r="H82" s="300">
        <v>0.3</v>
      </c>
      <c r="I82" s="300">
        <v>0.69899999999999995</v>
      </c>
      <c r="J82" s="300">
        <v>0.7</v>
      </c>
      <c r="K82" s="300">
        <v>0.94899999999999995</v>
      </c>
      <c r="L82" s="300">
        <v>0.95</v>
      </c>
      <c r="M82" s="300"/>
      <c r="O82" s="287"/>
      <c r="Q82" s="301"/>
      <c r="AE82" s="286" t="s">
        <v>54</v>
      </c>
      <c r="AF82" s="286">
        <v>8</v>
      </c>
      <c r="AG82" s="286">
        <f t="shared" si="0"/>
        <v>1</v>
      </c>
      <c r="AH82" s="286">
        <f>+IF(AG82=0,0,IF(AG82=1,(SUM($AG$75:AG82)-1),1))</f>
        <v>4</v>
      </c>
      <c r="AI82" s="286">
        <f t="shared" si="1"/>
        <v>1</v>
      </c>
      <c r="AJ82" s="286">
        <f t="shared" si="2"/>
        <v>0</v>
      </c>
      <c r="AK82" s="286">
        <f t="shared" si="3"/>
        <v>1</v>
      </c>
    </row>
    <row r="83" spans="2:37" x14ac:dyDescent="0.25">
      <c r="B83" s="287"/>
      <c r="D83" s="454" t="s">
        <v>55</v>
      </c>
      <c r="E83" s="454"/>
      <c r="F83" s="300" t="s">
        <v>500</v>
      </c>
      <c r="G83" s="300">
        <v>0.29899999999999999</v>
      </c>
      <c r="H83" s="300">
        <v>0.3</v>
      </c>
      <c r="I83" s="300">
        <v>0.69899999999999995</v>
      </c>
      <c r="J83" s="300">
        <v>0.7</v>
      </c>
      <c r="K83" s="300">
        <v>0.94899999999999995</v>
      </c>
      <c r="L83" s="300">
        <v>0.95</v>
      </c>
      <c r="M83" s="300"/>
      <c r="O83" s="287"/>
      <c r="Q83" s="301"/>
      <c r="AE83" s="286" t="s">
        <v>55</v>
      </c>
      <c r="AF83" s="286">
        <v>9</v>
      </c>
      <c r="AG83" s="286">
        <f t="shared" si="0"/>
        <v>1</v>
      </c>
      <c r="AH83" s="286">
        <f>+IF(AG83=0,0,IF(AG83=1,(SUM($AG$75:AG83)-1),1))</f>
        <v>5</v>
      </c>
      <c r="AI83" s="286">
        <f t="shared" si="1"/>
        <v>1</v>
      </c>
      <c r="AJ83" s="286">
        <f t="shared" si="2"/>
        <v>0</v>
      </c>
      <c r="AK83" s="286">
        <f t="shared" si="3"/>
        <v>1</v>
      </c>
    </row>
    <row r="84" spans="2:37" x14ac:dyDescent="0.25">
      <c r="B84" s="287"/>
      <c r="D84" s="454" t="s">
        <v>56</v>
      </c>
      <c r="E84" s="454"/>
      <c r="F84" s="300" t="s">
        <v>500</v>
      </c>
      <c r="G84" s="300">
        <v>0.29899999999999999</v>
      </c>
      <c r="H84" s="300">
        <v>0.3</v>
      </c>
      <c r="I84" s="300">
        <v>0.69899999999999995</v>
      </c>
      <c r="J84" s="300">
        <v>0.7</v>
      </c>
      <c r="K84" s="300">
        <v>0.94899999999999995</v>
      </c>
      <c r="L84" s="300">
        <v>0.95</v>
      </c>
      <c r="M84" s="300"/>
      <c r="O84" s="287"/>
      <c r="AE84" s="286" t="s">
        <v>56</v>
      </c>
      <c r="AF84" s="286">
        <v>10</v>
      </c>
      <c r="AG84" s="286">
        <f t="shared" si="0"/>
        <v>1</v>
      </c>
      <c r="AH84" s="286">
        <f>+IF(AG84=0,0,IF(AG84=1,(SUM($AG$75:AG84)-1),1))</f>
        <v>6</v>
      </c>
      <c r="AI84" s="286">
        <f t="shared" si="1"/>
        <v>1</v>
      </c>
      <c r="AJ84" s="286">
        <f t="shared" si="2"/>
        <v>0</v>
      </c>
      <c r="AK84" s="286">
        <f t="shared" si="3"/>
        <v>1</v>
      </c>
    </row>
    <row r="85" spans="2:37" x14ac:dyDescent="0.25">
      <c r="B85" s="287"/>
      <c r="D85" s="454" t="s">
        <v>57</v>
      </c>
      <c r="E85" s="454"/>
      <c r="F85" s="300" t="s">
        <v>500</v>
      </c>
      <c r="G85" s="300">
        <v>0.29899999999999999</v>
      </c>
      <c r="H85" s="300">
        <v>0.3</v>
      </c>
      <c r="I85" s="300">
        <v>0.69899999999999995</v>
      </c>
      <c r="J85" s="300">
        <v>0.7</v>
      </c>
      <c r="K85" s="300">
        <v>0.94899999999999995</v>
      </c>
      <c r="L85" s="300">
        <v>0.95</v>
      </c>
      <c r="M85" s="300"/>
      <c r="O85" s="287"/>
      <c r="AE85" s="286" t="s">
        <v>57</v>
      </c>
      <c r="AF85" s="286">
        <v>11</v>
      </c>
      <c r="AG85" s="286">
        <f t="shared" si="0"/>
        <v>1</v>
      </c>
      <c r="AH85" s="286">
        <f>+IF(AG85=0,0,IF(AG85=1,(SUM($AG$75:AG85)-1),1))</f>
        <v>7</v>
      </c>
      <c r="AI85" s="286">
        <f t="shared" si="1"/>
        <v>1</v>
      </c>
      <c r="AJ85" s="286">
        <f t="shared" si="2"/>
        <v>0</v>
      </c>
      <c r="AK85" s="286">
        <f t="shared" si="3"/>
        <v>1</v>
      </c>
    </row>
    <row r="86" spans="2:37" x14ac:dyDescent="0.25">
      <c r="B86" s="287"/>
      <c r="D86" s="454" t="s">
        <v>58</v>
      </c>
      <c r="E86" s="454"/>
      <c r="F86" s="300"/>
      <c r="G86" s="300">
        <v>0.29899999999999999</v>
      </c>
      <c r="H86" s="300">
        <v>0.3</v>
      </c>
      <c r="I86" s="300">
        <v>0.69899999999999995</v>
      </c>
      <c r="J86" s="300">
        <v>0.7</v>
      </c>
      <c r="K86" s="300">
        <v>0.999</v>
      </c>
      <c r="L86" s="300">
        <v>1</v>
      </c>
      <c r="M86" s="300"/>
      <c r="O86" s="287"/>
      <c r="AE86" s="286" t="s">
        <v>58</v>
      </c>
      <c r="AF86" s="302">
        <v>12</v>
      </c>
      <c r="AG86" s="286">
        <f t="shared" si="0"/>
        <v>1</v>
      </c>
      <c r="AH86" s="286">
        <f>+IF(AG86=0,0,IF(AG86=1,(SUM($AG$75:AG86)-1),1))</f>
        <v>8</v>
      </c>
      <c r="AI86" s="286">
        <f t="shared" si="1"/>
        <v>1</v>
      </c>
      <c r="AJ86" s="286">
        <f t="shared" si="2"/>
        <v>0</v>
      </c>
      <c r="AK86" s="286">
        <f t="shared" si="3"/>
        <v>1</v>
      </c>
    </row>
    <row r="87" spans="2:37" ht="3.75" customHeight="1" x14ac:dyDescent="0.25">
      <c r="B87" s="287"/>
      <c r="O87" s="287"/>
    </row>
    <row r="88" spans="2:37" ht="179.25" customHeight="1" x14ac:dyDescent="0.25">
      <c r="B88" s="287"/>
      <c r="D88" s="432" t="s">
        <v>59</v>
      </c>
      <c r="E88" s="433"/>
      <c r="F88" s="434" t="s">
        <v>2203</v>
      </c>
      <c r="G88" s="435"/>
      <c r="H88" s="435"/>
      <c r="I88" s="435"/>
      <c r="J88" s="435"/>
      <c r="K88" s="435"/>
      <c r="L88" s="435"/>
      <c r="M88" s="436"/>
      <c r="O88" s="287"/>
    </row>
    <row r="89" spans="2:37" ht="3.95" customHeight="1" x14ac:dyDescent="0.25">
      <c r="B89" s="287"/>
      <c r="O89" s="287"/>
    </row>
    <row r="90" spans="2:37" ht="3" customHeight="1" x14ac:dyDescent="0.25">
      <c r="B90" s="287"/>
      <c r="C90" s="287"/>
      <c r="D90" s="287"/>
      <c r="E90" s="287"/>
      <c r="F90" s="287"/>
      <c r="G90" s="287"/>
      <c r="H90" s="287"/>
      <c r="I90" s="287"/>
      <c r="J90" s="287"/>
      <c r="K90" s="287"/>
      <c r="L90" s="287"/>
      <c r="M90" s="287"/>
      <c r="N90" s="287"/>
      <c r="O90" s="287"/>
    </row>
    <row r="91" spans="2:37" ht="3" customHeight="1" x14ac:dyDescent="0.25"/>
    <row r="92" spans="2:37" ht="3" customHeight="1" x14ac:dyDescent="0.25">
      <c r="B92" s="287"/>
      <c r="C92" s="287"/>
      <c r="D92" s="287"/>
      <c r="E92" s="287"/>
      <c r="F92" s="287"/>
      <c r="G92" s="287"/>
      <c r="H92" s="287"/>
      <c r="I92" s="287"/>
      <c r="J92" s="287"/>
      <c r="K92" s="287"/>
      <c r="L92" s="287"/>
      <c r="M92" s="287"/>
      <c r="N92" s="287"/>
      <c r="O92" s="287"/>
    </row>
    <row r="93" spans="2:37" ht="3.95" customHeight="1" x14ac:dyDescent="0.25">
      <c r="B93" s="287"/>
      <c r="O93" s="287"/>
    </row>
    <row r="94" spans="2:37" x14ac:dyDescent="0.25">
      <c r="B94" s="287"/>
      <c r="D94" s="291" t="s">
        <v>60</v>
      </c>
      <c r="O94" s="287"/>
    </row>
    <row r="95" spans="2:37" ht="3.95" customHeight="1" x14ac:dyDescent="0.25">
      <c r="B95" s="287"/>
      <c r="O95" s="287"/>
    </row>
    <row r="96" spans="2:37" ht="20.100000000000001" customHeight="1" x14ac:dyDescent="0.25">
      <c r="B96" s="287"/>
      <c r="D96" s="431" t="s">
        <v>61</v>
      </c>
      <c r="E96" s="431"/>
      <c r="O96" s="287"/>
    </row>
    <row r="97" spans="2:15" ht="28.5" customHeight="1" x14ac:dyDescent="0.25">
      <c r="B97" s="287"/>
      <c r="D97" s="453" t="s">
        <v>35</v>
      </c>
      <c r="E97" s="453"/>
      <c r="F97" s="438" t="s">
        <v>2204</v>
      </c>
      <c r="G97" s="438"/>
      <c r="H97" s="438"/>
      <c r="I97" s="438"/>
      <c r="J97" s="438"/>
      <c r="K97" s="438"/>
      <c r="L97" s="438"/>
      <c r="M97" s="438"/>
      <c r="O97" s="287"/>
    </row>
    <row r="98" spans="2:15" ht="28.5" customHeight="1" x14ac:dyDescent="0.25">
      <c r="B98" s="287"/>
      <c r="D98" s="453" t="s">
        <v>36</v>
      </c>
      <c r="E98" s="453"/>
      <c r="F98" s="438" t="s">
        <v>2205</v>
      </c>
      <c r="G98" s="438"/>
      <c r="H98" s="438"/>
      <c r="I98" s="438"/>
      <c r="J98" s="438"/>
      <c r="K98" s="438"/>
      <c r="L98" s="438"/>
      <c r="M98" s="438"/>
      <c r="O98" s="287"/>
    </row>
    <row r="99" spans="2:15" ht="3.95" customHeight="1" x14ac:dyDescent="0.25">
      <c r="B99" s="287"/>
      <c r="O99" s="287"/>
    </row>
    <row r="100" spans="2:15" ht="191.25" customHeight="1" x14ac:dyDescent="0.25">
      <c r="B100" s="287"/>
      <c r="D100" s="432" t="s">
        <v>62</v>
      </c>
      <c r="E100" s="433"/>
      <c r="F100" s="434" t="s">
        <v>2196</v>
      </c>
      <c r="G100" s="464"/>
      <c r="H100" s="464"/>
      <c r="I100" s="464"/>
      <c r="J100" s="464"/>
      <c r="K100" s="464"/>
      <c r="L100" s="464"/>
      <c r="M100" s="465"/>
      <c r="O100" s="287"/>
    </row>
    <row r="101" spans="2:15" ht="3.95" customHeight="1" x14ac:dyDescent="0.25">
      <c r="B101" s="287"/>
      <c r="O101" s="287"/>
    </row>
    <row r="102" spans="2:15" ht="19.5" customHeight="1" x14ac:dyDescent="0.25">
      <c r="B102" s="287"/>
      <c r="D102" s="459" t="s">
        <v>64</v>
      </c>
      <c r="E102" s="460"/>
      <c r="F102" s="303" t="s">
        <v>65</v>
      </c>
      <c r="G102" s="288" t="s">
        <v>496</v>
      </c>
      <c r="K102" s="304"/>
      <c r="O102" s="287"/>
    </row>
    <row r="103" spans="2:15" ht="19.5" customHeight="1" x14ac:dyDescent="0.25">
      <c r="B103" s="287"/>
      <c r="D103" s="461"/>
      <c r="E103" s="462"/>
      <c r="F103" s="303" t="s">
        <v>66</v>
      </c>
      <c r="G103" s="288" t="s">
        <v>127</v>
      </c>
      <c r="K103" s="305"/>
      <c r="O103" s="287"/>
    </row>
    <row r="104" spans="2:15" ht="27.75" customHeight="1" x14ac:dyDescent="0.25">
      <c r="B104" s="287"/>
      <c r="D104" s="461"/>
      <c r="E104" s="462"/>
      <c r="F104" s="303" t="s">
        <v>67</v>
      </c>
      <c r="G104" s="463" t="s">
        <v>1726</v>
      </c>
      <c r="H104" s="464"/>
      <c r="I104" s="464"/>
      <c r="J104" s="464"/>
      <c r="K104" s="464"/>
      <c r="L104" s="464"/>
      <c r="M104" s="465"/>
      <c r="O104" s="287"/>
    </row>
    <row r="105" spans="2:15" ht="3.95" customHeight="1" x14ac:dyDescent="0.25">
      <c r="B105" s="287"/>
      <c r="O105" s="287"/>
    </row>
    <row r="106" spans="2:15" ht="197.25" customHeight="1" x14ac:dyDescent="0.25">
      <c r="B106" s="287"/>
      <c r="D106" s="432" t="s">
        <v>68</v>
      </c>
      <c r="E106" s="433"/>
      <c r="F106" s="434" t="s">
        <v>69</v>
      </c>
      <c r="G106" s="435"/>
      <c r="H106" s="435"/>
      <c r="I106" s="435"/>
      <c r="J106" s="435"/>
      <c r="K106" s="435"/>
      <c r="L106" s="435"/>
      <c r="M106" s="436"/>
      <c r="O106" s="287"/>
    </row>
    <row r="107" spans="2:15" ht="3.95" customHeight="1" x14ac:dyDescent="0.25">
      <c r="B107" s="287"/>
      <c r="O107" s="287"/>
    </row>
    <row r="108" spans="2:15" ht="17.25" customHeight="1" x14ac:dyDescent="0.25">
      <c r="B108" s="287"/>
      <c r="D108" s="459" t="s">
        <v>2040</v>
      </c>
      <c r="E108" s="460"/>
      <c r="F108" s="303" t="s">
        <v>2041</v>
      </c>
      <c r="G108" s="463" t="s">
        <v>2197</v>
      </c>
      <c r="H108" s="464"/>
      <c r="I108" s="464"/>
      <c r="J108" s="464"/>
      <c r="K108" s="464"/>
      <c r="L108" s="464"/>
      <c r="M108" s="465"/>
      <c r="O108" s="287"/>
    </row>
    <row r="109" spans="2:15" ht="17.25" customHeight="1" x14ac:dyDescent="0.25">
      <c r="B109" s="287"/>
      <c r="D109" s="461"/>
      <c r="E109" s="462"/>
      <c r="F109" s="303" t="s">
        <v>2042</v>
      </c>
      <c r="G109" s="463"/>
      <c r="H109" s="464"/>
      <c r="I109" s="464"/>
      <c r="J109" s="464"/>
      <c r="K109" s="464"/>
      <c r="L109" s="464"/>
      <c r="M109" s="465"/>
      <c r="O109" s="287"/>
    </row>
    <row r="110" spans="2:15" ht="17.25" customHeight="1" x14ac:dyDescent="0.25">
      <c r="B110" s="287"/>
      <c r="D110" s="461"/>
      <c r="E110" s="462"/>
      <c r="F110" s="303" t="s">
        <v>2043</v>
      </c>
      <c r="G110" s="463" t="str">
        <f>+IF(M24="Si","Coordinador(a) Centro Zonal","")</f>
        <v/>
      </c>
      <c r="H110" s="464"/>
      <c r="I110" s="464"/>
      <c r="J110" s="464"/>
      <c r="K110" s="464"/>
      <c r="L110" s="464"/>
      <c r="M110" s="465"/>
      <c r="O110" s="287"/>
    </row>
    <row r="111" spans="2:15" ht="3.95" customHeight="1" x14ac:dyDescent="0.25">
      <c r="B111" s="287"/>
      <c r="O111" s="287"/>
    </row>
    <row r="112" spans="2:15" ht="3" customHeight="1" x14ac:dyDescent="0.25">
      <c r="B112" s="287"/>
      <c r="C112" s="287"/>
      <c r="D112" s="287"/>
      <c r="E112" s="287"/>
      <c r="F112" s="287"/>
      <c r="G112" s="287"/>
      <c r="H112" s="287"/>
      <c r="I112" s="287"/>
      <c r="J112" s="287"/>
      <c r="K112" s="287"/>
      <c r="L112" s="287"/>
      <c r="M112" s="287"/>
      <c r="N112" s="287"/>
      <c r="O112" s="287"/>
    </row>
    <row r="113" spans="13:13" x14ac:dyDescent="0.25">
      <c r="M113" s="298" t="s">
        <v>70</v>
      </c>
    </row>
  </sheetData>
  <mergeCells count="81">
    <mergeCell ref="D108:E110"/>
    <mergeCell ref="G108:M108"/>
    <mergeCell ref="G109:M109"/>
    <mergeCell ref="G110:M110"/>
    <mergeCell ref="D100:E100"/>
    <mergeCell ref="F100:M100"/>
    <mergeCell ref="D102:E104"/>
    <mergeCell ref="G104:M104"/>
    <mergeCell ref="D106:E106"/>
    <mergeCell ref="F106:M106"/>
    <mergeCell ref="D98:E98"/>
    <mergeCell ref="F98:M98"/>
    <mergeCell ref="D81:E81"/>
    <mergeCell ref="D82:E82"/>
    <mergeCell ref="D83:E83"/>
    <mergeCell ref="D84:E84"/>
    <mergeCell ref="D85:E85"/>
    <mergeCell ref="D86:E86"/>
    <mergeCell ref="D88:E88"/>
    <mergeCell ref="F88:M88"/>
    <mergeCell ref="D96:E96"/>
    <mergeCell ref="D97:E97"/>
    <mergeCell ref="F97:M97"/>
    <mergeCell ref="D80:E80"/>
    <mergeCell ref="D61:E61"/>
    <mergeCell ref="F61:M61"/>
    <mergeCell ref="D67:E67"/>
    <mergeCell ref="D71:E71"/>
    <mergeCell ref="D73:E74"/>
    <mergeCell ref="F73:G73"/>
    <mergeCell ref="H73:I73"/>
    <mergeCell ref="J73:K73"/>
    <mergeCell ref="L73:M73"/>
    <mergeCell ref="D75:E75"/>
    <mergeCell ref="D76:E76"/>
    <mergeCell ref="D77:E77"/>
    <mergeCell ref="D78:E78"/>
    <mergeCell ref="D79:E79"/>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22:E22"/>
    <mergeCell ref="G22:H22"/>
    <mergeCell ref="K22:L22"/>
    <mergeCell ref="D23:E23"/>
    <mergeCell ref="G23:H23"/>
    <mergeCell ref="K23:L23"/>
    <mergeCell ref="C3:N5"/>
    <mergeCell ref="D10:E10"/>
    <mergeCell ref="D12:E12"/>
    <mergeCell ref="F12:M12"/>
    <mergeCell ref="D14:E14"/>
    <mergeCell ref="F14:M14"/>
  </mergeCells>
  <conditionalFormatting sqref="F44:M49">
    <cfRule type="expression" dxfId="2547" priority="17">
      <formula>+IF($F$43="no",1,0)</formula>
    </cfRule>
  </conditionalFormatting>
  <conditionalFormatting sqref="F32:M33">
    <cfRule type="expression" dxfId="2546" priority="16">
      <formula>+IF($Q$30="NA",1,0)</formula>
    </cfRule>
  </conditionalFormatting>
  <conditionalFormatting sqref="F33:M33">
    <cfRule type="expression" dxfId="2545" priority="15">
      <formula>+IF($Q$33=0,1,0)</formula>
    </cfRule>
  </conditionalFormatting>
  <conditionalFormatting sqref="F47:M47">
    <cfRule type="expression" dxfId="2544" priority="14">
      <formula>+IF($Q$47=0,1,0)</formula>
    </cfRule>
  </conditionalFormatting>
  <conditionalFormatting sqref="F73:G73">
    <cfRule type="cellIs" dxfId="2543" priority="12" operator="equal">
      <formula>"optimo"</formula>
    </cfRule>
    <cfRule type="cellIs" dxfId="2542" priority="13" operator="equal">
      <formula>"critico"</formula>
    </cfRule>
  </conditionalFormatting>
  <conditionalFormatting sqref="H73:I73">
    <cfRule type="cellIs" dxfId="2541" priority="10" operator="equal">
      <formula>"Adecuado"</formula>
    </cfRule>
    <cfRule type="cellIs" dxfId="2540" priority="11" operator="equal">
      <formula>"en riesgo"</formula>
    </cfRule>
  </conditionalFormatting>
  <conditionalFormatting sqref="J73:K73">
    <cfRule type="cellIs" dxfId="2539" priority="8" operator="equal">
      <formula>"Adecuado"</formula>
    </cfRule>
    <cfRule type="cellIs" dxfId="2538" priority="9" operator="equal">
      <formula>"en riesgo"</formula>
    </cfRule>
  </conditionalFormatting>
  <conditionalFormatting sqref="L73:M73">
    <cfRule type="cellIs" dxfId="2537" priority="6" operator="equal">
      <formula>"optimo"</formula>
    </cfRule>
    <cfRule type="cellIs" dxfId="2536" priority="7" operator="equal">
      <formula>"critico"</formula>
    </cfRule>
  </conditionalFormatting>
  <conditionalFormatting sqref="F75:M81 F85 F83:J84 F82 M83:M84">
    <cfRule type="expression" dxfId="2535" priority="5">
      <formula>+IF($AK75=0,1)</formula>
    </cfRule>
  </conditionalFormatting>
  <conditionalFormatting sqref="F103:G104">
    <cfRule type="expression" dxfId="2534" priority="4">
      <formula>+IF($G$102="No",1,0)</formula>
    </cfRule>
  </conditionalFormatting>
  <conditionalFormatting sqref="F51">
    <cfRule type="expression" dxfId="2533" priority="3">
      <formula>+IF($F$43="no",1,0)</formula>
    </cfRule>
  </conditionalFormatting>
  <conditionalFormatting sqref="I51">
    <cfRule type="expression" dxfId="2532" priority="2">
      <formula>+IF($F$51="no",1,0)</formula>
    </cfRule>
  </conditionalFormatting>
  <conditionalFormatting sqref="L83:L84">
    <cfRule type="expression" dxfId="2531" priority="1">
      <formula>+IF($AK83=0,1)</formula>
    </cfRule>
  </conditionalFormatting>
  <pageMargins left="0.70866141732283472" right="0.70866141732283472" top="0.74803149606299213" bottom="0.74803149606299213" header="0.31496062992125984" footer="0.31496062992125984"/>
  <pageSetup scale="73" orientation="portrait" horizontalDpi="4294967295" verticalDpi="4294967295" r:id="rId1"/>
  <rowBreaks count="1" manualBreakCount="1">
    <brk id="64" max="16383" man="1"/>
  </rowBreaks>
  <colBreaks count="1" manualBreakCount="1">
    <brk id="15" max="1048575" man="1"/>
  </colBreaks>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6">
    <tabColor rgb="FF75C4FF"/>
  </sheetPr>
  <dimension ref="B1:AV113"/>
  <sheetViews>
    <sheetView topLeftCell="A64" zoomScaleNormal="100" workbookViewId="0">
      <selection activeCell="H86" sqref="H86"/>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205</v>
      </c>
      <c r="O10" s="2"/>
    </row>
    <row r="11" spans="2:24" ht="3.95" customHeight="1" x14ac:dyDescent="0.25">
      <c r="B11" s="2"/>
      <c r="D11" s="6"/>
      <c r="O11" s="2"/>
    </row>
    <row r="12" spans="2:24" ht="36" customHeight="1" x14ac:dyDescent="0.25">
      <c r="B12" s="2"/>
      <c r="D12" s="338" t="s">
        <v>5</v>
      </c>
      <c r="E12" s="339"/>
      <c r="F12" s="340" t="s">
        <v>206</v>
      </c>
      <c r="G12" s="341"/>
      <c r="H12" s="341"/>
      <c r="I12" s="341"/>
      <c r="J12" s="341"/>
      <c r="K12" s="341"/>
      <c r="L12" s="341"/>
      <c r="M12" s="342"/>
      <c r="O12" s="2"/>
      <c r="W12" s="3" t="str">
        <f>+F23</f>
        <v>Trimestral</v>
      </c>
      <c r="X12" s="3" t="str">
        <f>+F71</f>
        <v>Marzo</v>
      </c>
    </row>
    <row r="13" spans="2:24" ht="3.95" customHeight="1" x14ac:dyDescent="0.25">
      <c r="B13" s="2"/>
      <c r="O13" s="2"/>
    </row>
    <row r="14" spans="2:24" ht="36" customHeight="1" x14ac:dyDescent="0.25">
      <c r="B14" s="2"/>
      <c r="D14" s="338" t="s">
        <v>6</v>
      </c>
      <c r="E14" s="339"/>
      <c r="F14" s="340" t="s">
        <v>864</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17">
        <v>0.98</v>
      </c>
      <c r="G22" s="337" t="s">
        <v>9</v>
      </c>
      <c r="H22" s="337"/>
      <c r="I22" s="17">
        <v>1</v>
      </c>
      <c r="K22" s="337" t="s">
        <v>10</v>
      </c>
      <c r="L22" s="337"/>
      <c r="M22" s="9" t="s">
        <v>496</v>
      </c>
      <c r="O22" s="2"/>
    </row>
    <row r="23" spans="2:17" ht="19.5" customHeight="1" x14ac:dyDescent="0.25">
      <c r="B23" s="2"/>
      <c r="D23" s="337" t="s">
        <v>11</v>
      </c>
      <c r="E23" s="337"/>
      <c r="F23" s="4" t="s">
        <v>71</v>
      </c>
      <c r="G23" s="337" t="s">
        <v>12</v>
      </c>
      <c r="H23" s="337"/>
      <c r="I23" s="4" t="s">
        <v>497</v>
      </c>
      <c r="K23" s="337" t="s">
        <v>13</v>
      </c>
      <c r="L23" s="337"/>
      <c r="M23" s="9" t="s">
        <v>496</v>
      </c>
      <c r="O23" s="2"/>
    </row>
    <row r="24" spans="2:17" ht="20.100000000000001" customHeight="1" x14ac:dyDescent="0.25">
      <c r="B24" s="2"/>
      <c r="D24" s="337" t="s">
        <v>14</v>
      </c>
      <c r="E24" s="337"/>
      <c r="F24" s="4" t="s">
        <v>81</v>
      </c>
      <c r="G24" s="337" t="s">
        <v>15</v>
      </c>
      <c r="H24" s="337"/>
      <c r="I24" s="4" t="s">
        <v>103</v>
      </c>
      <c r="K24" s="337" t="s">
        <v>16</v>
      </c>
      <c r="L24" s="337"/>
      <c r="M24" s="9" t="s">
        <v>496</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716</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proteccion</v>
      </c>
    </row>
    <row r="31" spans="2:17" ht="24" customHeight="1" x14ac:dyDescent="0.25">
      <c r="B31" s="2"/>
      <c r="D31" s="347"/>
      <c r="E31" s="348"/>
      <c r="F31" s="4" t="s">
        <v>202</v>
      </c>
      <c r="G31" s="340" t="s">
        <v>203</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500</v>
      </c>
      <c r="G33" s="340"/>
      <c r="H33" s="341"/>
      <c r="I33" s="341"/>
      <c r="J33" s="341"/>
      <c r="K33" s="341"/>
      <c r="L33" s="341"/>
      <c r="M33" s="342"/>
      <c r="O33" s="2"/>
      <c r="Q33" s="3" t="str">
        <f>+IFERROR(IF(VLOOKUP(G33,base!$A$26:$C$40,3,FALSE)=F31,1,0),"")</f>
        <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1715</v>
      </c>
      <c r="G35" s="340" t="s">
        <v>1591</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501</v>
      </c>
      <c r="G45" s="340" t="s">
        <v>502</v>
      </c>
      <c r="H45" s="341"/>
      <c r="I45" s="341"/>
      <c r="J45" s="341"/>
      <c r="K45" s="341"/>
      <c r="L45" s="341"/>
      <c r="M45" s="342"/>
      <c r="O45" s="2"/>
      <c r="Q45" s="3" t="str">
        <f>+IFERROR(VLOOKUP(G45,base!$A$41:$C$45,3,FALSE),"")</f>
        <v>misional</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503</v>
      </c>
      <c r="G47" s="340" t="s">
        <v>504</v>
      </c>
      <c r="H47" s="341"/>
      <c r="I47" s="341"/>
      <c r="J47" s="341"/>
      <c r="K47" s="341"/>
      <c r="L47" s="341"/>
      <c r="M47" s="342"/>
      <c r="O47" s="2"/>
      <c r="Q47" s="3">
        <f>+IF(VLOOKUP(G47,base!$A$46:$C$66,3,FALSE)=F45,1,0)</f>
        <v>1</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786</v>
      </c>
      <c r="G49" s="340" t="s">
        <v>717</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8"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63.75" customHeight="1" x14ac:dyDescent="0.25">
      <c r="B59" s="2"/>
      <c r="D59" s="337" t="s">
        <v>34</v>
      </c>
      <c r="E59" s="337"/>
      <c r="F59" s="344" t="s">
        <v>865</v>
      </c>
      <c r="G59" s="344"/>
      <c r="H59" s="344"/>
      <c r="I59" s="344"/>
      <c r="J59" s="344"/>
      <c r="K59" s="344"/>
      <c r="L59" s="344"/>
      <c r="M59" s="344"/>
      <c r="O59" s="2"/>
    </row>
    <row r="60" spans="2:15" ht="38.25" customHeight="1" x14ac:dyDescent="0.25">
      <c r="B60" s="2"/>
      <c r="D60" s="359" t="s">
        <v>35</v>
      </c>
      <c r="E60" s="359"/>
      <c r="F60" s="344" t="s">
        <v>866</v>
      </c>
      <c r="G60" s="344"/>
      <c r="H60" s="344"/>
      <c r="I60" s="344"/>
      <c r="J60" s="344"/>
      <c r="K60" s="344"/>
      <c r="L60" s="344"/>
      <c r="M60" s="344"/>
      <c r="O60" s="2"/>
    </row>
    <row r="61" spans="2:15" ht="38.25" customHeight="1" x14ac:dyDescent="0.25">
      <c r="B61" s="2"/>
      <c r="D61" s="359" t="s">
        <v>36</v>
      </c>
      <c r="E61" s="359"/>
      <c r="F61" s="344" t="s">
        <v>867</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43" t="s">
        <v>39</v>
      </c>
      <c r="E71" s="343"/>
      <c r="F71" s="4" t="s">
        <v>47</v>
      </c>
      <c r="G71" s="3">
        <v>3</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v>0.69899999999999995</v>
      </c>
      <c r="H77" s="16">
        <v>0.7</v>
      </c>
      <c r="I77" s="16">
        <v>0.89900000000000002</v>
      </c>
      <c r="J77" s="16">
        <v>0.9</v>
      </c>
      <c r="K77" s="16">
        <v>0.999</v>
      </c>
      <c r="L77" s="16" t="s">
        <v>500</v>
      </c>
      <c r="M77" s="16">
        <v>1</v>
      </c>
      <c r="O77" s="2"/>
      <c r="AE77" s="3" t="s">
        <v>47</v>
      </c>
      <c r="AF77" s="3">
        <v>3</v>
      </c>
      <c r="AG77" s="3">
        <f t="shared" si="0"/>
        <v>1</v>
      </c>
      <c r="AH77" s="3">
        <f>+IF(AG77=0,0,IF(AG77=1,(SUM($AG$75:AG77)-1),1))</f>
        <v>0</v>
      </c>
      <c r="AI77" s="3">
        <f t="shared" si="1"/>
        <v>0</v>
      </c>
      <c r="AJ77" s="3">
        <f t="shared" si="2"/>
        <v>1</v>
      </c>
      <c r="AK77" s="3">
        <f t="shared" si="3"/>
        <v>1</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2</v>
      </c>
      <c r="AI79" s="3">
        <f t="shared" si="1"/>
        <v>0</v>
      </c>
      <c r="AJ79" s="3">
        <f t="shared" si="2"/>
        <v>0</v>
      </c>
      <c r="AK79" s="3">
        <f t="shared" si="3"/>
        <v>0</v>
      </c>
    </row>
    <row r="80" spans="2:37" x14ac:dyDescent="0.25">
      <c r="B80" s="2"/>
      <c r="D80" s="360" t="s">
        <v>50</v>
      </c>
      <c r="E80" s="360"/>
      <c r="F80" s="16" t="s">
        <v>500</v>
      </c>
      <c r="G80" s="16">
        <v>0.69899999999999995</v>
      </c>
      <c r="H80" s="16">
        <v>0.7</v>
      </c>
      <c r="I80" s="16">
        <v>0.89900000000000002</v>
      </c>
      <c r="J80" s="16">
        <v>0.9</v>
      </c>
      <c r="K80" s="16">
        <v>0.999</v>
      </c>
      <c r="L80" s="16" t="s">
        <v>500</v>
      </c>
      <c r="M80" s="16">
        <v>1</v>
      </c>
      <c r="O80" s="2"/>
      <c r="AE80" s="3" t="s">
        <v>50</v>
      </c>
      <c r="AF80" s="3">
        <v>6</v>
      </c>
      <c r="AG80" s="3">
        <f t="shared" si="0"/>
        <v>1</v>
      </c>
      <c r="AH80" s="3">
        <f>+IF(AG80=0,0,IF(AG80=1,(SUM($AG$75:AG80)-1),1))</f>
        <v>3</v>
      </c>
      <c r="AI80" s="3">
        <f t="shared" si="1"/>
        <v>1</v>
      </c>
      <c r="AJ80" s="3">
        <f t="shared" si="2"/>
        <v>0</v>
      </c>
      <c r="AK80" s="3">
        <f t="shared" si="3"/>
        <v>1</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4</v>
      </c>
      <c r="AI81" s="3">
        <f t="shared" si="1"/>
        <v>0</v>
      </c>
      <c r="AJ81" s="3">
        <f t="shared" si="2"/>
        <v>0</v>
      </c>
      <c r="AK81" s="3">
        <f t="shared" si="3"/>
        <v>0</v>
      </c>
    </row>
    <row r="82" spans="2:37" x14ac:dyDescent="0.25">
      <c r="B82" s="2"/>
      <c r="D82" s="360" t="s">
        <v>54</v>
      </c>
      <c r="E82" s="360"/>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60" t="s">
        <v>55</v>
      </c>
      <c r="E83" s="360"/>
      <c r="F83" s="16" t="s">
        <v>500</v>
      </c>
      <c r="G83" s="16">
        <v>0.69899999999999995</v>
      </c>
      <c r="H83" s="16">
        <v>0.7</v>
      </c>
      <c r="I83" s="16">
        <v>0.89900000000000002</v>
      </c>
      <c r="J83" s="16">
        <v>0.9</v>
      </c>
      <c r="K83" s="16">
        <v>0.999</v>
      </c>
      <c r="L83" s="16" t="s">
        <v>500</v>
      </c>
      <c r="M83" s="16">
        <v>1</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60" t="s">
        <v>58</v>
      </c>
      <c r="E86" s="360"/>
      <c r="F86" s="16" t="s">
        <v>500</v>
      </c>
      <c r="G86" s="16">
        <v>0.69899999999999995</v>
      </c>
      <c r="H86" s="16">
        <v>0.7</v>
      </c>
      <c r="I86" s="16">
        <v>0.89900000000000002</v>
      </c>
      <c r="J86" s="16">
        <v>0.9</v>
      </c>
      <c r="K86" s="16">
        <v>0.999</v>
      </c>
      <c r="L86" s="16" t="s">
        <v>500</v>
      </c>
      <c r="M86" s="16">
        <v>1</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128.25" customHeight="1" x14ac:dyDescent="0.25">
      <c r="B88" s="2"/>
      <c r="D88" s="338" t="s">
        <v>59</v>
      </c>
      <c r="E88" s="339"/>
      <c r="F88" s="340" t="s">
        <v>771</v>
      </c>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2" customHeight="1" x14ac:dyDescent="0.25">
      <c r="B97" s="2"/>
      <c r="D97" s="359" t="s">
        <v>35</v>
      </c>
      <c r="E97" s="359"/>
      <c r="F97" s="344" t="s">
        <v>770</v>
      </c>
      <c r="G97" s="344"/>
      <c r="H97" s="344"/>
      <c r="I97" s="344"/>
      <c r="J97" s="344"/>
      <c r="K97" s="344"/>
      <c r="L97" s="344"/>
      <c r="M97" s="344"/>
      <c r="O97" s="2"/>
    </row>
    <row r="98" spans="2:15" ht="42" customHeight="1" x14ac:dyDescent="0.25">
      <c r="B98" s="2"/>
      <c r="D98" s="359" t="s">
        <v>36</v>
      </c>
      <c r="E98" s="359"/>
      <c r="F98" s="344" t="s">
        <v>770</v>
      </c>
      <c r="G98" s="344"/>
      <c r="H98" s="344"/>
      <c r="I98" s="344"/>
      <c r="J98" s="344"/>
      <c r="K98" s="344"/>
      <c r="L98" s="344"/>
      <c r="M98" s="344"/>
      <c r="O98" s="2"/>
    </row>
    <row r="99" spans="2:15" ht="3.95" customHeight="1" x14ac:dyDescent="0.25">
      <c r="B99" s="2"/>
      <c r="O99" s="2"/>
    </row>
    <row r="100" spans="2:15" ht="121.5" customHeight="1" x14ac:dyDescent="0.25">
      <c r="B100" s="2"/>
      <c r="D100" s="338" t="s">
        <v>62</v>
      </c>
      <c r="E100" s="339"/>
      <c r="F100" s="340" t="s">
        <v>718</v>
      </c>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1</v>
      </c>
      <c r="K102" s="20"/>
      <c r="O102" s="2"/>
    </row>
    <row r="103" spans="2:15" ht="19.5" customHeight="1" x14ac:dyDescent="0.25">
      <c r="B103" s="2"/>
      <c r="D103" s="331"/>
      <c r="E103" s="332"/>
      <c r="F103" s="19" t="s">
        <v>66</v>
      </c>
      <c r="G103" s="18" t="s">
        <v>1758</v>
      </c>
      <c r="K103" s="21"/>
      <c r="O103" s="2"/>
    </row>
    <row r="104" spans="2:15" ht="27.75" customHeight="1" x14ac:dyDescent="0.25">
      <c r="B104" s="2"/>
      <c r="D104" s="331"/>
      <c r="E104" s="332"/>
      <c r="F104" s="19" t="s">
        <v>67</v>
      </c>
      <c r="G104" s="466" t="s">
        <v>1757</v>
      </c>
      <c r="H104" s="467"/>
      <c r="I104" s="467"/>
      <c r="J104" s="467"/>
      <c r="K104" s="467"/>
      <c r="L104" s="467"/>
      <c r="M104" s="468"/>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466" t="str">
        <f>+VLOOKUP(H10,tablero!$P$5:$R$201,3,FALSE)</f>
        <v xml:space="preserve">Subdirector(a) Restablecimiento de Derechos </v>
      </c>
      <c r="H108" s="467"/>
      <c r="I108" s="467"/>
      <c r="J108" s="467"/>
      <c r="K108" s="467"/>
      <c r="L108" s="467"/>
      <c r="M108" s="468"/>
      <c r="O108" s="2"/>
    </row>
    <row r="109" spans="2:15" ht="17.25" customHeight="1" x14ac:dyDescent="0.25">
      <c r="B109" s="2"/>
      <c r="D109" s="331"/>
      <c r="E109" s="332"/>
      <c r="F109" s="19" t="s">
        <v>2042</v>
      </c>
      <c r="G109" s="466" t="str">
        <f>+IF(M23="Si","Coordinador(a) Planeación y Sistemas","")</f>
        <v>Coordinador(a) Planeación y Sistemas</v>
      </c>
      <c r="H109" s="467"/>
      <c r="I109" s="467"/>
      <c r="J109" s="467"/>
      <c r="K109" s="467"/>
      <c r="L109" s="467"/>
      <c r="M109" s="468"/>
      <c r="O109" s="2"/>
    </row>
    <row r="110" spans="2:15" ht="17.25" customHeight="1" x14ac:dyDescent="0.25">
      <c r="B110" s="2"/>
      <c r="D110" s="331"/>
      <c r="E110" s="332"/>
      <c r="F110" s="19" t="s">
        <v>2043</v>
      </c>
      <c r="G110" s="466" t="str">
        <f>+IF(M24="Si","Coordinador(a) Centro Zonal","")</f>
        <v>Coordinador(a) Centro Zonal</v>
      </c>
      <c r="H110" s="467"/>
      <c r="I110" s="467"/>
      <c r="J110" s="467"/>
      <c r="K110" s="467"/>
      <c r="L110" s="467"/>
      <c r="M110" s="468"/>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530" priority="31">
      <formula>+IF($F$43="no",1,0)</formula>
    </cfRule>
  </conditionalFormatting>
  <conditionalFormatting sqref="F32:M33">
    <cfRule type="expression" dxfId="2529" priority="30">
      <formula>+IF($Q$30="NA",1,0)</formula>
    </cfRule>
  </conditionalFormatting>
  <conditionalFormatting sqref="F33:M33">
    <cfRule type="expression" dxfId="2528" priority="29">
      <formula>+IF($Q$33=0,1,0)</formula>
    </cfRule>
  </conditionalFormatting>
  <conditionalFormatting sqref="F47:M47">
    <cfRule type="expression" dxfId="2527" priority="28">
      <formula>+IF($Q$47=0,1,0)</formula>
    </cfRule>
  </conditionalFormatting>
  <conditionalFormatting sqref="F73:G73">
    <cfRule type="cellIs" dxfId="2526" priority="16" operator="equal">
      <formula>"optimo"</formula>
    </cfRule>
    <cfRule type="cellIs" dxfId="2525" priority="17" operator="equal">
      <formula>"critico"</formula>
    </cfRule>
  </conditionalFormatting>
  <conditionalFormatting sqref="H73:I73">
    <cfRule type="cellIs" dxfId="2524" priority="14" operator="equal">
      <formula>"Adecuado"</formula>
    </cfRule>
    <cfRule type="cellIs" dxfId="2523" priority="15" operator="equal">
      <formula>"en riesgo"</formula>
    </cfRule>
  </conditionalFormatting>
  <conditionalFormatting sqref="J73:K73">
    <cfRule type="cellIs" dxfId="2522" priority="12" operator="equal">
      <formula>"Adecuado"</formula>
    </cfRule>
    <cfRule type="cellIs" dxfId="2521" priority="13" operator="equal">
      <formula>"en riesgo"</formula>
    </cfRule>
  </conditionalFormatting>
  <conditionalFormatting sqref="L73:M73">
    <cfRule type="cellIs" dxfId="2520" priority="10" operator="equal">
      <formula>"optimo"</formula>
    </cfRule>
    <cfRule type="cellIs" dxfId="2519" priority="11" operator="equal">
      <formula>"critico"</formula>
    </cfRule>
  </conditionalFormatting>
  <conditionalFormatting sqref="F75:M86">
    <cfRule type="expression" dxfId="2518" priority="9">
      <formula>+IF($AK75=0,1)</formula>
    </cfRule>
  </conditionalFormatting>
  <conditionalFormatting sqref="F103:G104">
    <cfRule type="expression" dxfId="2517" priority="8">
      <formula>+IF($G$102="No",1,0)</formula>
    </cfRule>
  </conditionalFormatting>
  <conditionalFormatting sqref="F51">
    <cfRule type="expression" dxfId="2516" priority="7">
      <formula>+IF($F$43="no",1,0)</formula>
    </cfRule>
  </conditionalFormatting>
  <conditionalFormatting sqref="I51">
    <cfRule type="expression" dxfId="2515" priority="6">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7">
    <tabColor rgb="FF0070C0"/>
  </sheetPr>
  <dimension ref="B1:AV113"/>
  <sheetViews>
    <sheetView topLeftCell="A49" zoomScaleNormal="100" workbookViewId="0">
      <selection activeCell="A80" sqref="A80:XFD86"/>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207</v>
      </c>
      <c r="O10" s="2"/>
    </row>
    <row r="11" spans="2:24" ht="3.95" customHeight="1" x14ac:dyDescent="0.25">
      <c r="B11" s="2"/>
      <c r="D11" s="6"/>
      <c r="O11" s="2"/>
    </row>
    <row r="12" spans="2:24" ht="36" customHeight="1" x14ac:dyDescent="0.25">
      <c r="B12" s="2"/>
      <c r="D12" s="338" t="s">
        <v>5</v>
      </c>
      <c r="E12" s="339"/>
      <c r="F12" s="340" t="s">
        <v>208</v>
      </c>
      <c r="G12" s="341"/>
      <c r="H12" s="341"/>
      <c r="I12" s="341"/>
      <c r="J12" s="341"/>
      <c r="K12" s="341"/>
      <c r="L12" s="341"/>
      <c r="M12" s="342"/>
      <c r="O12" s="2"/>
      <c r="W12" s="3" t="str">
        <f>+F23</f>
        <v>Mensual</v>
      </c>
      <c r="X12" s="3" t="str">
        <f>+F71</f>
        <v>Enero</v>
      </c>
    </row>
    <row r="13" spans="2:24" ht="3.95" customHeight="1" x14ac:dyDescent="0.25">
      <c r="B13" s="2"/>
      <c r="O13" s="2"/>
    </row>
    <row r="14" spans="2:24" ht="36" customHeight="1" x14ac:dyDescent="0.25">
      <c r="B14" s="2"/>
      <c r="D14" s="338" t="s">
        <v>6</v>
      </c>
      <c r="E14" s="339"/>
      <c r="F14" s="340" t="s">
        <v>859</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17">
        <v>0.94</v>
      </c>
      <c r="G22" s="337" t="s">
        <v>9</v>
      </c>
      <c r="H22" s="337"/>
      <c r="I22" s="17">
        <v>1</v>
      </c>
      <c r="K22" s="337" t="s">
        <v>10</v>
      </c>
      <c r="L22" s="337"/>
      <c r="M22" s="9" t="s">
        <v>496</v>
      </c>
      <c r="O22" s="2"/>
    </row>
    <row r="23" spans="2:17" ht="19.5" customHeight="1" x14ac:dyDescent="0.25">
      <c r="B23" s="2"/>
      <c r="D23" s="337" t="s">
        <v>11</v>
      </c>
      <c r="E23" s="337"/>
      <c r="F23" s="4" t="s">
        <v>84</v>
      </c>
      <c r="G23" s="337" t="s">
        <v>12</v>
      </c>
      <c r="H23" s="337"/>
      <c r="I23" s="4" t="s">
        <v>497</v>
      </c>
      <c r="K23" s="337" t="s">
        <v>13</v>
      </c>
      <c r="L23" s="337"/>
      <c r="M23" s="9" t="s">
        <v>496</v>
      </c>
      <c r="O23" s="2"/>
    </row>
    <row r="24" spans="2:17" ht="20.100000000000001" customHeight="1" x14ac:dyDescent="0.25">
      <c r="B24" s="2"/>
      <c r="D24" s="337" t="s">
        <v>14</v>
      </c>
      <c r="E24" s="337"/>
      <c r="F24" s="4" t="s">
        <v>498</v>
      </c>
      <c r="G24" s="337" t="s">
        <v>15</v>
      </c>
      <c r="H24" s="337"/>
      <c r="I24" s="4" t="s">
        <v>103</v>
      </c>
      <c r="K24" s="337" t="s">
        <v>16</v>
      </c>
      <c r="L24" s="337"/>
      <c r="M24" s="9" t="s">
        <v>496</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716</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proteccion</v>
      </c>
    </row>
    <row r="31" spans="2:17" ht="24" customHeight="1" x14ac:dyDescent="0.25">
      <c r="B31" s="2"/>
      <c r="D31" s="347"/>
      <c r="E31" s="348"/>
      <c r="F31" s="4" t="s">
        <v>202</v>
      </c>
      <c r="G31" s="340" t="s">
        <v>203</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792</v>
      </c>
      <c r="G33" s="340" t="s">
        <v>719</v>
      </c>
      <c r="H33" s="341"/>
      <c r="I33" s="341"/>
      <c r="J33" s="341"/>
      <c r="K33" s="341"/>
      <c r="L33" s="341"/>
      <c r="M33" s="342"/>
      <c r="O33" s="2"/>
      <c r="Q33" s="3">
        <f>+IFERROR(IF(VLOOKUP(G33,base!$A$26:$C$40,3,FALSE)=F31,1,0),"")</f>
        <v>1</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1715</v>
      </c>
      <c r="G35" s="340" t="s">
        <v>1591</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501</v>
      </c>
      <c r="G45" s="340" t="s">
        <v>515</v>
      </c>
      <c r="H45" s="341"/>
      <c r="I45" s="341"/>
      <c r="J45" s="341"/>
      <c r="K45" s="341"/>
      <c r="L45" s="341"/>
      <c r="M45" s="342"/>
      <c r="O45" s="2"/>
      <c r="Q45" s="3" t="str">
        <f>+IFERROR(VLOOKUP(G45,base!$A$41:$C$45,3,FALSE),"")</f>
        <v>misional</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503</v>
      </c>
      <c r="G47" s="340" t="s">
        <v>504</v>
      </c>
      <c r="H47" s="341"/>
      <c r="I47" s="341"/>
      <c r="J47" s="341"/>
      <c r="K47" s="341"/>
      <c r="L47" s="341"/>
      <c r="M47" s="342"/>
      <c r="O47" s="2"/>
      <c r="Q47" s="3">
        <f>+IF(VLOOKUP(G47,base!$A$46:$C$66,3,FALSE)=F45,1,0)</f>
        <v>1</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786</v>
      </c>
      <c r="G49" s="340" t="s">
        <v>717</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8"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42.75" customHeight="1" x14ac:dyDescent="0.25">
      <c r="B59" s="2"/>
      <c r="D59" s="337" t="s">
        <v>34</v>
      </c>
      <c r="E59" s="337"/>
      <c r="F59" s="344" t="s">
        <v>860</v>
      </c>
      <c r="G59" s="344"/>
      <c r="H59" s="344"/>
      <c r="I59" s="344"/>
      <c r="J59" s="344"/>
      <c r="K59" s="344"/>
      <c r="L59" s="344"/>
      <c r="M59" s="344"/>
      <c r="O59" s="2"/>
    </row>
    <row r="60" spans="2:15" ht="38.25" customHeight="1" x14ac:dyDescent="0.25">
      <c r="B60" s="2"/>
      <c r="D60" s="359" t="s">
        <v>35</v>
      </c>
      <c r="E60" s="359"/>
      <c r="F60" s="344" t="s">
        <v>861</v>
      </c>
      <c r="G60" s="344"/>
      <c r="H60" s="344"/>
      <c r="I60" s="344"/>
      <c r="J60" s="344"/>
      <c r="K60" s="344"/>
      <c r="L60" s="344"/>
      <c r="M60" s="344"/>
      <c r="O60" s="2"/>
    </row>
    <row r="61" spans="2:15" ht="38.25" customHeight="1" x14ac:dyDescent="0.25">
      <c r="B61" s="2"/>
      <c r="D61" s="359" t="s">
        <v>36</v>
      </c>
      <c r="E61" s="359"/>
      <c r="F61" s="344" t="s">
        <v>862</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43" t="s">
        <v>39</v>
      </c>
      <c r="E71" s="343"/>
      <c r="F71" s="4" t="s">
        <v>46</v>
      </c>
      <c r="G71" s="3">
        <v>1</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1768</v>
      </c>
      <c r="H75" s="16">
        <v>0.95</v>
      </c>
      <c r="I75" s="16">
        <v>0.97899999999999998</v>
      </c>
      <c r="J75" s="16">
        <v>0.98</v>
      </c>
      <c r="K75" s="16">
        <v>0.999</v>
      </c>
      <c r="L75" s="16" t="s">
        <v>500</v>
      </c>
      <c r="M75" s="16">
        <v>1</v>
      </c>
      <c r="O75" s="2"/>
      <c r="AE75" s="3" t="s">
        <v>46</v>
      </c>
      <c r="AF75" s="3">
        <v>1</v>
      </c>
      <c r="AG75" s="3">
        <f>+IF(AF75&gt;=$G$71,1,0)</f>
        <v>1</v>
      </c>
      <c r="AH75" s="3">
        <f>+IF(AG75=0,0,IF(AG75=1,(SUM($AG$75:AG75)-1),1))</f>
        <v>0</v>
      </c>
      <c r="AI75" s="3">
        <f>+IF(AH75=0,0,IF(MOD(AH75,$U$69)=0,1,0))</f>
        <v>0</v>
      </c>
      <c r="AJ75" s="3">
        <f>+IF(AE75=$F$71,1,0)</f>
        <v>1</v>
      </c>
      <c r="AK75" s="3">
        <f>+MAX(AI75:AJ75)</f>
        <v>1</v>
      </c>
    </row>
    <row r="76" spans="2:37" x14ac:dyDescent="0.25">
      <c r="B76" s="2"/>
      <c r="D76" s="360" t="s">
        <v>40</v>
      </c>
      <c r="E76" s="360"/>
      <c r="F76" s="16" t="s">
        <v>500</v>
      </c>
      <c r="G76" s="16" t="s">
        <v>1768</v>
      </c>
      <c r="H76" s="16">
        <v>0.95</v>
      </c>
      <c r="I76" s="16">
        <v>0.97899999999999998</v>
      </c>
      <c r="J76" s="16">
        <v>0.98</v>
      </c>
      <c r="K76" s="16">
        <v>0.999</v>
      </c>
      <c r="L76" s="16" t="s">
        <v>500</v>
      </c>
      <c r="M76" s="16">
        <v>1</v>
      </c>
      <c r="O76" s="2"/>
      <c r="AE76" s="3" t="s">
        <v>40</v>
      </c>
      <c r="AF76" s="3">
        <v>2</v>
      </c>
      <c r="AG76" s="3">
        <f t="shared" ref="AG76:AG86" si="0">+IF(AF76&gt;=$G$71,1,0)</f>
        <v>1</v>
      </c>
      <c r="AH76" s="3">
        <f>+IF(AG76=0,0,IF(AG76=1,(SUM($AG$75:AG76)-1),1))</f>
        <v>1</v>
      </c>
      <c r="AI76" s="3">
        <f t="shared" ref="AI76:AI86" si="1">+IF(AH76=0,0,IF(MOD(AH76,$U$69)=0,1,0))</f>
        <v>1</v>
      </c>
      <c r="AJ76" s="3">
        <f t="shared" ref="AJ76:AJ86" si="2">+IF(AE76=$F$71,1,0)</f>
        <v>0</v>
      </c>
      <c r="AK76" s="3">
        <f t="shared" ref="AK76:AK86" si="3">+MAX(AI76:AJ76)</f>
        <v>1</v>
      </c>
    </row>
    <row r="77" spans="2:37" x14ac:dyDescent="0.25">
      <c r="B77" s="2"/>
      <c r="D77" s="360" t="s">
        <v>47</v>
      </c>
      <c r="E77" s="360"/>
      <c r="F77" s="16" t="s">
        <v>500</v>
      </c>
      <c r="G77" s="16" t="s">
        <v>1768</v>
      </c>
      <c r="H77" s="16">
        <v>0.95</v>
      </c>
      <c r="I77" s="16">
        <v>0.97899999999999998</v>
      </c>
      <c r="J77" s="16">
        <v>0.98</v>
      </c>
      <c r="K77" s="16">
        <v>0.999</v>
      </c>
      <c r="L77" s="16" t="s">
        <v>500</v>
      </c>
      <c r="M77" s="16">
        <v>1</v>
      </c>
      <c r="O77" s="2"/>
      <c r="AE77" s="3" t="s">
        <v>47</v>
      </c>
      <c r="AF77" s="3">
        <v>3</v>
      </c>
      <c r="AG77" s="3">
        <f t="shared" si="0"/>
        <v>1</v>
      </c>
      <c r="AH77" s="3">
        <f>+IF(AG77=0,0,IF(AG77=1,(SUM($AG$75:AG77)-1),1))</f>
        <v>2</v>
      </c>
      <c r="AI77" s="3">
        <f t="shared" si="1"/>
        <v>1</v>
      </c>
      <c r="AJ77" s="3">
        <f t="shared" si="2"/>
        <v>0</v>
      </c>
      <c r="AK77" s="3">
        <f t="shared" si="3"/>
        <v>1</v>
      </c>
    </row>
    <row r="78" spans="2:37" x14ac:dyDescent="0.25">
      <c r="B78" s="2"/>
      <c r="D78" s="360" t="s">
        <v>48</v>
      </c>
      <c r="E78" s="360"/>
      <c r="F78" s="16" t="s">
        <v>500</v>
      </c>
      <c r="G78" s="16" t="s">
        <v>1768</v>
      </c>
      <c r="H78" s="16">
        <v>0.95</v>
      </c>
      <c r="I78" s="16">
        <v>0.97899999999999998</v>
      </c>
      <c r="J78" s="16">
        <v>0.98</v>
      </c>
      <c r="K78" s="16">
        <v>0.999</v>
      </c>
      <c r="L78" s="16" t="s">
        <v>500</v>
      </c>
      <c r="M78" s="16">
        <v>1</v>
      </c>
      <c r="O78" s="2"/>
      <c r="AE78" s="3" t="s">
        <v>48</v>
      </c>
      <c r="AF78" s="3">
        <v>4</v>
      </c>
      <c r="AG78" s="3">
        <f t="shared" si="0"/>
        <v>1</v>
      </c>
      <c r="AH78" s="3">
        <f>+IF(AG78=0,0,IF(AG78=1,(SUM($AG$75:AG78)-1),1))</f>
        <v>3</v>
      </c>
      <c r="AI78" s="3">
        <f t="shared" si="1"/>
        <v>1</v>
      </c>
      <c r="AJ78" s="3">
        <f t="shared" si="2"/>
        <v>0</v>
      </c>
      <c r="AK78" s="3">
        <f t="shared" si="3"/>
        <v>1</v>
      </c>
    </row>
    <row r="79" spans="2:37" x14ac:dyDescent="0.25">
      <c r="B79" s="2"/>
      <c r="D79" s="360" t="s">
        <v>49</v>
      </c>
      <c r="E79" s="360"/>
      <c r="F79" s="16" t="s">
        <v>500</v>
      </c>
      <c r="G79" s="16" t="s">
        <v>1768</v>
      </c>
      <c r="H79" s="16">
        <v>0.95</v>
      </c>
      <c r="I79" s="16">
        <v>0.97899999999999998</v>
      </c>
      <c r="J79" s="16">
        <v>0.98</v>
      </c>
      <c r="K79" s="16">
        <v>0.999</v>
      </c>
      <c r="L79" s="16" t="s">
        <v>500</v>
      </c>
      <c r="M79" s="16">
        <v>1</v>
      </c>
      <c r="O79" s="2"/>
      <c r="AE79" s="3" t="s">
        <v>49</v>
      </c>
      <c r="AF79" s="3">
        <v>5</v>
      </c>
      <c r="AG79" s="3">
        <f t="shared" si="0"/>
        <v>1</v>
      </c>
      <c r="AH79" s="3">
        <f>+IF(AG79=0,0,IF(AG79=1,(SUM($AG$75:AG79)-1),1))</f>
        <v>4</v>
      </c>
      <c r="AI79" s="3">
        <f t="shared" si="1"/>
        <v>1</v>
      </c>
      <c r="AJ79" s="3">
        <f t="shared" si="2"/>
        <v>0</v>
      </c>
      <c r="AK79" s="3">
        <f t="shared" si="3"/>
        <v>1</v>
      </c>
    </row>
    <row r="80" spans="2:37" x14ac:dyDescent="0.25">
      <c r="B80" s="2"/>
      <c r="D80" s="360" t="s">
        <v>50</v>
      </c>
      <c r="E80" s="360"/>
      <c r="F80" s="16" t="s">
        <v>500</v>
      </c>
      <c r="G80" s="16" t="s">
        <v>1768</v>
      </c>
      <c r="H80" s="16">
        <v>0.95</v>
      </c>
      <c r="I80" s="16">
        <v>0.97899999999999998</v>
      </c>
      <c r="J80" s="16">
        <v>0.98</v>
      </c>
      <c r="K80" s="16">
        <v>0.999</v>
      </c>
      <c r="L80" s="16" t="s">
        <v>500</v>
      </c>
      <c r="M80" s="16">
        <v>1</v>
      </c>
      <c r="O80" s="2"/>
      <c r="AE80" s="3" t="s">
        <v>50</v>
      </c>
      <c r="AF80" s="3">
        <v>6</v>
      </c>
      <c r="AG80" s="3">
        <f t="shared" si="0"/>
        <v>1</v>
      </c>
      <c r="AH80" s="3">
        <f>+IF(AG80=0,0,IF(AG80=1,(SUM($AG$75:AG80)-1),1))</f>
        <v>5</v>
      </c>
      <c r="AI80" s="3">
        <f t="shared" si="1"/>
        <v>1</v>
      </c>
      <c r="AJ80" s="3">
        <f t="shared" si="2"/>
        <v>0</v>
      </c>
      <c r="AK80" s="3">
        <f t="shared" si="3"/>
        <v>1</v>
      </c>
    </row>
    <row r="81" spans="2:37" x14ac:dyDescent="0.25">
      <c r="B81" s="2"/>
      <c r="D81" s="360" t="s">
        <v>53</v>
      </c>
      <c r="E81" s="360"/>
      <c r="F81" s="16" t="s">
        <v>500</v>
      </c>
      <c r="G81" s="16" t="s">
        <v>1768</v>
      </c>
      <c r="H81" s="16">
        <v>0.95</v>
      </c>
      <c r="I81" s="16">
        <v>0.97899999999999998</v>
      </c>
      <c r="J81" s="16">
        <v>0.98</v>
      </c>
      <c r="K81" s="16">
        <v>0.999</v>
      </c>
      <c r="L81" s="16" t="s">
        <v>500</v>
      </c>
      <c r="M81" s="16">
        <v>1</v>
      </c>
      <c r="O81" s="2"/>
      <c r="AE81" s="3" t="s">
        <v>53</v>
      </c>
      <c r="AF81" s="3">
        <v>7</v>
      </c>
      <c r="AG81" s="3">
        <f t="shared" si="0"/>
        <v>1</v>
      </c>
      <c r="AH81" s="3">
        <f>+IF(AG81=0,0,IF(AG81=1,(SUM($AG$75:AG81)-1),1))</f>
        <v>6</v>
      </c>
      <c r="AI81" s="3">
        <f t="shared" si="1"/>
        <v>1</v>
      </c>
      <c r="AJ81" s="3">
        <f t="shared" si="2"/>
        <v>0</v>
      </c>
      <c r="AK81" s="3">
        <f t="shared" si="3"/>
        <v>1</v>
      </c>
    </row>
    <row r="82" spans="2:37" x14ac:dyDescent="0.25">
      <c r="B82" s="2"/>
      <c r="D82" s="360" t="s">
        <v>54</v>
      </c>
      <c r="E82" s="360"/>
      <c r="F82" s="16" t="s">
        <v>500</v>
      </c>
      <c r="G82" s="16" t="s">
        <v>1768</v>
      </c>
      <c r="H82" s="16">
        <v>0.95</v>
      </c>
      <c r="I82" s="16">
        <v>0.97899999999999998</v>
      </c>
      <c r="J82" s="16">
        <v>0.98</v>
      </c>
      <c r="K82" s="16">
        <v>0.999</v>
      </c>
      <c r="L82" s="16" t="s">
        <v>500</v>
      </c>
      <c r="M82" s="16">
        <v>1</v>
      </c>
      <c r="O82" s="2"/>
      <c r="AE82" s="3" t="s">
        <v>54</v>
      </c>
      <c r="AF82" s="3">
        <v>8</v>
      </c>
      <c r="AG82" s="3">
        <f t="shared" si="0"/>
        <v>1</v>
      </c>
      <c r="AH82" s="3">
        <f>+IF(AG82=0,0,IF(AG82=1,(SUM($AG$75:AG82)-1),1))</f>
        <v>7</v>
      </c>
      <c r="AI82" s="3">
        <f t="shared" si="1"/>
        <v>1</v>
      </c>
      <c r="AJ82" s="3">
        <f t="shared" si="2"/>
        <v>0</v>
      </c>
      <c r="AK82" s="3">
        <f t="shared" si="3"/>
        <v>1</v>
      </c>
    </row>
    <row r="83" spans="2:37" x14ac:dyDescent="0.25">
      <c r="B83" s="2"/>
      <c r="D83" s="360" t="s">
        <v>55</v>
      </c>
      <c r="E83" s="360"/>
      <c r="F83" s="16" t="s">
        <v>500</v>
      </c>
      <c r="G83" s="16" t="s">
        <v>1768</v>
      </c>
      <c r="H83" s="16">
        <v>0.95</v>
      </c>
      <c r="I83" s="16">
        <v>0.97899999999999998</v>
      </c>
      <c r="J83" s="16">
        <v>0.98</v>
      </c>
      <c r="K83" s="16">
        <v>0.999</v>
      </c>
      <c r="L83" s="16" t="s">
        <v>500</v>
      </c>
      <c r="M83" s="16">
        <v>1</v>
      </c>
      <c r="O83" s="2"/>
      <c r="AE83" s="3" t="s">
        <v>55</v>
      </c>
      <c r="AF83" s="3">
        <v>9</v>
      </c>
      <c r="AG83" s="3">
        <f t="shared" si="0"/>
        <v>1</v>
      </c>
      <c r="AH83" s="3">
        <f>+IF(AG83=0,0,IF(AG83=1,(SUM($AG$75:AG83)-1),1))</f>
        <v>8</v>
      </c>
      <c r="AI83" s="3">
        <f t="shared" si="1"/>
        <v>1</v>
      </c>
      <c r="AJ83" s="3">
        <f t="shared" si="2"/>
        <v>0</v>
      </c>
      <c r="AK83" s="3">
        <f t="shared" si="3"/>
        <v>1</v>
      </c>
    </row>
    <row r="84" spans="2:37" x14ac:dyDescent="0.25">
      <c r="B84" s="2"/>
      <c r="D84" s="360" t="s">
        <v>56</v>
      </c>
      <c r="E84" s="360"/>
      <c r="F84" s="16" t="s">
        <v>500</v>
      </c>
      <c r="G84" s="16" t="s">
        <v>1768</v>
      </c>
      <c r="H84" s="16">
        <v>0.95</v>
      </c>
      <c r="I84" s="16">
        <v>0.97899999999999998</v>
      </c>
      <c r="J84" s="16">
        <v>0.98</v>
      </c>
      <c r="K84" s="16">
        <v>0.999</v>
      </c>
      <c r="L84" s="16" t="s">
        <v>500</v>
      </c>
      <c r="M84" s="16">
        <v>1</v>
      </c>
      <c r="O84" s="2"/>
      <c r="AE84" s="3" t="s">
        <v>56</v>
      </c>
      <c r="AF84" s="3">
        <v>10</v>
      </c>
      <c r="AG84" s="3">
        <f t="shared" si="0"/>
        <v>1</v>
      </c>
      <c r="AH84" s="3">
        <f>+IF(AG84=0,0,IF(AG84=1,(SUM($AG$75:AG84)-1),1))</f>
        <v>9</v>
      </c>
      <c r="AI84" s="3">
        <f t="shared" si="1"/>
        <v>1</v>
      </c>
      <c r="AJ84" s="3">
        <f t="shared" si="2"/>
        <v>0</v>
      </c>
      <c r="AK84" s="3">
        <f t="shared" si="3"/>
        <v>1</v>
      </c>
    </row>
    <row r="85" spans="2:37" x14ac:dyDescent="0.25">
      <c r="B85" s="2"/>
      <c r="D85" s="360" t="s">
        <v>57</v>
      </c>
      <c r="E85" s="360"/>
      <c r="F85" s="16" t="s">
        <v>500</v>
      </c>
      <c r="G85" s="16" t="s">
        <v>1768</v>
      </c>
      <c r="H85" s="16">
        <v>0.95</v>
      </c>
      <c r="I85" s="16">
        <v>0.97899999999999998</v>
      </c>
      <c r="J85" s="16">
        <v>0.98</v>
      </c>
      <c r="K85" s="16">
        <v>0.999</v>
      </c>
      <c r="L85" s="16" t="s">
        <v>500</v>
      </c>
      <c r="M85" s="16">
        <v>1</v>
      </c>
      <c r="O85" s="2"/>
      <c r="AE85" s="3" t="s">
        <v>57</v>
      </c>
      <c r="AF85" s="3">
        <v>11</v>
      </c>
      <c r="AG85" s="3">
        <f t="shared" si="0"/>
        <v>1</v>
      </c>
      <c r="AH85" s="3">
        <f>+IF(AG85=0,0,IF(AG85=1,(SUM($AG$75:AG85)-1),1))</f>
        <v>10</v>
      </c>
      <c r="AI85" s="3">
        <f t="shared" si="1"/>
        <v>1</v>
      </c>
      <c r="AJ85" s="3">
        <f t="shared" si="2"/>
        <v>0</v>
      </c>
      <c r="AK85" s="3">
        <f t="shared" si="3"/>
        <v>1</v>
      </c>
    </row>
    <row r="86" spans="2:37" x14ac:dyDescent="0.25">
      <c r="B86" s="2"/>
      <c r="D86" s="360" t="s">
        <v>58</v>
      </c>
      <c r="E86" s="360"/>
      <c r="F86" s="16" t="s">
        <v>500</v>
      </c>
      <c r="G86" s="16" t="s">
        <v>1768</v>
      </c>
      <c r="H86" s="16">
        <v>0.95</v>
      </c>
      <c r="I86" s="16">
        <v>0.97899999999999998</v>
      </c>
      <c r="J86" s="16">
        <v>0.98</v>
      </c>
      <c r="K86" s="16">
        <v>0.999</v>
      </c>
      <c r="L86" s="16" t="s">
        <v>500</v>
      </c>
      <c r="M86" s="16">
        <v>1</v>
      </c>
      <c r="O86" s="2"/>
      <c r="AE86" s="3" t="s">
        <v>58</v>
      </c>
      <c r="AF86" s="65">
        <v>12</v>
      </c>
      <c r="AG86" s="3">
        <f t="shared" si="0"/>
        <v>1</v>
      </c>
      <c r="AH86" s="3">
        <f>+IF(AG86=0,0,IF(AG86=1,(SUM($AG$75:AG86)-1),1))</f>
        <v>11</v>
      </c>
      <c r="AI86" s="3">
        <f t="shared" si="1"/>
        <v>1</v>
      </c>
      <c r="AJ86" s="3">
        <f t="shared" si="2"/>
        <v>0</v>
      </c>
      <c r="AK86" s="3">
        <f t="shared" si="3"/>
        <v>1</v>
      </c>
    </row>
    <row r="87" spans="2:37" ht="3.75" customHeight="1" x14ac:dyDescent="0.25">
      <c r="B87" s="2"/>
      <c r="O87" s="2"/>
    </row>
    <row r="88" spans="2:37" ht="87" customHeight="1" x14ac:dyDescent="0.25">
      <c r="B88" s="2"/>
      <c r="D88" s="338" t="s">
        <v>59</v>
      </c>
      <c r="E88" s="339"/>
      <c r="F88" s="340" t="s">
        <v>772</v>
      </c>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2" customHeight="1" x14ac:dyDescent="0.25">
      <c r="B97" s="2"/>
      <c r="D97" s="359" t="s">
        <v>35</v>
      </c>
      <c r="E97" s="359"/>
      <c r="F97" s="344" t="s">
        <v>863</v>
      </c>
      <c r="G97" s="344"/>
      <c r="H97" s="344"/>
      <c r="I97" s="344"/>
      <c r="J97" s="344"/>
      <c r="K97" s="344"/>
      <c r="L97" s="344"/>
      <c r="M97" s="344"/>
      <c r="O97" s="2"/>
    </row>
    <row r="98" spans="2:15" ht="42" customHeight="1" x14ac:dyDescent="0.25">
      <c r="B98" s="2"/>
      <c r="D98" s="359" t="s">
        <v>36</v>
      </c>
      <c r="E98" s="359"/>
      <c r="F98" s="344" t="s">
        <v>863</v>
      </c>
      <c r="G98" s="344"/>
      <c r="H98" s="344"/>
      <c r="I98" s="344"/>
      <c r="J98" s="344"/>
      <c r="K98" s="344"/>
      <c r="L98" s="344"/>
      <c r="M98" s="344"/>
      <c r="O98" s="2"/>
    </row>
    <row r="99" spans="2:15" ht="3.95" customHeight="1" x14ac:dyDescent="0.25">
      <c r="B99" s="2"/>
      <c r="O99" s="2"/>
    </row>
    <row r="100" spans="2:15" ht="197.25" customHeight="1" x14ac:dyDescent="0.25">
      <c r="B100" s="2"/>
      <c r="D100" s="338" t="s">
        <v>62</v>
      </c>
      <c r="E100" s="339"/>
      <c r="F100" s="340" t="s">
        <v>720</v>
      </c>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1</v>
      </c>
      <c r="K102" s="20"/>
      <c r="O102" s="2"/>
    </row>
    <row r="103" spans="2:15" ht="19.5" customHeight="1" x14ac:dyDescent="0.25">
      <c r="B103" s="2"/>
      <c r="D103" s="331"/>
      <c r="E103" s="332"/>
      <c r="F103" s="19" t="s">
        <v>66</v>
      </c>
      <c r="G103" s="4" t="s">
        <v>1760</v>
      </c>
      <c r="K103" s="21"/>
      <c r="O103" s="2"/>
    </row>
    <row r="104" spans="2:15" ht="27.75" customHeight="1" x14ac:dyDescent="0.25">
      <c r="B104" s="2"/>
      <c r="D104" s="331"/>
      <c r="E104" s="332"/>
      <c r="F104" s="19" t="s">
        <v>67</v>
      </c>
      <c r="G104" s="365" t="s">
        <v>1759</v>
      </c>
      <c r="H104" s="366"/>
      <c r="I104" s="366"/>
      <c r="J104" s="366"/>
      <c r="K104" s="366"/>
      <c r="L104" s="366"/>
      <c r="M104" s="367"/>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65" t="str">
        <f>+VLOOKUP(H10,tablero!$P$5:$R$201,3,FALSE)</f>
        <v xml:space="preserve">Subdirector(a) Restablecimiento de Derechos </v>
      </c>
      <c r="H108" s="366"/>
      <c r="I108" s="366"/>
      <c r="J108" s="366"/>
      <c r="K108" s="366"/>
      <c r="L108" s="366"/>
      <c r="M108" s="367"/>
      <c r="O108" s="2"/>
    </row>
    <row r="109" spans="2:15" ht="17.25" customHeight="1" x14ac:dyDescent="0.25">
      <c r="B109" s="2"/>
      <c r="D109" s="331"/>
      <c r="E109" s="332"/>
      <c r="F109" s="19" t="s">
        <v>2042</v>
      </c>
      <c r="G109" s="365" t="str">
        <f>+IF(M23="Si","Coordinador(a) Planeación y Sistemas","")</f>
        <v>Coordinador(a) Planeación y Sistemas</v>
      </c>
      <c r="H109" s="366"/>
      <c r="I109" s="366"/>
      <c r="J109" s="366"/>
      <c r="K109" s="366"/>
      <c r="L109" s="366"/>
      <c r="M109" s="367"/>
      <c r="O109" s="2"/>
    </row>
    <row r="110" spans="2:15" ht="17.25" customHeight="1" x14ac:dyDescent="0.25">
      <c r="B110" s="2"/>
      <c r="D110" s="331"/>
      <c r="E110" s="332"/>
      <c r="F110" s="19" t="s">
        <v>2043</v>
      </c>
      <c r="G110" s="365" t="str">
        <f>+IF(M24="Si","Coordinador(a) Centro Zonal","")</f>
        <v>Coordinador(a) Centro Zonal</v>
      </c>
      <c r="H110" s="366"/>
      <c r="I110" s="366"/>
      <c r="J110" s="366"/>
      <c r="K110" s="366"/>
      <c r="L110" s="366"/>
      <c r="M110" s="367"/>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514" priority="31">
      <formula>+IF($F$43="no",1,0)</formula>
    </cfRule>
  </conditionalFormatting>
  <conditionalFormatting sqref="F32:M33">
    <cfRule type="expression" dxfId="2513" priority="30">
      <formula>+IF($Q$30="NA",1,0)</formula>
    </cfRule>
  </conditionalFormatting>
  <conditionalFormatting sqref="F33:M33">
    <cfRule type="expression" dxfId="2512" priority="29">
      <formula>+IF($Q$33=0,1,0)</formula>
    </cfRule>
  </conditionalFormatting>
  <conditionalFormatting sqref="F47:M47">
    <cfRule type="expression" dxfId="2511" priority="28">
      <formula>+IF($Q$47=0,1,0)</formula>
    </cfRule>
  </conditionalFormatting>
  <conditionalFormatting sqref="F73:G73">
    <cfRule type="cellIs" dxfId="2510" priority="25" operator="equal">
      <formula>"optimo"</formula>
    </cfRule>
    <cfRule type="cellIs" dxfId="2509" priority="26" operator="equal">
      <formula>"critico"</formula>
    </cfRule>
  </conditionalFormatting>
  <conditionalFormatting sqref="H73:I73">
    <cfRule type="cellIs" dxfId="2508" priority="23" operator="equal">
      <formula>"Adecuado"</formula>
    </cfRule>
    <cfRule type="cellIs" dxfId="2507" priority="24" operator="equal">
      <formula>"en riesgo"</formula>
    </cfRule>
  </conditionalFormatting>
  <conditionalFormatting sqref="J73:K73">
    <cfRule type="cellIs" dxfId="2506" priority="21" operator="equal">
      <formula>"Adecuado"</formula>
    </cfRule>
    <cfRule type="cellIs" dxfId="2505" priority="22" operator="equal">
      <formula>"en riesgo"</formula>
    </cfRule>
  </conditionalFormatting>
  <conditionalFormatting sqref="L73:M73">
    <cfRule type="cellIs" dxfId="2504" priority="19" operator="equal">
      <formula>"optimo"</formula>
    </cfRule>
    <cfRule type="cellIs" dxfId="2503" priority="20" operator="equal">
      <formula>"critico"</formula>
    </cfRule>
  </conditionalFormatting>
  <conditionalFormatting sqref="F75:M86">
    <cfRule type="expression" dxfId="2502" priority="18">
      <formula>+IF($AK75=0,1)</formula>
    </cfRule>
  </conditionalFormatting>
  <conditionalFormatting sqref="F103:G104">
    <cfRule type="expression" dxfId="2501" priority="17">
      <formula>+IF($G$102="No",1,0)</formula>
    </cfRule>
  </conditionalFormatting>
  <conditionalFormatting sqref="F51">
    <cfRule type="expression" dxfId="2500" priority="16">
      <formula>+IF($F$43="no",1,0)</formula>
    </cfRule>
  </conditionalFormatting>
  <conditionalFormatting sqref="I51">
    <cfRule type="expression" dxfId="2499" priority="15">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8">
    <tabColor rgb="FF0070C0"/>
  </sheetPr>
  <dimension ref="B1:AV113"/>
  <sheetViews>
    <sheetView topLeftCell="A52" zoomScaleNormal="100" workbookViewId="0">
      <selection activeCell="F60" sqref="F60:M61"/>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209</v>
      </c>
      <c r="O10" s="2"/>
    </row>
    <row r="11" spans="2:24" ht="3.95" customHeight="1" x14ac:dyDescent="0.25">
      <c r="B11" s="2"/>
      <c r="D11" s="6"/>
      <c r="O11" s="2"/>
    </row>
    <row r="12" spans="2:24" ht="36" customHeight="1" x14ac:dyDescent="0.25">
      <c r="B12" s="2"/>
      <c r="D12" s="338" t="s">
        <v>5</v>
      </c>
      <c r="E12" s="339"/>
      <c r="F12" s="340" t="s">
        <v>210</v>
      </c>
      <c r="G12" s="341"/>
      <c r="H12" s="341"/>
      <c r="I12" s="341"/>
      <c r="J12" s="341"/>
      <c r="K12" s="341"/>
      <c r="L12" s="341"/>
      <c r="M12" s="342"/>
      <c r="O12" s="2"/>
      <c r="W12" s="3" t="str">
        <f>+F23</f>
        <v>Mensual</v>
      </c>
      <c r="X12" s="3" t="str">
        <f>+F71</f>
        <v>Febrero</v>
      </c>
    </row>
    <row r="13" spans="2:24" ht="3.95" customHeight="1" x14ac:dyDescent="0.25">
      <c r="B13" s="2"/>
      <c r="O13" s="2"/>
    </row>
    <row r="14" spans="2:24" ht="67.5" customHeight="1" x14ac:dyDescent="0.25">
      <c r="B14" s="2"/>
      <c r="D14" s="338" t="s">
        <v>6</v>
      </c>
      <c r="E14" s="339"/>
      <c r="F14" s="340" t="s">
        <v>854</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17">
        <v>0.53</v>
      </c>
      <c r="G22" s="337" t="s">
        <v>9</v>
      </c>
      <c r="H22" s="337"/>
      <c r="I22" s="17">
        <v>0.65</v>
      </c>
      <c r="K22" s="337" t="s">
        <v>10</v>
      </c>
      <c r="L22" s="337"/>
      <c r="M22" s="9" t="s">
        <v>496</v>
      </c>
      <c r="O22" s="2"/>
    </row>
    <row r="23" spans="2:17" ht="19.5" customHeight="1" x14ac:dyDescent="0.25">
      <c r="B23" s="2"/>
      <c r="D23" s="337" t="s">
        <v>11</v>
      </c>
      <c r="E23" s="337"/>
      <c r="F23" s="4" t="s">
        <v>84</v>
      </c>
      <c r="G23" s="337" t="s">
        <v>12</v>
      </c>
      <c r="H23" s="337"/>
      <c r="I23" s="4" t="s">
        <v>497</v>
      </c>
      <c r="K23" s="337" t="s">
        <v>13</v>
      </c>
      <c r="L23" s="337"/>
      <c r="M23" s="9" t="s">
        <v>2</v>
      </c>
      <c r="O23" s="2"/>
    </row>
    <row r="24" spans="2:17" ht="20.100000000000001" customHeight="1" x14ac:dyDescent="0.25">
      <c r="B24" s="2"/>
      <c r="D24" s="337" t="s">
        <v>14</v>
      </c>
      <c r="E24" s="337"/>
      <c r="F24" s="4" t="s">
        <v>498</v>
      </c>
      <c r="G24" s="337" t="s">
        <v>15</v>
      </c>
      <c r="H24" s="337"/>
      <c r="I24" s="4" t="s">
        <v>103</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716</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proteccion</v>
      </c>
    </row>
    <row r="31" spans="2:17" ht="24" customHeight="1" x14ac:dyDescent="0.25">
      <c r="B31" s="2"/>
      <c r="D31" s="347"/>
      <c r="E31" s="348"/>
      <c r="F31" s="4" t="s">
        <v>202</v>
      </c>
      <c r="G31" s="340" t="s">
        <v>203</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792</v>
      </c>
      <c r="G33" s="340" t="s">
        <v>719</v>
      </c>
      <c r="H33" s="341"/>
      <c r="I33" s="341"/>
      <c r="J33" s="341"/>
      <c r="K33" s="341"/>
      <c r="L33" s="341"/>
      <c r="M33" s="342"/>
      <c r="O33" s="2"/>
      <c r="Q33" s="3">
        <f>+IFERROR(IF(VLOOKUP(G33,base!$A$26:$C$40,3,FALSE)=F31,1,0),"")</f>
        <v>1</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1715</v>
      </c>
      <c r="G35" s="340" t="s">
        <v>1591</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501</v>
      </c>
      <c r="G45" s="340" t="s">
        <v>515</v>
      </c>
      <c r="H45" s="341"/>
      <c r="I45" s="341"/>
      <c r="J45" s="341"/>
      <c r="K45" s="341"/>
      <c r="L45" s="341"/>
      <c r="M45" s="342"/>
      <c r="O45" s="2"/>
      <c r="Q45" s="3" t="str">
        <f>+IFERROR(VLOOKUP(G45,base!$A$41:$C$45,3,FALSE),"")</f>
        <v>misional</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503</v>
      </c>
      <c r="G47" s="340" t="s">
        <v>504</v>
      </c>
      <c r="H47" s="341"/>
      <c r="I47" s="341"/>
      <c r="J47" s="341"/>
      <c r="K47" s="341"/>
      <c r="L47" s="341"/>
      <c r="M47" s="342"/>
      <c r="O47" s="2"/>
      <c r="Q47" s="3">
        <f>+IF(VLOOKUP(G47,base!$A$46:$C$66,3,FALSE)=F45,1,0)</f>
        <v>1</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786</v>
      </c>
      <c r="G49" s="340" t="s">
        <v>717</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8"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69.75" customHeight="1" x14ac:dyDescent="0.25">
      <c r="B59" s="2"/>
      <c r="D59" s="337" t="s">
        <v>34</v>
      </c>
      <c r="E59" s="337"/>
      <c r="F59" s="344" t="s">
        <v>855</v>
      </c>
      <c r="G59" s="344"/>
      <c r="H59" s="344"/>
      <c r="I59" s="344"/>
      <c r="J59" s="344"/>
      <c r="K59" s="344"/>
      <c r="L59" s="344"/>
      <c r="M59" s="344"/>
      <c r="O59" s="2"/>
    </row>
    <row r="60" spans="2:15" ht="32.25" customHeight="1" x14ac:dyDescent="0.25">
      <c r="B60" s="2"/>
      <c r="D60" s="359" t="s">
        <v>35</v>
      </c>
      <c r="E60" s="359"/>
      <c r="F60" s="344" t="s">
        <v>856</v>
      </c>
      <c r="G60" s="344"/>
      <c r="H60" s="344"/>
      <c r="I60" s="344"/>
      <c r="J60" s="344"/>
      <c r="K60" s="344"/>
      <c r="L60" s="344"/>
      <c r="M60" s="344"/>
      <c r="O60" s="2"/>
    </row>
    <row r="61" spans="2:15" ht="38.25" customHeight="1" x14ac:dyDescent="0.25">
      <c r="B61" s="2"/>
      <c r="D61" s="359" t="s">
        <v>36</v>
      </c>
      <c r="E61" s="359"/>
      <c r="F61" s="344" t="s">
        <v>857</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43" t="s">
        <v>39</v>
      </c>
      <c r="E71" s="343"/>
      <c r="F71" s="4" t="s">
        <v>40</v>
      </c>
      <c r="G71" s="3">
        <v>2</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v>0.44900000000000001</v>
      </c>
      <c r="H76" s="16">
        <v>0.45</v>
      </c>
      <c r="I76" s="16">
        <v>0.54900000000000004</v>
      </c>
      <c r="J76" s="16">
        <v>0.55000000000000004</v>
      </c>
      <c r="K76" s="16">
        <v>0.64900000000000002</v>
      </c>
      <c r="L76" s="16">
        <v>0.65</v>
      </c>
      <c r="M76" s="16" t="s">
        <v>500</v>
      </c>
      <c r="O76" s="2"/>
      <c r="AE76" s="3" t="s">
        <v>40</v>
      </c>
      <c r="AF76" s="3">
        <v>2</v>
      </c>
      <c r="AG76" s="3">
        <f t="shared" ref="AG76:AG86" si="0">+IF(AF76&gt;=$G$71,1,0)</f>
        <v>1</v>
      </c>
      <c r="AH76" s="3">
        <f>+IF(AG76=0,0,IF(AG76=1,(SUM($AG$75:AG76)-1),1))</f>
        <v>0</v>
      </c>
      <c r="AI76" s="3">
        <f t="shared" ref="AI76:AI86" si="1">+IF(AH76=0,0,IF(MOD(AH76,$U$69)=0,1,0))</f>
        <v>0</v>
      </c>
      <c r="AJ76" s="3">
        <f t="shared" ref="AJ76:AJ86" si="2">+IF(AE76=$F$71,1,0)</f>
        <v>1</v>
      </c>
      <c r="AK76" s="3">
        <f t="shared" ref="AK76:AK86" si="3">+MAX(AI76:AJ76)</f>
        <v>1</v>
      </c>
    </row>
    <row r="77" spans="2:37" x14ac:dyDescent="0.25">
      <c r="B77" s="2"/>
      <c r="D77" s="360" t="s">
        <v>47</v>
      </c>
      <c r="E77" s="360"/>
      <c r="F77" s="16" t="s">
        <v>500</v>
      </c>
      <c r="G77" s="16">
        <v>0.44900000000000001</v>
      </c>
      <c r="H77" s="16">
        <v>0.45</v>
      </c>
      <c r="I77" s="16">
        <v>0.54900000000000004</v>
      </c>
      <c r="J77" s="16">
        <v>0.55000000000000004</v>
      </c>
      <c r="K77" s="16">
        <v>0.64900000000000002</v>
      </c>
      <c r="L77" s="16">
        <v>0.65</v>
      </c>
      <c r="M77" s="16" t="s">
        <v>500</v>
      </c>
      <c r="O77" s="2"/>
      <c r="AE77" s="3" t="s">
        <v>47</v>
      </c>
      <c r="AF77" s="3">
        <v>3</v>
      </c>
      <c r="AG77" s="3">
        <f t="shared" si="0"/>
        <v>1</v>
      </c>
      <c r="AH77" s="3">
        <f>+IF(AG77=0,0,IF(AG77=1,(SUM($AG$75:AG77)-1),1))</f>
        <v>1</v>
      </c>
      <c r="AI77" s="3">
        <f t="shared" si="1"/>
        <v>1</v>
      </c>
      <c r="AJ77" s="3">
        <f t="shared" si="2"/>
        <v>0</v>
      </c>
      <c r="AK77" s="3">
        <f t="shared" si="3"/>
        <v>1</v>
      </c>
    </row>
    <row r="78" spans="2:37" x14ac:dyDescent="0.25">
      <c r="B78" s="2"/>
      <c r="D78" s="360" t="s">
        <v>48</v>
      </c>
      <c r="E78" s="360"/>
      <c r="F78" s="16" t="s">
        <v>500</v>
      </c>
      <c r="G78" s="16">
        <v>0.44900000000000001</v>
      </c>
      <c r="H78" s="16">
        <v>0.45</v>
      </c>
      <c r="I78" s="16">
        <v>0.54900000000000004</v>
      </c>
      <c r="J78" s="16">
        <v>0.55000000000000004</v>
      </c>
      <c r="K78" s="16">
        <v>0.64900000000000002</v>
      </c>
      <c r="L78" s="16">
        <v>0.65</v>
      </c>
      <c r="M78" s="16" t="s">
        <v>500</v>
      </c>
      <c r="O78" s="2"/>
      <c r="AE78" s="3" t="s">
        <v>48</v>
      </c>
      <c r="AF78" s="3">
        <v>4</v>
      </c>
      <c r="AG78" s="3">
        <f t="shared" si="0"/>
        <v>1</v>
      </c>
      <c r="AH78" s="3">
        <f>+IF(AG78=0,0,IF(AG78=1,(SUM($AG$75:AG78)-1),1))</f>
        <v>2</v>
      </c>
      <c r="AI78" s="3">
        <f t="shared" si="1"/>
        <v>1</v>
      </c>
      <c r="AJ78" s="3">
        <f t="shared" si="2"/>
        <v>0</v>
      </c>
      <c r="AK78" s="3">
        <f t="shared" si="3"/>
        <v>1</v>
      </c>
    </row>
    <row r="79" spans="2:37" x14ac:dyDescent="0.25">
      <c r="B79" s="2"/>
      <c r="D79" s="360" t="s">
        <v>49</v>
      </c>
      <c r="E79" s="360"/>
      <c r="F79" s="16" t="s">
        <v>500</v>
      </c>
      <c r="G79" s="16">
        <v>0.44900000000000001</v>
      </c>
      <c r="H79" s="16">
        <v>0.45</v>
      </c>
      <c r="I79" s="16">
        <v>0.54900000000000004</v>
      </c>
      <c r="J79" s="16">
        <v>0.55000000000000004</v>
      </c>
      <c r="K79" s="16">
        <v>0.64900000000000002</v>
      </c>
      <c r="L79" s="16">
        <v>0.65</v>
      </c>
      <c r="M79" s="16" t="s">
        <v>500</v>
      </c>
      <c r="O79" s="2"/>
      <c r="AE79" s="3" t="s">
        <v>49</v>
      </c>
      <c r="AF79" s="3">
        <v>5</v>
      </c>
      <c r="AG79" s="3">
        <f t="shared" si="0"/>
        <v>1</v>
      </c>
      <c r="AH79" s="3">
        <f>+IF(AG79=0,0,IF(AG79=1,(SUM($AG$75:AG79)-1),1))</f>
        <v>3</v>
      </c>
      <c r="AI79" s="3">
        <f t="shared" si="1"/>
        <v>1</v>
      </c>
      <c r="AJ79" s="3">
        <f t="shared" si="2"/>
        <v>0</v>
      </c>
      <c r="AK79" s="3">
        <f t="shared" si="3"/>
        <v>1</v>
      </c>
    </row>
    <row r="80" spans="2:37" x14ac:dyDescent="0.25">
      <c r="B80" s="2"/>
      <c r="D80" s="360" t="s">
        <v>50</v>
      </c>
      <c r="E80" s="360"/>
      <c r="F80" s="16" t="s">
        <v>500</v>
      </c>
      <c r="G80" s="16">
        <v>0.44900000000000001</v>
      </c>
      <c r="H80" s="16">
        <v>0.45</v>
      </c>
      <c r="I80" s="16">
        <v>0.54900000000000004</v>
      </c>
      <c r="J80" s="16">
        <v>0.55000000000000004</v>
      </c>
      <c r="K80" s="16">
        <v>0.64900000000000002</v>
      </c>
      <c r="L80" s="16">
        <v>0.65</v>
      </c>
      <c r="M80" s="16" t="s">
        <v>500</v>
      </c>
      <c r="O80" s="2"/>
      <c r="AE80" s="3" t="s">
        <v>50</v>
      </c>
      <c r="AF80" s="3">
        <v>6</v>
      </c>
      <c r="AG80" s="3">
        <f t="shared" si="0"/>
        <v>1</v>
      </c>
      <c r="AH80" s="3">
        <f>+IF(AG80=0,0,IF(AG80=1,(SUM($AG$75:AG80)-1),1))</f>
        <v>4</v>
      </c>
      <c r="AI80" s="3">
        <f t="shared" si="1"/>
        <v>1</v>
      </c>
      <c r="AJ80" s="3">
        <f t="shared" si="2"/>
        <v>0</v>
      </c>
      <c r="AK80" s="3">
        <f t="shared" si="3"/>
        <v>1</v>
      </c>
    </row>
    <row r="81" spans="2:37" x14ac:dyDescent="0.25">
      <c r="B81" s="2"/>
      <c r="D81" s="360" t="s">
        <v>53</v>
      </c>
      <c r="E81" s="360"/>
      <c r="F81" s="16" t="s">
        <v>500</v>
      </c>
      <c r="G81" s="16">
        <v>0.44900000000000001</v>
      </c>
      <c r="H81" s="16">
        <v>0.45</v>
      </c>
      <c r="I81" s="16">
        <v>0.54900000000000004</v>
      </c>
      <c r="J81" s="16">
        <v>0.55000000000000004</v>
      </c>
      <c r="K81" s="16">
        <v>0.64900000000000002</v>
      </c>
      <c r="L81" s="16">
        <v>0.65</v>
      </c>
      <c r="M81" s="16" t="s">
        <v>500</v>
      </c>
      <c r="O81" s="2"/>
      <c r="AE81" s="3" t="s">
        <v>53</v>
      </c>
      <c r="AF81" s="3">
        <v>7</v>
      </c>
      <c r="AG81" s="3">
        <f t="shared" si="0"/>
        <v>1</v>
      </c>
      <c r="AH81" s="3">
        <f>+IF(AG81=0,0,IF(AG81=1,(SUM($AG$75:AG81)-1),1))</f>
        <v>5</v>
      </c>
      <c r="AI81" s="3">
        <f t="shared" si="1"/>
        <v>1</v>
      </c>
      <c r="AJ81" s="3">
        <f t="shared" si="2"/>
        <v>0</v>
      </c>
      <c r="AK81" s="3">
        <f t="shared" si="3"/>
        <v>1</v>
      </c>
    </row>
    <row r="82" spans="2:37" x14ac:dyDescent="0.25">
      <c r="B82" s="2"/>
      <c r="D82" s="360" t="s">
        <v>54</v>
      </c>
      <c r="E82" s="360"/>
      <c r="F82" s="16" t="s">
        <v>500</v>
      </c>
      <c r="G82" s="16">
        <v>0.44900000000000001</v>
      </c>
      <c r="H82" s="16">
        <v>0.45</v>
      </c>
      <c r="I82" s="16">
        <v>0.54900000000000004</v>
      </c>
      <c r="J82" s="16">
        <v>0.55000000000000004</v>
      </c>
      <c r="K82" s="16">
        <v>0.64900000000000002</v>
      </c>
      <c r="L82" s="16">
        <v>0.65</v>
      </c>
      <c r="M82" s="16" t="s">
        <v>500</v>
      </c>
      <c r="O82" s="2"/>
      <c r="AE82" s="3" t="s">
        <v>54</v>
      </c>
      <c r="AF82" s="3">
        <v>8</v>
      </c>
      <c r="AG82" s="3">
        <f t="shared" si="0"/>
        <v>1</v>
      </c>
      <c r="AH82" s="3">
        <f>+IF(AG82=0,0,IF(AG82=1,(SUM($AG$75:AG82)-1),1))</f>
        <v>6</v>
      </c>
      <c r="AI82" s="3">
        <f t="shared" si="1"/>
        <v>1</v>
      </c>
      <c r="AJ82" s="3">
        <f t="shared" si="2"/>
        <v>0</v>
      </c>
      <c r="AK82" s="3">
        <f t="shared" si="3"/>
        <v>1</v>
      </c>
    </row>
    <row r="83" spans="2:37" x14ac:dyDescent="0.25">
      <c r="B83" s="2"/>
      <c r="D83" s="360" t="s">
        <v>55</v>
      </c>
      <c r="E83" s="360"/>
      <c r="F83" s="16" t="s">
        <v>500</v>
      </c>
      <c r="G83" s="16">
        <v>0.44900000000000001</v>
      </c>
      <c r="H83" s="16">
        <v>0.45</v>
      </c>
      <c r="I83" s="16">
        <v>0.54900000000000004</v>
      </c>
      <c r="J83" s="16">
        <v>0.55000000000000004</v>
      </c>
      <c r="K83" s="16">
        <v>0.64900000000000002</v>
      </c>
      <c r="L83" s="16">
        <v>0.65</v>
      </c>
      <c r="M83" s="16" t="s">
        <v>500</v>
      </c>
      <c r="O83" s="2"/>
      <c r="AE83" s="3" t="s">
        <v>55</v>
      </c>
      <c r="AF83" s="3">
        <v>9</v>
      </c>
      <c r="AG83" s="3">
        <f t="shared" si="0"/>
        <v>1</v>
      </c>
      <c r="AH83" s="3">
        <f>+IF(AG83=0,0,IF(AG83=1,(SUM($AG$75:AG83)-1),1))</f>
        <v>7</v>
      </c>
      <c r="AI83" s="3">
        <f t="shared" si="1"/>
        <v>1</v>
      </c>
      <c r="AJ83" s="3">
        <f t="shared" si="2"/>
        <v>0</v>
      </c>
      <c r="AK83" s="3">
        <f t="shared" si="3"/>
        <v>1</v>
      </c>
    </row>
    <row r="84" spans="2:37" x14ac:dyDescent="0.25">
      <c r="B84" s="2"/>
      <c r="D84" s="360" t="s">
        <v>56</v>
      </c>
      <c r="E84" s="360"/>
      <c r="F84" s="16" t="s">
        <v>500</v>
      </c>
      <c r="G84" s="16">
        <v>0.44900000000000001</v>
      </c>
      <c r="H84" s="16">
        <v>0.45</v>
      </c>
      <c r="I84" s="16">
        <v>0.54900000000000004</v>
      </c>
      <c r="J84" s="16">
        <v>0.55000000000000004</v>
      </c>
      <c r="K84" s="16">
        <v>0.64900000000000002</v>
      </c>
      <c r="L84" s="16">
        <v>0.65</v>
      </c>
      <c r="M84" s="16" t="s">
        <v>500</v>
      </c>
      <c r="O84" s="2"/>
      <c r="AE84" s="3" t="s">
        <v>56</v>
      </c>
      <c r="AF84" s="3">
        <v>10</v>
      </c>
      <c r="AG84" s="3">
        <f t="shared" si="0"/>
        <v>1</v>
      </c>
      <c r="AH84" s="3">
        <f>+IF(AG84=0,0,IF(AG84=1,(SUM($AG$75:AG84)-1),1))</f>
        <v>8</v>
      </c>
      <c r="AI84" s="3">
        <f t="shared" si="1"/>
        <v>1</v>
      </c>
      <c r="AJ84" s="3">
        <f t="shared" si="2"/>
        <v>0</v>
      </c>
      <c r="AK84" s="3">
        <f t="shared" si="3"/>
        <v>1</v>
      </c>
    </row>
    <row r="85" spans="2:37" x14ac:dyDescent="0.25">
      <c r="B85" s="2"/>
      <c r="D85" s="360" t="s">
        <v>57</v>
      </c>
      <c r="E85" s="360"/>
      <c r="F85" s="16" t="s">
        <v>500</v>
      </c>
      <c r="G85" s="16">
        <v>0.44900000000000001</v>
      </c>
      <c r="H85" s="16">
        <v>0.45</v>
      </c>
      <c r="I85" s="16">
        <v>0.54900000000000004</v>
      </c>
      <c r="J85" s="16">
        <v>0.55000000000000004</v>
      </c>
      <c r="K85" s="16">
        <v>0.64900000000000002</v>
      </c>
      <c r="L85" s="16">
        <v>0.65</v>
      </c>
      <c r="M85" s="16" t="s">
        <v>500</v>
      </c>
      <c r="O85" s="2"/>
      <c r="AE85" s="3" t="s">
        <v>57</v>
      </c>
      <c r="AF85" s="3">
        <v>11</v>
      </c>
      <c r="AG85" s="3">
        <f t="shared" si="0"/>
        <v>1</v>
      </c>
      <c r="AH85" s="3">
        <f>+IF(AG85=0,0,IF(AG85=1,(SUM($AG$75:AG85)-1),1))</f>
        <v>9</v>
      </c>
      <c r="AI85" s="3">
        <f t="shared" si="1"/>
        <v>1</v>
      </c>
      <c r="AJ85" s="3">
        <f t="shared" si="2"/>
        <v>0</v>
      </c>
      <c r="AK85" s="3">
        <f t="shared" si="3"/>
        <v>1</v>
      </c>
    </row>
    <row r="86" spans="2:37" x14ac:dyDescent="0.25">
      <c r="B86" s="2"/>
      <c r="D86" s="360" t="s">
        <v>58</v>
      </c>
      <c r="E86" s="360"/>
      <c r="F86" s="16" t="s">
        <v>500</v>
      </c>
      <c r="G86" s="16">
        <v>0.44900000000000001</v>
      </c>
      <c r="H86" s="16">
        <v>0.45</v>
      </c>
      <c r="I86" s="16">
        <v>0.54900000000000004</v>
      </c>
      <c r="J86" s="16">
        <v>0.55000000000000004</v>
      </c>
      <c r="K86" s="16">
        <v>0.64900000000000002</v>
      </c>
      <c r="L86" s="16">
        <v>0.65</v>
      </c>
      <c r="M86" s="16" t="s">
        <v>500</v>
      </c>
      <c r="O86" s="2"/>
      <c r="AE86" s="3" t="s">
        <v>58</v>
      </c>
      <c r="AF86" s="65">
        <v>12</v>
      </c>
      <c r="AG86" s="3">
        <f t="shared" si="0"/>
        <v>1</v>
      </c>
      <c r="AH86" s="3">
        <f>+IF(AG86=0,0,IF(AG86=1,(SUM($AG$75:AG86)-1),1))</f>
        <v>10</v>
      </c>
      <c r="AI86" s="3">
        <f t="shared" si="1"/>
        <v>1</v>
      </c>
      <c r="AJ86" s="3">
        <f t="shared" si="2"/>
        <v>0</v>
      </c>
      <c r="AK86" s="3">
        <f t="shared" si="3"/>
        <v>1</v>
      </c>
    </row>
    <row r="87" spans="2:37" ht="3.75" customHeight="1" x14ac:dyDescent="0.25">
      <c r="B87" s="2"/>
      <c r="O87" s="2"/>
    </row>
    <row r="88" spans="2:37" ht="66" customHeight="1" x14ac:dyDescent="0.25">
      <c r="B88" s="2"/>
      <c r="D88" s="338" t="s">
        <v>59</v>
      </c>
      <c r="E88" s="339"/>
      <c r="F88" s="340" t="s">
        <v>721</v>
      </c>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2" customHeight="1" x14ac:dyDescent="0.25">
      <c r="B97" s="2"/>
      <c r="D97" s="359" t="s">
        <v>35</v>
      </c>
      <c r="E97" s="359"/>
      <c r="F97" s="344" t="s">
        <v>858</v>
      </c>
      <c r="G97" s="344"/>
      <c r="H97" s="344"/>
      <c r="I97" s="344"/>
      <c r="J97" s="344"/>
      <c r="K97" s="344"/>
      <c r="L97" s="344"/>
      <c r="M97" s="344"/>
      <c r="O97" s="2"/>
    </row>
    <row r="98" spans="2:15" ht="42" customHeight="1" x14ac:dyDescent="0.25">
      <c r="B98" s="2"/>
      <c r="D98" s="359" t="s">
        <v>36</v>
      </c>
      <c r="E98" s="359"/>
      <c r="F98" s="344" t="s">
        <v>858</v>
      </c>
      <c r="G98" s="344"/>
      <c r="H98" s="344"/>
      <c r="I98" s="344"/>
      <c r="J98" s="344"/>
      <c r="K98" s="344"/>
      <c r="L98" s="344"/>
      <c r="M98" s="344"/>
      <c r="O98" s="2"/>
    </row>
    <row r="99" spans="2:15" ht="3.95" customHeight="1" x14ac:dyDescent="0.25">
      <c r="B99" s="2"/>
      <c r="O99" s="2"/>
    </row>
    <row r="100" spans="2:15" ht="268.5" customHeight="1" x14ac:dyDescent="0.25">
      <c r="B100" s="2"/>
      <c r="D100" s="338" t="s">
        <v>62</v>
      </c>
      <c r="E100" s="339"/>
      <c r="F100" s="340" t="s">
        <v>722</v>
      </c>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1</v>
      </c>
      <c r="K102" s="20"/>
      <c r="O102" s="2"/>
    </row>
    <row r="103" spans="2:15" ht="19.5" customHeight="1" x14ac:dyDescent="0.25">
      <c r="B103" s="2"/>
      <c r="D103" s="331"/>
      <c r="E103" s="332"/>
      <c r="F103" s="19" t="s">
        <v>66</v>
      </c>
      <c r="G103" s="4" t="s">
        <v>1761</v>
      </c>
      <c r="K103" s="21"/>
      <c r="O103" s="2"/>
    </row>
    <row r="104" spans="2:15" ht="37.5" customHeight="1" x14ac:dyDescent="0.25">
      <c r="B104" s="2"/>
      <c r="D104" s="331"/>
      <c r="E104" s="332"/>
      <c r="F104" s="19" t="s">
        <v>67</v>
      </c>
      <c r="G104" s="340" t="s">
        <v>1762</v>
      </c>
      <c r="H104" s="341"/>
      <c r="I104" s="341"/>
      <c r="J104" s="341"/>
      <c r="K104" s="341"/>
      <c r="L104" s="341"/>
      <c r="M104" s="342"/>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40" t="str">
        <f>+VLOOKUP(H10,tablero!$P$5:$R$201,3,FALSE)</f>
        <v xml:space="preserve">Subdirector(a) Restablecimiento de Derechos </v>
      </c>
      <c r="H108" s="341"/>
      <c r="I108" s="341"/>
      <c r="J108" s="341"/>
      <c r="K108" s="341"/>
      <c r="L108" s="341"/>
      <c r="M108" s="342"/>
      <c r="O108" s="2"/>
    </row>
    <row r="109" spans="2:15" ht="17.25" customHeight="1" x14ac:dyDescent="0.25">
      <c r="B109" s="2"/>
      <c r="D109" s="331"/>
      <c r="E109" s="332"/>
      <c r="F109" s="19" t="s">
        <v>2042</v>
      </c>
      <c r="G109" s="340" t="str">
        <f>+IF(M23="Si","Coordinador(a) Planeación y Sistemas","")</f>
        <v/>
      </c>
      <c r="H109" s="341"/>
      <c r="I109" s="341"/>
      <c r="J109" s="341"/>
      <c r="K109" s="341"/>
      <c r="L109" s="341"/>
      <c r="M109" s="342"/>
      <c r="O109" s="2"/>
    </row>
    <row r="110" spans="2:15" ht="17.25" customHeight="1" x14ac:dyDescent="0.25">
      <c r="B110" s="2"/>
      <c r="D110" s="331"/>
      <c r="E110" s="332"/>
      <c r="F110" s="19" t="s">
        <v>2043</v>
      </c>
      <c r="G110" s="340" t="str">
        <f>+IF(M24="Si","Coordinador(a) Centro Zonal","")</f>
        <v/>
      </c>
      <c r="H110" s="341"/>
      <c r="I110" s="341"/>
      <c r="J110" s="341"/>
      <c r="K110" s="341"/>
      <c r="L110" s="341"/>
      <c r="M110" s="342"/>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498" priority="29">
      <formula>+IF($F$43="no",1,0)</formula>
    </cfRule>
  </conditionalFormatting>
  <conditionalFormatting sqref="F32:M33">
    <cfRule type="expression" dxfId="2497" priority="28">
      <formula>+IF($Q$30="NA",1,0)</formula>
    </cfRule>
  </conditionalFormatting>
  <conditionalFormatting sqref="F33:M33">
    <cfRule type="expression" dxfId="2496" priority="27">
      <formula>+IF($Q$33=0,1,0)</formula>
    </cfRule>
  </conditionalFormatting>
  <conditionalFormatting sqref="F47:M47">
    <cfRule type="expression" dxfId="2495" priority="26">
      <formula>+IF($Q$47=0,1,0)</formula>
    </cfRule>
  </conditionalFormatting>
  <conditionalFormatting sqref="F73:G73">
    <cfRule type="cellIs" dxfId="2494" priority="23" operator="equal">
      <formula>"optimo"</formula>
    </cfRule>
    <cfRule type="cellIs" dxfId="2493" priority="24" operator="equal">
      <formula>"critico"</formula>
    </cfRule>
  </conditionalFormatting>
  <conditionalFormatting sqref="H73:I73">
    <cfRule type="cellIs" dxfId="2492" priority="21" operator="equal">
      <formula>"Adecuado"</formula>
    </cfRule>
    <cfRule type="cellIs" dxfId="2491" priority="22" operator="equal">
      <formula>"en riesgo"</formula>
    </cfRule>
  </conditionalFormatting>
  <conditionalFormatting sqref="J73:K73">
    <cfRule type="cellIs" dxfId="2490" priority="19" operator="equal">
      <formula>"Adecuado"</formula>
    </cfRule>
    <cfRule type="cellIs" dxfId="2489" priority="20" operator="equal">
      <formula>"en riesgo"</formula>
    </cfRule>
  </conditionalFormatting>
  <conditionalFormatting sqref="L73:M73">
    <cfRule type="cellIs" dxfId="2488" priority="17" operator="equal">
      <formula>"optimo"</formula>
    </cfRule>
    <cfRule type="cellIs" dxfId="2487" priority="18" operator="equal">
      <formula>"critico"</formula>
    </cfRule>
  </conditionalFormatting>
  <conditionalFormatting sqref="F75:M86">
    <cfRule type="expression" dxfId="2486" priority="16">
      <formula>+IF($AK75=0,1)</formula>
    </cfRule>
  </conditionalFormatting>
  <conditionalFormatting sqref="F103:G103 F104">
    <cfRule type="expression" dxfId="2485" priority="15">
      <formula>+IF($G$102="No",1,0)</formula>
    </cfRule>
  </conditionalFormatting>
  <conditionalFormatting sqref="F51">
    <cfRule type="expression" dxfId="2484" priority="14">
      <formula>+IF($F$43="no",1,0)</formula>
    </cfRule>
  </conditionalFormatting>
  <conditionalFormatting sqref="I51">
    <cfRule type="expression" dxfId="2483" priority="13">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9">
    <tabColor rgb="FF0070C0"/>
  </sheetPr>
  <dimension ref="B1:AV113"/>
  <sheetViews>
    <sheetView zoomScaleNormal="100" workbookViewId="0">
      <selection activeCell="P3" sqref="P3"/>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211</v>
      </c>
      <c r="O10" s="2"/>
    </row>
    <row r="11" spans="2:24" ht="3.95" customHeight="1" x14ac:dyDescent="0.25">
      <c r="B11" s="2"/>
      <c r="D11" s="6"/>
      <c r="O11" s="2"/>
    </row>
    <row r="12" spans="2:24" ht="36" customHeight="1" x14ac:dyDescent="0.25">
      <c r="B12" s="2"/>
      <c r="D12" s="338" t="s">
        <v>5</v>
      </c>
      <c r="E12" s="339"/>
      <c r="F12" s="340" t="s">
        <v>212</v>
      </c>
      <c r="G12" s="341"/>
      <c r="H12" s="341"/>
      <c r="I12" s="341"/>
      <c r="J12" s="341"/>
      <c r="K12" s="341"/>
      <c r="L12" s="341"/>
      <c r="M12" s="342"/>
      <c r="O12" s="2"/>
      <c r="W12" s="3" t="str">
        <f>+F23</f>
        <v>Mensual</v>
      </c>
      <c r="X12" s="3" t="str">
        <f>+F71</f>
        <v>Junio</v>
      </c>
    </row>
    <row r="13" spans="2:24" ht="3.95" customHeight="1" x14ac:dyDescent="0.25">
      <c r="B13" s="2"/>
      <c r="O13" s="2"/>
    </row>
    <row r="14" spans="2:24" ht="44.25" customHeight="1" x14ac:dyDescent="0.25">
      <c r="B14" s="2"/>
      <c r="D14" s="338" t="s">
        <v>6</v>
      </c>
      <c r="E14" s="339"/>
      <c r="F14" s="340" t="s">
        <v>1764</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17">
        <v>1.1599999999999999</v>
      </c>
      <c r="G22" s="337" t="s">
        <v>9</v>
      </c>
      <c r="H22" s="337"/>
      <c r="I22" s="17">
        <v>1</v>
      </c>
      <c r="K22" s="337" t="s">
        <v>10</v>
      </c>
      <c r="L22" s="337"/>
      <c r="M22" s="9" t="s">
        <v>496</v>
      </c>
      <c r="O22" s="2"/>
    </row>
    <row r="23" spans="2:17" ht="19.5" customHeight="1" x14ac:dyDescent="0.25">
      <c r="B23" s="2"/>
      <c r="D23" s="337" t="s">
        <v>11</v>
      </c>
      <c r="E23" s="337"/>
      <c r="F23" s="4" t="s">
        <v>84</v>
      </c>
      <c r="G23" s="337" t="s">
        <v>12</v>
      </c>
      <c r="H23" s="337"/>
      <c r="I23" s="4" t="s">
        <v>497</v>
      </c>
      <c r="K23" s="337" t="s">
        <v>13</v>
      </c>
      <c r="L23" s="337"/>
      <c r="M23" s="9" t="s">
        <v>496</v>
      </c>
      <c r="O23" s="2"/>
    </row>
    <row r="24" spans="2:17" ht="20.100000000000001" customHeight="1" x14ac:dyDescent="0.25">
      <c r="B24" s="2"/>
      <c r="D24" s="337" t="s">
        <v>14</v>
      </c>
      <c r="E24" s="337"/>
      <c r="F24" s="4" t="s">
        <v>498</v>
      </c>
      <c r="G24" s="337" t="s">
        <v>15</v>
      </c>
      <c r="H24" s="337"/>
      <c r="I24" s="4" t="s">
        <v>533</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716</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proteccion</v>
      </c>
    </row>
    <row r="31" spans="2:17" ht="24" customHeight="1" x14ac:dyDescent="0.25">
      <c r="B31" s="2"/>
      <c r="D31" s="347"/>
      <c r="E31" s="348"/>
      <c r="F31" s="4" t="s">
        <v>202</v>
      </c>
      <c r="G31" s="340" t="s">
        <v>203</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792</v>
      </c>
      <c r="G33" s="340" t="s">
        <v>719</v>
      </c>
      <c r="H33" s="341"/>
      <c r="I33" s="341"/>
      <c r="J33" s="341"/>
      <c r="K33" s="341"/>
      <c r="L33" s="341"/>
      <c r="M33" s="342"/>
      <c r="O33" s="2"/>
      <c r="Q33" s="3">
        <f>+IFERROR(IF(VLOOKUP(G33,base!$A$26:$C$40,3,FALSE)=F31,1,0),"")</f>
        <v>1</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1715</v>
      </c>
      <c r="G35" s="340" t="s">
        <v>1591</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501</v>
      </c>
      <c r="G45" s="340" t="s">
        <v>515</v>
      </c>
      <c r="H45" s="341"/>
      <c r="I45" s="341"/>
      <c r="J45" s="341"/>
      <c r="K45" s="341"/>
      <c r="L45" s="341"/>
      <c r="M45" s="342"/>
      <c r="O45" s="2"/>
      <c r="Q45" s="3" t="str">
        <f>+IFERROR(VLOOKUP(G45,base!$A$41:$C$45,3,FALSE),"")</f>
        <v>misional</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503</v>
      </c>
      <c r="G47" s="340" t="s">
        <v>504</v>
      </c>
      <c r="H47" s="341"/>
      <c r="I47" s="341"/>
      <c r="J47" s="341"/>
      <c r="K47" s="341"/>
      <c r="L47" s="341"/>
      <c r="M47" s="342"/>
      <c r="O47" s="2"/>
      <c r="Q47" s="3">
        <f>+IF(VLOOKUP(G47,base!$A$46:$C$66,3,FALSE)=F45,1,0)</f>
        <v>1</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786</v>
      </c>
      <c r="G49" s="340" t="s">
        <v>717</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8"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47.25" customHeight="1" x14ac:dyDescent="0.25">
      <c r="B59" s="2"/>
      <c r="D59" s="337" t="s">
        <v>34</v>
      </c>
      <c r="E59" s="337"/>
      <c r="F59" s="344" t="s">
        <v>849</v>
      </c>
      <c r="G59" s="344"/>
      <c r="H59" s="344"/>
      <c r="I59" s="344"/>
      <c r="J59" s="344"/>
      <c r="K59" s="344"/>
      <c r="L59" s="344"/>
      <c r="M59" s="344"/>
      <c r="O59" s="2"/>
    </row>
    <row r="60" spans="2:15" ht="40.5" customHeight="1" x14ac:dyDescent="0.25">
      <c r="B60" s="2"/>
      <c r="D60" s="359" t="s">
        <v>35</v>
      </c>
      <c r="E60" s="359"/>
      <c r="F60" s="344" t="s">
        <v>850</v>
      </c>
      <c r="G60" s="344"/>
      <c r="H60" s="344"/>
      <c r="I60" s="344"/>
      <c r="J60" s="344"/>
      <c r="K60" s="344"/>
      <c r="L60" s="344"/>
      <c r="M60" s="344"/>
      <c r="O60" s="2"/>
    </row>
    <row r="61" spans="2:15" ht="24" customHeight="1" x14ac:dyDescent="0.25">
      <c r="B61" s="2"/>
      <c r="D61" s="359" t="s">
        <v>36</v>
      </c>
      <c r="E61" s="359"/>
      <c r="F61" s="344" t="s">
        <v>851</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43" t="s">
        <v>39</v>
      </c>
      <c r="E71" s="343"/>
      <c r="F71" s="4" t="s">
        <v>50</v>
      </c>
      <c r="G71" s="3">
        <v>5</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60" t="s">
        <v>49</v>
      </c>
      <c r="E79" s="360"/>
      <c r="F79" s="16" t="s">
        <v>500</v>
      </c>
      <c r="G79" s="16">
        <v>0.499</v>
      </c>
      <c r="H79" s="16">
        <v>0.5</v>
      </c>
      <c r="I79" s="16">
        <v>0.79900000000000004</v>
      </c>
      <c r="J79" s="16">
        <v>0.8</v>
      </c>
      <c r="K79" s="16">
        <v>0.999</v>
      </c>
      <c r="L79" s="16" t="s">
        <v>500</v>
      </c>
      <c r="M79" s="16">
        <v>1</v>
      </c>
      <c r="O79" s="2"/>
      <c r="AE79" s="3" t="s">
        <v>49</v>
      </c>
      <c r="AF79" s="3">
        <v>5</v>
      </c>
      <c r="AG79" s="3">
        <f t="shared" si="0"/>
        <v>1</v>
      </c>
      <c r="AH79" s="3">
        <f>+IF(AG79=0,0,IF(AG79=1,(SUM($AG$75:AG79)-1),1))</f>
        <v>0</v>
      </c>
      <c r="AI79" s="3">
        <f t="shared" si="1"/>
        <v>0</v>
      </c>
      <c r="AJ79" s="3">
        <f t="shared" si="2"/>
        <v>0</v>
      </c>
      <c r="AK79" s="3">
        <f t="shared" si="3"/>
        <v>0</v>
      </c>
    </row>
    <row r="80" spans="2:37" x14ac:dyDescent="0.25">
      <c r="B80" s="2"/>
      <c r="D80" s="360" t="s">
        <v>50</v>
      </c>
      <c r="E80" s="360"/>
      <c r="F80" s="16" t="s">
        <v>500</v>
      </c>
      <c r="G80" s="16">
        <v>0.499</v>
      </c>
      <c r="H80" s="16">
        <v>0.5</v>
      </c>
      <c r="I80" s="16">
        <v>0.79900000000000004</v>
      </c>
      <c r="J80" s="16">
        <v>0.8</v>
      </c>
      <c r="K80" s="16">
        <v>0.999</v>
      </c>
      <c r="L80" s="16" t="s">
        <v>500</v>
      </c>
      <c r="M80" s="16">
        <v>1</v>
      </c>
      <c r="O80" s="2"/>
      <c r="AE80" s="3" t="s">
        <v>50</v>
      </c>
      <c r="AF80" s="3">
        <v>6</v>
      </c>
      <c r="AG80" s="3">
        <f t="shared" si="0"/>
        <v>1</v>
      </c>
      <c r="AH80" s="3">
        <f>+IF(AG80=0,0,IF(AG80=1,(SUM($AG$75:AG80)-1),1))</f>
        <v>1</v>
      </c>
      <c r="AI80" s="3">
        <f t="shared" si="1"/>
        <v>1</v>
      </c>
      <c r="AJ80" s="3">
        <f t="shared" si="2"/>
        <v>1</v>
      </c>
      <c r="AK80" s="3">
        <f t="shared" si="3"/>
        <v>1</v>
      </c>
    </row>
    <row r="81" spans="2:37" x14ac:dyDescent="0.25">
      <c r="B81" s="2"/>
      <c r="D81" s="360" t="s">
        <v>53</v>
      </c>
      <c r="E81" s="360"/>
      <c r="F81" s="16" t="s">
        <v>500</v>
      </c>
      <c r="G81" s="16">
        <v>0.499</v>
      </c>
      <c r="H81" s="16">
        <v>0.5</v>
      </c>
      <c r="I81" s="16">
        <v>0.79900000000000004</v>
      </c>
      <c r="J81" s="16">
        <v>0.8</v>
      </c>
      <c r="K81" s="16">
        <v>0.999</v>
      </c>
      <c r="L81" s="16" t="s">
        <v>500</v>
      </c>
      <c r="M81" s="16">
        <v>1</v>
      </c>
      <c r="O81" s="2"/>
      <c r="AE81" s="3" t="s">
        <v>53</v>
      </c>
      <c r="AF81" s="3">
        <v>7</v>
      </c>
      <c r="AG81" s="3">
        <f t="shared" si="0"/>
        <v>1</v>
      </c>
      <c r="AH81" s="3">
        <f>+IF(AG81=0,0,IF(AG81=1,(SUM($AG$75:AG81)-1),1))</f>
        <v>2</v>
      </c>
      <c r="AI81" s="3">
        <f t="shared" si="1"/>
        <v>1</v>
      </c>
      <c r="AJ81" s="3">
        <f t="shared" si="2"/>
        <v>0</v>
      </c>
      <c r="AK81" s="3">
        <f t="shared" si="3"/>
        <v>1</v>
      </c>
    </row>
    <row r="82" spans="2:37" x14ac:dyDescent="0.25">
      <c r="B82" s="2"/>
      <c r="D82" s="360" t="s">
        <v>54</v>
      </c>
      <c r="E82" s="360"/>
      <c r="F82" s="16" t="s">
        <v>500</v>
      </c>
      <c r="G82" s="16">
        <v>0.499</v>
      </c>
      <c r="H82" s="16">
        <v>0.5</v>
      </c>
      <c r="I82" s="16">
        <v>0.79900000000000004</v>
      </c>
      <c r="J82" s="16">
        <v>0.8</v>
      </c>
      <c r="K82" s="16">
        <v>0.999</v>
      </c>
      <c r="L82" s="16" t="s">
        <v>500</v>
      </c>
      <c r="M82" s="16">
        <v>1</v>
      </c>
      <c r="O82" s="2"/>
      <c r="AE82" s="3" t="s">
        <v>54</v>
      </c>
      <c r="AF82" s="3">
        <v>8</v>
      </c>
      <c r="AG82" s="3">
        <f t="shared" si="0"/>
        <v>1</v>
      </c>
      <c r="AH82" s="3">
        <f>+IF(AG82=0,0,IF(AG82=1,(SUM($AG$75:AG82)-1),1))</f>
        <v>3</v>
      </c>
      <c r="AI82" s="3">
        <f t="shared" si="1"/>
        <v>1</v>
      </c>
      <c r="AJ82" s="3">
        <f t="shared" si="2"/>
        <v>0</v>
      </c>
      <c r="AK82" s="3">
        <f t="shared" si="3"/>
        <v>1</v>
      </c>
    </row>
    <row r="83" spans="2:37" x14ac:dyDescent="0.25">
      <c r="B83" s="2"/>
      <c r="D83" s="360" t="s">
        <v>55</v>
      </c>
      <c r="E83" s="360"/>
      <c r="F83" s="16" t="s">
        <v>500</v>
      </c>
      <c r="G83" s="16">
        <v>0.499</v>
      </c>
      <c r="H83" s="16">
        <v>0.5</v>
      </c>
      <c r="I83" s="16">
        <v>0.79900000000000004</v>
      </c>
      <c r="J83" s="16">
        <v>0.8</v>
      </c>
      <c r="K83" s="16">
        <v>0.999</v>
      </c>
      <c r="L83" s="16" t="s">
        <v>500</v>
      </c>
      <c r="M83" s="16">
        <v>1</v>
      </c>
      <c r="O83" s="2"/>
      <c r="AE83" s="3" t="s">
        <v>55</v>
      </c>
      <c r="AF83" s="3">
        <v>9</v>
      </c>
      <c r="AG83" s="3">
        <f t="shared" si="0"/>
        <v>1</v>
      </c>
      <c r="AH83" s="3">
        <f>+IF(AG83=0,0,IF(AG83=1,(SUM($AG$75:AG83)-1),1))</f>
        <v>4</v>
      </c>
      <c r="AI83" s="3">
        <f t="shared" si="1"/>
        <v>1</v>
      </c>
      <c r="AJ83" s="3">
        <f t="shared" si="2"/>
        <v>0</v>
      </c>
      <c r="AK83" s="3">
        <f t="shared" si="3"/>
        <v>1</v>
      </c>
    </row>
    <row r="84" spans="2:37" x14ac:dyDescent="0.25">
      <c r="B84" s="2"/>
      <c r="D84" s="360" t="s">
        <v>56</v>
      </c>
      <c r="E84" s="360"/>
      <c r="F84" s="16" t="s">
        <v>500</v>
      </c>
      <c r="G84" s="16">
        <v>0.499</v>
      </c>
      <c r="H84" s="16">
        <v>0.5</v>
      </c>
      <c r="I84" s="16">
        <v>0.79900000000000004</v>
      </c>
      <c r="J84" s="16">
        <v>0.8</v>
      </c>
      <c r="K84" s="16">
        <v>0.999</v>
      </c>
      <c r="L84" s="16" t="s">
        <v>500</v>
      </c>
      <c r="M84" s="16">
        <v>1</v>
      </c>
      <c r="O84" s="2"/>
      <c r="AE84" s="3" t="s">
        <v>56</v>
      </c>
      <c r="AF84" s="3">
        <v>10</v>
      </c>
      <c r="AG84" s="3">
        <f t="shared" si="0"/>
        <v>1</v>
      </c>
      <c r="AH84" s="3">
        <f>+IF(AG84=0,0,IF(AG84=1,(SUM($AG$75:AG84)-1),1))</f>
        <v>5</v>
      </c>
      <c r="AI84" s="3">
        <f t="shared" si="1"/>
        <v>1</v>
      </c>
      <c r="AJ84" s="3">
        <f t="shared" si="2"/>
        <v>0</v>
      </c>
      <c r="AK84" s="3">
        <f t="shared" si="3"/>
        <v>1</v>
      </c>
    </row>
    <row r="85" spans="2:37" x14ac:dyDescent="0.25">
      <c r="B85" s="2"/>
      <c r="D85" s="360" t="s">
        <v>57</v>
      </c>
      <c r="E85" s="360"/>
      <c r="F85" s="16" t="s">
        <v>500</v>
      </c>
      <c r="G85" s="16">
        <v>0.499</v>
      </c>
      <c r="H85" s="16">
        <v>0.5</v>
      </c>
      <c r="I85" s="16">
        <v>0.79900000000000004</v>
      </c>
      <c r="J85" s="16">
        <v>0.8</v>
      </c>
      <c r="K85" s="16">
        <v>0.999</v>
      </c>
      <c r="L85" s="16" t="s">
        <v>500</v>
      </c>
      <c r="M85" s="16">
        <v>1</v>
      </c>
      <c r="O85" s="2"/>
      <c r="AE85" s="3" t="s">
        <v>57</v>
      </c>
      <c r="AF85" s="3">
        <v>11</v>
      </c>
      <c r="AG85" s="3">
        <f t="shared" si="0"/>
        <v>1</v>
      </c>
      <c r="AH85" s="3">
        <f>+IF(AG85=0,0,IF(AG85=1,(SUM($AG$75:AG85)-1),1))</f>
        <v>6</v>
      </c>
      <c r="AI85" s="3">
        <f t="shared" si="1"/>
        <v>1</v>
      </c>
      <c r="AJ85" s="3">
        <f t="shared" si="2"/>
        <v>0</v>
      </c>
      <c r="AK85" s="3">
        <f t="shared" si="3"/>
        <v>1</v>
      </c>
    </row>
    <row r="86" spans="2:37" x14ac:dyDescent="0.25">
      <c r="B86" s="2"/>
      <c r="D86" s="360" t="s">
        <v>58</v>
      </c>
      <c r="E86" s="360"/>
      <c r="F86" s="16" t="s">
        <v>500</v>
      </c>
      <c r="G86" s="16">
        <v>0.499</v>
      </c>
      <c r="H86" s="16">
        <v>0.5</v>
      </c>
      <c r="I86" s="16">
        <v>0.79900000000000004</v>
      </c>
      <c r="J86" s="16">
        <v>0.8</v>
      </c>
      <c r="K86" s="16">
        <v>0.999</v>
      </c>
      <c r="L86" s="16" t="s">
        <v>500</v>
      </c>
      <c r="M86" s="16">
        <v>1</v>
      </c>
      <c r="O86" s="2"/>
      <c r="AE86" s="3" t="s">
        <v>58</v>
      </c>
      <c r="AF86" s="65">
        <v>12</v>
      </c>
      <c r="AG86" s="3">
        <f t="shared" si="0"/>
        <v>1</v>
      </c>
      <c r="AH86" s="3">
        <f>+IF(AG86=0,0,IF(AG86=1,(SUM($AG$75:AG86)-1),1))</f>
        <v>7</v>
      </c>
      <c r="AI86" s="3">
        <f t="shared" si="1"/>
        <v>1</v>
      </c>
      <c r="AJ86" s="3">
        <f t="shared" si="2"/>
        <v>0</v>
      </c>
      <c r="AK86" s="3">
        <f t="shared" si="3"/>
        <v>1</v>
      </c>
    </row>
    <row r="87" spans="2:37" ht="3.75" customHeight="1" x14ac:dyDescent="0.25">
      <c r="B87" s="2"/>
      <c r="O87" s="2"/>
    </row>
    <row r="88" spans="2:37" ht="85.5" customHeight="1" x14ac:dyDescent="0.25">
      <c r="B88" s="2"/>
      <c r="D88" s="338" t="s">
        <v>59</v>
      </c>
      <c r="E88" s="339"/>
      <c r="F88" s="425" t="s">
        <v>2209</v>
      </c>
      <c r="G88" s="426"/>
      <c r="H88" s="426"/>
      <c r="I88" s="426"/>
      <c r="J88" s="426"/>
      <c r="K88" s="426"/>
      <c r="L88" s="426"/>
      <c r="M88" s="427"/>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2" customHeight="1" x14ac:dyDescent="0.25">
      <c r="B97" s="2"/>
      <c r="D97" s="359" t="s">
        <v>35</v>
      </c>
      <c r="E97" s="359"/>
      <c r="F97" s="344" t="s">
        <v>852</v>
      </c>
      <c r="G97" s="344"/>
      <c r="H97" s="344"/>
      <c r="I97" s="344"/>
      <c r="J97" s="344"/>
      <c r="K97" s="344"/>
      <c r="L97" s="344"/>
      <c r="M97" s="344"/>
      <c r="O97" s="2"/>
    </row>
    <row r="98" spans="2:15" ht="42" customHeight="1" x14ac:dyDescent="0.25">
      <c r="B98" s="2"/>
      <c r="D98" s="359" t="s">
        <v>36</v>
      </c>
      <c r="E98" s="359"/>
      <c r="F98" s="344" t="s">
        <v>853</v>
      </c>
      <c r="G98" s="344"/>
      <c r="H98" s="344"/>
      <c r="I98" s="344"/>
      <c r="J98" s="344"/>
      <c r="K98" s="344"/>
      <c r="L98" s="344"/>
      <c r="M98" s="344"/>
      <c r="O98" s="2"/>
    </row>
    <row r="99" spans="2:15" ht="3.95" customHeight="1" x14ac:dyDescent="0.25">
      <c r="B99" s="2"/>
      <c r="O99" s="2"/>
    </row>
    <row r="100" spans="2:15" ht="210" customHeight="1" x14ac:dyDescent="0.25">
      <c r="B100" s="2"/>
      <c r="D100" s="338" t="s">
        <v>62</v>
      </c>
      <c r="E100" s="339"/>
      <c r="F100" s="340" t="s">
        <v>2210</v>
      </c>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1</v>
      </c>
      <c r="K102" s="20"/>
      <c r="O102" s="2"/>
    </row>
    <row r="103" spans="2:15" ht="19.5" customHeight="1" x14ac:dyDescent="0.25">
      <c r="B103" s="2"/>
      <c r="D103" s="331"/>
      <c r="E103" s="332"/>
      <c r="F103" s="19" t="s">
        <v>66</v>
      </c>
      <c r="G103" s="4" t="s">
        <v>1763</v>
      </c>
      <c r="K103" s="21"/>
      <c r="O103" s="2"/>
    </row>
    <row r="104" spans="2:15" ht="51" customHeight="1" x14ac:dyDescent="0.25">
      <c r="B104" s="2"/>
      <c r="D104" s="331"/>
      <c r="E104" s="332"/>
      <c r="F104" s="19" t="s">
        <v>67</v>
      </c>
      <c r="G104" s="340" t="s">
        <v>212</v>
      </c>
      <c r="H104" s="341"/>
      <c r="I104" s="341"/>
      <c r="J104" s="341"/>
      <c r="K104" s="341"/>
      <c r="L104" s="341"/>
      <c r="M104" s="342"/>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40" t="str">
        <f>+VLOOKUP(H10,tablero!$P$5:$R$201,3,FALSE)</f>
        <v xml:space="preserve">Subdirector(a) Restablecimiento de Derechos </v>
      </c>
      <c r="H108" s="341"/>
      <c r="I108" s="341"/>
      <c r="J108" s="341"/>
      <c r="K108" s="341"/>
      <c r="L108" s="341"/>
      <c r="M108" s="342"/>
      <c r="O108" s="2"/>
    </row>
    <row r="109" spans="2:15" ht="17.25" customHeight="1" x14ac:dyDescent="0.25">
      <c r="B109" s="2"/>
      <c r="D109" s="331"/>
      <c r="E109" s="332"/>
      <c r="F109" s="19" t="s">
        <v>2042</v>
      </c>
      <c r="G109" s="340" t="str">
        <f>+IF(M23="Si","Coordinador(a) Planeación y Sistemas","")</f>
        <v>Coordinador(a) Planeación y Sistemas</v>
      </c>
      <c r="H109" s="341"/>
      <c r="I109" s="341"/>
      <c r="J109" s="341"/>
      <c r="K109" s="341"/>
      <c r="L109" s="341"/>
      <c r="M109" s="342"/>
      <c r="O109" s="2"/>
    </row>
    <row r="110" spans="2:15" ht="17.25" customHeight="1" x14ac:dyDescent="0.25">
      <c r="B110" s="2"/>
      <c r="D110" s="331"/>
      <c r="E110" s="332"/>
      <c r="F110" s="19" t="s">
        <v>2043</v>
      </c>
      <c r="G110" s="340" t="str">
        <f>+IF(M24="Si","Coordinador(a) Centro Zonal","")</f>
        <v/>
      </c>
      <c r="H110" s="341"/>
      <c r="I110" s="341"/>
      <c r="J110" s="341"/>
      <c r="K110" s="341"/>
      <c r="L110" s="341"/>
      <c r="M110" s="342"/>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482" priority="29">
      <formula>+IF($F$43="no",1,0)</formula>
    </cfRule>
  </conditionalFormatting>
  <conditionalFormatting sqref="F32:M33">
    <cfRule type="expression" dxfId="2481" priority="28">
      <formula>+IF($Q$30="NA",1,0)</formula>
    </cfRule>
  </conditionalFormatting>
  <conditionalFormatting sqref="F33:M33">
    <cfRule type="expression" dxfId="2480" priority="27">
      <formula>+IF($Q$33=0,1,0)</formula>
    </cfRule>
  </conditionalFormatting>
  <conditionalFormatting sqref="F47:M47">
    <cfRule type="expression" dxfId="2479" priority="26">
      <formula>+IF($Q$47=0,1,0)</formula>
    </cfRule>
  </conditionalFormatting>
  <conditionalFormatting sqref="F73:G73">
    <cfRule type="cellIs" dxfId="2478" priority="23" operator="equal">
      <formula>"optimo"</formula>
    </cfRule>
    <cfRule type="cellIs" dxfId="2477" priority="24" operator="equal">
      <formula>"critico"</formula>
    </cfRule>
  </conditionalFormatting>
  <conditionalFormatting sqref="H73:I73">
    <cfRule type="cellIs" dxfId="2476" priority="21" operator="equal">
      <formula>"Adecuado"</formula>
    </cfRule>
    <cfRule type="cellIs" dxfId="2475" priority="22" operator="equal">
      <formula>"en riesgo"</formula>
    </cfRule>
  </conditionalFormatting>
  <conditionalFormatting sqref="J73:K73">
    <cfRule type="cellIs" dxfId="2474" priority="19" operator="equal">
      <formula>"Adecuado"</formula>
    </cfRule>
    <cfRule type="cellIs" dxfId="2473" priority="20" operator="equal">
      <formula>"en riesgo"</formula>
    </cfRule>
  </conditionalFormatting>
  <conditionalFormatting sqref="L73:M73">
    <cfRule type="cellIs" dxfId="2472" priority="17" operator="equal">
      <formula>"optimo"</formula>
    </cfRule>
    <cfRule type="cellIs" dxfId="2471" priority="18" operator="equal">
      <formula>"critico"</formula>
    </cfRule>
  </conditionalFormatting>
  <conditionalFormatting sqref="F75:M86">
    <cfRule type="expression" dxfId="2470" priority="16">
      <formula>+IF($AK75=0,1)</formula>
    </cfRule>
  </conditionalFormatting>
  <conditionalFormatting sqref="F103:G103 F104">
    <cfRule type="expression" dxfId="2469" priority="15">
      <formula>+IF($G$102="No",1,0)</formula>
    </cfRule>
  </conditionalFormatting>
  <conditionalFormatting sqref="F51">
    <cfRule type="expression" dxfId="2468" priority="14">
      <formula>+IF($F$43="no",1,0)</formula>
    </cfRule>
  </conditionalFormatting>
  <conditionalFormatting sqref="I51">
    <cfRule type="expression" dxfId="2467" priority="13">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0">
    <tabColor rgb="FF0070C0"/>
  </sheetPr>
  <dimension ref="B1:AV113"/>
  <sheetViews>
    <sheetView topLeftCell="A55" zoomScaleNormal="100" workbookViewId="0">
      <selection activeCell="G80" sqref="G8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213</v>
      </c>
      <c r="O10" s="2"/>
    </row>
    <row r="11" spans="2:24" ht="3.95" customHeight="1" x14ac:dyDescent="0.25">
      <c r="B11" s="2"/>
      <c r="D11" s="6"/>
      <c r="O11" s="2"/>
    </row>
    <row r="12" spans="2:24" ht="36" customHeight="1" x14ac:dyDescent="0.25">
      <c r="B12" s="2"/>
      <c r="D12" s="338" t="s">
        <v>5</v>
      </c>
      <c r="E12" s="339"/>
      <c r="F12" s="340" t="s">
        <v>214</v>
      </c>
      <c r="G12" s="341"/>
      <c r="H12" s="341"/>
      <c r="I12" s="341"/>
      <c r="J12" s="341"/>
      <c r="K12" s="341"/>
      <c r="L12" s="341"/>
      <c r="M12" s="342"/>
      <c r="O12" s="2"/>
      <c r="W12" s="3" t="str">
        <f>+F23</f>
        <v>Trimestral</v>
      </c>
      <c r="X12" s="3" t="str">
        <f>+F71</f>
        <v>Marzo</v>
      </c>
    </row>
    <row r="13" spans="2:24" ht="3.95" customHeight="1" x14ac:dyDescent="0.25">
      <c r="B13" s="2"/>
      <c r="O13" s="2"/>
    </row>
    <row r="14" spans="2:24" ht="38.25" customHeight="1" x14ac:dyDescent="0.25">
      <c r="B14" s="2"/>
      <c r="D14" s="338" t="s">
        <v>6</v>
      </c>
      <c r="E14" s="339"/>
      <c r="F14" s="340" t="s">
        <v>845</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17">
        <v>0.78</v>
      </c>
      <c r="G22" s="337" t="s">
        <v>9</v>
      </c>
      <c r="H22" s="337"/>
      <c r="I22" s="17">
        <v>0.8</v>
      </c>
      <c r="K22" s="337" t="s">
        <v>10</v>
      </c>
      <c r="L22" s="337"/>
      <c r="M22" s="9" t="s">
        <v>496</v>
      </c>
      <c r="O22" s="2"/>
    </row>
    <row r="23" spans="2:17" ht="19.5" customHeight="1" x14ac:dyDescent="0.25">
      <c r="B23" s="2"/>
      <c r="D23" s="337" t="s">
        <v>11</v>
      </c>
      <c r="E23" s="337"/>
      <c r="F23" s="4" t="s">
        <v>71</v>
      </c>
      <c r="G23" s="337" t="s">
        <v>12</v>
      </c>
      <c r="H23" s="337"/>
      <c r="I23" s="4" t="s">
        <v>497</v>
      </c>
      <c r="K23" s="337" t="s">
        <v>13</v>
      </c>
      <c r="L23" s="337"/>
      <c r="M23" s="9" t="s">
        <v>2</v>
      </c>
      <c r="O23" s="2"/>
    </row>
    <row r="24" spans="2:17" ht="20.100000000000001" customHeight="1" x14ac:dyDescent="0.25">
      <c r="B24" s="2"/>
      <c r="D24" s="337" t="s">
        <v>14</v>
      </c>
      <c r="E24" s="337"/>
      <c r="F24" s="4" t="s">
        <v>498</v>
      </c>
      <c r="G24" s="337" t="s">
        <v>15</v>
      </c>
      <c r="H24" s="337"/>
      <c r="I24" s="4" t="s">
        <v>533</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716</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proteccion</v>
      </c>
    </row>
    <row r="31" spans="2:17" ht="24" customHeight="1" x14ac:dyDescent="0.25">
      <c r="B31" s="2"/>
      <c r="D31" s="347"/>
      <c r="E31" s="348"/>
      <c r="F31" s="4" t="s">
        <v>202</v>
      </c>
      <c r="G31" s="340" t="s">
        <v>203</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792</v>
      </c>
      <c r="G33" s="340" t="s">
        <v>719</v>
      </c>
      <c r="H33" s="341"/>
      <c r="I33" s="341"/>
      <c r="J33" s="341"/>
      <c r="K33" s="341"/>
      <c r="L33" s="341"/>
      <c r="M33" s="342"/>
      <c r="O33" s="2"/>
      <c r="Q33" s="3">
        <f>+IFERROR(IF(VLOOKUP(G33,base!$A$26:$C$40,3,FALSE)=F31,1,0),"")</f>
        <v>1</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1715</v>
      </c>
      <c r="G35" s="340" t="s">
        <v>1591</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501</v>
      </c>
      <c r="G45" s="340" t="s">
        <v>515</v>
      </c>
      <c r="H45" s="341"/>
      <c r="I45" s="341"/>
      <c r="J45" s="341"/>
      <c r="K45" s="341"/>
      <c r="L45" s="341"/>
      <c r="M45" s="342"/>
      <c r="O45" s="2"/>
      <c r="Q45" s="3" t="str">
        <f>+IFERROR(VLOOKUP(G45,base!$A$41:$C$45,3,FALSE),"")</f>
        <v>misional</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503</v>
      </c>
      <c r="G47" s="340" t="s">
        <v>504</v>
      </c>
      <c r="H47" s="341"/>
      <c r="I47" s="341"/>
      <c r="J47" s="341"/>
      <c r="K47" s="341"/>
      <c r="L47" s="341"/>
      <c r="M47" s="342"/>
      <c r="O47" s="2"/>
      <c r="Q47" s="3">
        <f>+IF(VLOOKUP(G47,base!$A$46:$C$66,3,FALSE)=F45,1,0)</f>
        <v>1</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1769</v>
      </c>
      <c r="G49" s="340" t="s">
        <v>1770</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8"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6.75" customHeight="1" x14ac:dyDescent="0.25">
      <c r="B59" s="2"/>
      <c r="D59" s="337" t="s">
        <v>34</v>
      </c>
      <c r="E59" s="337"/>
      <c r="F59" s="344" t="s">
        <v>846</v>
      </c>
      <c r="G59" s="344"/>
      <c r="H59" s="344"/>
      <c r="I59" s="344"/>
      <c r="J59" s="344"/>
      <c r="K59" s="344"/>
      <c r="L59" s="344"/>
      <c r="M59" s="344"/>
      <c r="O59" s="2"/>
    </row>
    <row r="60" spans="2:15" ht="30" customHeight="1" x14ac:dyDescent="0.25">
      <c r="B60" s="2"/>
      <c r="D60" s="359" t="s">
        <v>35</v>
      </c>
      <c r="E60" s="359"/>
      <c r="F60" s="344" t="s">
        <v>847</v>
      </c>
      <c r="G60" s="344"/>
      <c r="H60" s="344"/>
      <c r="I60" s="344"/>
      <c r="J60" s="344"/>
      <c r="K60" s="344"/>
      <c r="L60" s="344"/>
      <c r="M60" s="344"/>
      <c r="O60" s="2"/>
    </row>
    <row r="61" spans="2:15" ht="29.25" customHeight="1" x14ac:dyDescent="0.25">
      <c r="B61" s="2"/>
      <c r="D61" s="359" t="s">
        <v>36</v>
      </c>
      <c r="E61" s="359"/>
      <c r="F61" s="344" t="s">
        <v>848</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43" t="s">
        <v>39</v>
      </c>
      <c r="E71" s="343"/>
      <c r="F71" s="4" t="s">
        <v>47</v>
      </c>
      <c r="G71" s="3">
        <v>3</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v>0.39900000000000002</v>
      </c>
      <c r="H77" s="16">
        <v>0.4</v>
      </c>
      <c r="I77" s="16">
        <v>0.59899999999999998</v>
      </c>
      <c r="J77" s="16">
        <v>0.6</v>
      </c>
      <c r="K77" s="16">
        <v>0.79900000000000004</v>
      </c>
      <c r="L77" s="16">
        <v>0.8</v>
      </c>
      <c r="M77" s="16" t="s">
        <v>500</v>
      </c>
      <c r="O77" s="2"/>
      <c r="AE77" s="3" t="s">
        <v>47</v>
      </c>
      <c r="AF77" s="3">
        <v>3</v>
      </c>
      <c r="AG77" s="3">
        <f t="shared" si="0"/>
        <v>1</v>
      </c>
      <c r="AH77" s="3">
        <f>+IF(AG77=0,0,IF(AG77=1,(SUM($AG$75:AG77)-1),1))</f>
        <v>0</v>
      </c>
      <c r="AI77" s="3">
        <f t="shared" si="1"/>
        <v>0</v>
      </c>
      <c r="AJ77" s="3">
        <f t="shared" si="2"/>
        <v>1</v>
      </c>
      <c r="AK77" s="3">
        <f t="shared" si="3"/>
        <v>1</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2</v>
      </c>
      <c r="AI79" s="3">
        <f t="shared" si="1"/>
        <v>0</v>
      </c>
      <c r="AJ79" s="3">
        <f t="shared" si="2"/>
        <v>0</v>
      </c>
      <c r="AK79" s="3">
        <f t="shared" si="3"/>
        <v>0</v>
      </c>
    </row>
    <row r="80" spans="2:37" x14ac:dyDescent="0.25">
      <c r="B80" s="2"/>
      <c r="D80" s="360" t="s">
        <v>50</v>
      </c>
      <c r="E80" s="360"/>
      <c r="F80" s="16" t="s">
        <v>500</v>
      </c>
      <c r="G80" s="16">
        <v>0.39900000000000002</v>
      </c>
      <c r="H80" s="16">
        <v>0.4</v>
      </c>
      <c r="I80" s="16">
        <v>0.59899999999999998</v>
      </c>
      <c r="J80" s="16">
        <v>0.6</v>
      </c>
      <c r="K80" s="16">
        <v>0.79900000000000004</v>
      </c>
      <c r="L80" s="16">
        <v>0.8</v>
      </c>
      <c r="M80" s="16" t="s">
        <v>500</v>
      </c>
      <c r="O80" s="2"/>
      <c r="AE80" s="3" t="s">
        <v>50</v>
      </c>
      <c r="AF80" s="3">
        <v>6</v>
      </c>
      <c r="AG80" s="3">
        <f t="shared" si="0"/>
        <v>1</v>
      </c>
      <c r="AH80" s="3">
        <f>+IF(AG80=0,0,IF(AG80=1,(SUM($AG$75:AG80)-1),1))</f>
        <v>3</v>
      </c>
      <c r="AI80" s="3">
        <f t="shared" si="1"/>
        <v>1</v>
      </c>
      <c r="AJ80" s="3">
        <f t="shared" si="2"/>
        <v>0</v>
      </c>
      <c r="AK80" s="3">
        <f t="shared" si="3"/>
        <v>1</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4</v>
      </c>
      <c r="AI81" s="3">
        <f t="shared" si="1"/>
        <v>0</v>
      </c>
      <c r="AJ81" s="3">
        <f t="shared" si="2"/>
        <v>0</v>
      </c>
      <c r="AK81" s="3">
        <f t="shared" si="3"/>
        <v>0</v>
      </c>
    </row>
    <row r="82" spans="2:37" x14ac:dyDescent="0.25">
      <c r="B82" s="2"/>
      <c r="D82" s="360" t="s">
        <v>54</v>
      </c>
      <c r="E82" s="360"/>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60" t="s">
        <v>55</v>
      </c>
      <c r="E83" s="360"/>
      <c r="F83" s="16" t="s">
        <v>500</v>
      </c>
      <c r="G83" s="16">
        <v>0.39900000000000002</v>
      </c>
      <c r="H83" s="16">
        <v>0.4</v>
      </c>
      <c r="I83" s="16">
        <v>0.59899999999999998</v>
      </c>
      <c r="J83" s="16">
        <v>0.6</v>
      </c>
      <c r="K83" s="16">
        <v>0.79900000000000004</v>
      </c>
      <c r="L83" s="16">
        <v>0.8</v>
      </c>
      <c r="M83" s="16" t="s">
        <v>500</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60" t="s">
        <v>58</v>
      </c>
      <c r="E86" s="360"/>
      <c r="F86" s="16" t="s">
        <v>500</v>
      </c>
      <c r="G86" s="16">
        <v>0.39900000000000002</v>
      </c>
      <c r="H86" s="16">
        <v>0.4</v>
      </c>
      <c r="I86" s="16">
        <v>0.59899999999999998</v>
      </c>
      <c r="J86" s="16">
        <v>0.6</v>
      </c>
      <c r="K86" s="16">
        <v>0.79900000000000004</v>
      </c>
      <c r="L86" s="16">
        <v>0.8</v>
      </c>
      <c r="M86" s="16" t="s">
        <v>500</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185.25" customHeight="1" x14ac:dyDescent="0.25">
      <c r="B88" s="2"/>
      <c r="D88" s="338" t="s">
        <v>59</v>
      </c>
      <c r="E88" s="339"/>
      <c r="F88" s="340" t="s">
        <v>723</v>
      </c>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2" customHeight="1" x14ac:dyDescent="0.25">
      <c r="B97" s="2"/>
      <c r="D97" s="359" t="s">
        <v>35</v>
      </c>
      <c r="E97" s="359"/>
      <c r="F97" s="344" t="s">
        <v>773</v>
      </c>
      <c r="G97" s="344"/>
      <c r="H97" s="344"/>
      <c r="I97" s="344"/>
      <c r="J97" s="344"/>
      <c r="K97" s="344"/>
      <c r="L97" s="344"/>
      <c r="M97" s="344"/>
      <c r="O97" s="2"/>
    </row>
    <row r="98" spans="2:15" ht="42" customHeight="1" x14ac:dyDescent="0.25">
      <c r="B98" s="2"/>
      <c r="D98" s="359" t="s">
        <v>36</v>
      </c>
      <c r="E98" s="359"/>
      <c r="F98" s="344" t="s">
        <v>774</v>
      </c>
      <c r="G98" s="344"/>
      <c r="H98" s="344"/>
      <c r="I98" s="344"/>
      <c r="J98" s="344"/>
      <c r="K98" s="344"/>
      <c r="L98" s="344"/>
      <c r="M98" s="344"/>
      <c r="O98" s="2"/>
    </row>
    <row r="99" spans="2:15" ht="3.95" customHeight="1" x14ac:dyDescent="0.25">
      <c r="B99" s="2"/>
      <c r="O99" s="2"/>
    </row>
    <row r="100" spans="2:15" ht="195.75" customHeight="1" x14ac:dyDescent="0.25">
      <c r="B100" s="2"/>
      <c r="D100" s="338" t="s">
        <v>62</v>
      </c>
      <c r="E100" s="339"/>
      <c r="F100" s="340" t="s">
        <v>724</v>
      </c>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1</v>
      </c>
      <c r="K102" s="20"/>
      <c r="O102" s="2"/>
    </row>
    <row r="103" spans="2:15" ht="19.5" customHeight="1" x14ac:dyDescent="0.25">
      <c r="B103" s="2"/>
      <c r="D103" s="331"/>
      <c r="E103" s="332"/>
      <c r="F103" s="19" t="s">
        <v>66</v>
      </c>
      <c r="G103" s="4" t="s">
        <v>234</v>
      </c>
      <c r="K103" s="21"/>
      <c r="O103" s="2"/>
    </row>
    <row r="104" spans="2:15" ht="27.75" customHeight="1" x14ac:dyDescent="0.25">
      <c r="B104" s="2"/>
      <c r="D104" s="331"/>
      <c r="E104" s="332"/>
      <c r="F104" s="19" t="s">
        <v>67</v>
      </c>
      <c r="G104" s="340" t="s">
        <v>214</v>
      </c>
      <c r="H104" s="341"/>
      <c r="I104" s="341"/>
      <c r="J104" s="341"/>
      <c r="K104" s="341"/>
      <c r="L104" s="341"/>
      <c r="M104" s="342"/>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40" t="str">
        <f>+VLOOKUP(H10,tablero!$P$5:$R$201,3,FALSE)</f>
        <v xml:space="preserve">Subdirector(a) Restablecimiento de Derechos </v>
      </c>
      <c r="H108" s="341"/>
      <c r="I108" s="341"/>
      <c r="J108" s="341"/>
      <c r="K108" s="341"/>
      <c r="L108" s="341"/>
      <c r="M108" s="342"/>
      <c r="O108" s="2"/>
    </row>
    <row r="109" spans="2:15" ht="17.25" customHeight="1" x14ac:dyDescent="0.25">
      <c r="B109" s="2"/>
      <c r="D109" s="331"/>
      <c r="E109" s="332"/>
      <c r="F109" s="19" t="s">
        <v>2042</v>
      </c>
      <c r="G109" s="340" t="str">
        <f>+IF(M23="Si","Coordinador(a) Planeación y Sistemas","")</f>
        <v/>
      </c>
      <c r="H109" s="341"/>
      <c r="I109" s="341"/>
      <c r="J109" s="341"/>
      <c r="K109" s="341"/>
      <c r="L109" s="341"/>
      <c r="M109" s="342"/>
      <c r="O109" s="2"/>
    </row>
    <row r="110" spans="2:15" ht="17.25" customHeight="1" x14ac:dyDescent="0.25">
      <c r="B110" s="2"/>
      <c r="D110" s="331"/>
      <c r="E110" s="332"/>
      <c r="F110" s="19" t="s">
        <v>2043</v>
      </c>
      <c r="G110" s="340" t="str">
        <f>+IF(M24="Si","Coordinador(a) Centro Zonal","")</f>
        <v/>
      </c>
      <c r="H110" s="341"/>
      <c r="I110" s="341"/>
      <c r="J110" s="341"/>
      <c r="K110" s="341"/>
      <c r="L110" s="341"/>
      <c r="M110" s="342"/>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466" priority="31">
      <formula>+IF($F$43="no",1,0)</formula>
    </cfRule>
  </conditionalFormatting>
  <conditionalFormatting sqref="F32:M33">
    <cfRule type="expression" dxfId="2465" priority="30">
      <formula>+IF($Q$30="NA",1,0)</formula>
    </cfRule>
  </conditionalFormatting>
  <conditionalFormatting sqref="F33:M33">
    <cfRule type="expression" dxfId="2464" priority="29">
      <formula>+IF($Q$33=0,1,0)</formula>
    </cfRule>
  </conditionalFormatting>
  <conditionalFormatting sqref="F47:M47">
    <cfRule type="expression" dxfId="2463" priority="28">
      <formula>+IF($Q$47=0,1,0)</formula>
    </cfRule>
  </conditionalFormatting>
  <conditionalFormatting sqref="F73:G73">
    <cfRule type="cellIs" dxfId="2462" priority="17" operator="equal">
      <formula>"optimo"</formula>
    </cfRule>
    <cfRule type="cellIs" dxfId="2461" priority="18" operator="equal">
      <formula>"critico"</formula>
    </cfRule>
  </conditionalFormatting>
  <conditionalFormatting sqref="H73:I73">
    <cfRule type="cellIs" dxfId="2460" priority="15" operator="equal">
      <formula>"Adecuado"</formula>
    </cfRule>
    <cfRule type="cellIs" dxfId="2459" priority="16" operator="equal">
      <formula>"en riesgo"</formula>
    </cfRule>
  </conditionalFormatting>
  <conditionalFormatting sqref="J73:K73">
    <cfRule type="cellIs" dxfId="2458" priority="13" operator="equal">
      <formula>"Adecuado"</formula>
    </cfRule>
    <cfRule type="cellIs" dxfId="2457" priority="14" operator="equal">
      <formula>"en riesgo"</formula>
    </cfRule>
  </conditionalFormatting>
  <conditionalFormatting sqref="L73:M73">
    <cfRule type="cellIs" dxfId="2456" priority="11" operator="equal">
      <formula>"optimo"</formula>
    </cfRule>
    <cfRule type="cellIs" dxfId="2455" priority="12" operator="equal">
      <formula>"critico"</formula>
    </cfRule>
  </conditionalFormatting>
  <conditionalFormatting sqref="F75:M86">
    <cfRule type="expression" dxfId="2454" priority="10">
      <formula>+IF($AK75=0,1)</formula>
    </cfRule>
  </conditionalFormatting>
  <conditionalFormatting sqref="F103:G104">
    <cfRule type="expression" dxfId="2453" priority="9">
      <formula>+IF($G$102="No",1,0)</formula>
    </cfRule>
  </conditionalFormatting>
  <conditionalFormatting sqref="F51">
    <cfRule type="expression" dxfId="2452" priority="8">
      <formula>+IF($F$43="no",1,0)</formula>
    </cfRule>
  </conditionalFormatting>
  <conditionalFormatting sqref="I51">
    <cfRule type="expression" dxfId="2451" priority="7">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1">
    <tabColor rgb="FF0070C0"/>
  </sheetPr>
  <dimension ref="B1:AV113"/>
  <sheetViews>
    <sheetView topLeftCell="A52" zoomScaleNormal="100" workbookViewId="0">
      <selection activeCell="J86" sqref="J86:K86"/>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215</v>
      </c>
      <c r="O10" s="2"/>
    </row>
    <row r="11" spans="2:24" ht="3.95" customHeight="1" x14ac:dyDescent="0.25">
      <c r="B11" s="2"/>
      <c r="D11" s="6"/>
      <c r="O11" s="2"/>
    </row>
    <row r="12" spans="2:24" ht="36" customHeight="1" x14ac:dyDescent="0.25">
      <c r="B12" s="2"/>
      <c r="D12" s="338" t="s">
        <v>5</v>
      </c>
      <c r="E12" s="339"/>
      <c r="F12" s="340" t="s">
        <v>216</v>
      </c>
      <c r="G12" s="341"/>
      <c r="H12" s="341"/>
      <c r="I12" s="341"/>
      <c r="J12" s="341"/>
      <c r="K12" s="341"/>
      <c r="L12" s="341"/>
      <c r="M12" s="342"/>
      <c r="O12" s="2"/>
      <c r="W12" s="3" t="str">
        <f>+F23</f>
        <v xml:space="preserve">Anual </v>
      </c>
      <c r="X12" s="3" t="str">
        <f>+F71</f>
        <v>Diciembre</v>
      </c>
    </row>
    <row r="13" spans="2:24" ht="3.95" customHeight="1" x14ac:dyDescent="0.25">
      <c r="B13" s="2"/>
      <c r="O13" s="2"/>
    </row>
    <row r="14" spans="2:24" ht="38.25" customHeight="1" x14ac:dyDescent="0.25">
      <c r="B14" s="2"/>
      <c r="D14" s="338" t="s">
        <v>6</v>
      </c>
      <c r="E14" s="339"/>
      <c r="F14" s="340" t="s">
        <v>841</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17">
        <v>0.22</v>
      </c>
      <c r="G22" s="337" t="s">
        <v>9</v>
      </c>
      <c r="H22" s="337"/>
      <c r="I22" s="17">
        <v>0.44</v>
      </c>
      <c r="K22" s="337" t="s">
        <v>10</v>
      </c>
      <c r="L22" s="337"/>
      <c r="M22" s="9" t="s">
        <v>496</v>
      </c>
      <c r="O22" s="2"/>
    </row>
    <row r="23" spans="2:17" ht="19.5" customHeight="1" x14ac:dyDescent="0.25">
      <c r="B23" s="2"/>
      <c r="D23" s="337" t="s">
        <v>11</v>
      </c>
      <c r="E23" s="337"/>
      <c r="F23" s="4" t="s">
        <v>808</v>
      </c>
      <c r="G23" s="337" t="s">
        <v>12</v>
      </c>
      <c r="H23" s="337"/>
      <c r="I23" s="4" t="s">
        <v>497</v>
      </c>
      <c r="K23" s="337" t="s">
        <v>13</v>
      </c>
      <c r="L23" s="337"/>
      <c r="M23" s="9" t="s">
        <v>2</v>
      </c>
      <c r="O23" s="2"/>
    </row>
    <row r="24" spans="2:17" ht="20.100000000000001" customHeight="1" x14ac:dyDescent="0.25">
      <c r="B24" s="2"/>
      <c r="D24" s="337" t="s">
        <v>14</v>
      </c>
      <c r="E24" s="337"/>
      <c r="F24" s="4" t="s">
        <v>498</v>
      </c>
      <c r="G24" s="337" t="s">
        <v>15</v>
      </c>
      <c r="H24" s="337"/>
      <c r="I24" s="4" t="s">
        <v>554</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716</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proteccion</v>
      </c>
    </row>
    <row r="31" spans="2:17" ht="24" customHeight="1" x14ac:dyDescent="0.25">
      <c r="B31" s="2"/>
      <c r="D31" s="347"/>
      <c r="E31" s="348"/>
      <c r="F31" s="4" t="s">
        <v>202</v>
      </c>
      <c r="G31" s="340" t="s">
        <v>203</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792</v>
      </c>
      <c r="G33" s="340" t="s">
        <v>719</v>
      </c>
      <c r="H33" s="341"/>
      <c r="I33" s="341"/>
      <c r="J33" s="341"/>
      <c r="K33" s="341"/>
      <c r="L33" s="341"/>
      <c r="M33" s="342"/>
      <c r="O33" s="2"/>
      <c r="Q33" s="3">
        <f>+IFERROR(IF(VLOOKUP(G33,base!$A$26:$C$40,3,FALSE)=F31,1,0),"")</f>
        <v>1</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1715</v>
      </c>
      <c r="G35" s="340" t="s">
        <v>1591</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501</v>
      </c>
      <c r="G45" s="340" t="s">
        <v>515</v>
      </c>
      <c r="H45" s="341"/>
      <c r="I45" s="341"/>
      <c r="J45" s="341"/>
      <c r="K45" s="341"/>
      <c r="L45" s="341"/>
      <c r="M45" s="342"/>
      <c r="O45" s="2"/>
      <c r="Q45" s="3" t="str">
        <f>+IFERROR(VLOOKUP(G45,base!$A$41:$C$45,3,FALSE),"")</f>
        <v>misional</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503</v>
      </c>
      <c r="G47" s="340" t="s">
        <v>504</v>
      </c>
      <c r="H47" s="341"/>
      <c r="I47" s="341"/>
      <c r="J47" s="341"/>
      <c r="K47" s="341"/>
      <c r="L47" s="341"/>
      <c r="M47" s="342"/>
      <c r="O47" s="2"/>
      <c r="Q47" s="3">
        <f>+IF(VLOOKUP(G47,base!$A$46:$C$66,3,FALSE)=F45,1,0)</f>
        <v>1</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786</v>
      </c>
      <c r="G49" s="340" t="s">
        <v>717</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496</v>
      </c>
      <c r="G51" s="337" t="s">
        <v>32</v>
      </c>
      <c r="H51" s="337"/>
      <c r="I51" s="17">
        <v>1</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47.25" customHeight="1" x14ac:dyDescent="0.25">
      <c r="B59" s="2"/>
      <c r="D59" s="337" t="s">
        <v>34</v>
      </c>
      <c r="E59" s="337"/>
      <c r="F59" s="344" t="s">
        <v>842</v>
      </c>
      <c r="G59" s="344"/>
      <c r="H59" s="344"/>
      <c r="I59" s="344"/>
      <c r="J59" s="344"/>
      <c r="K59" s="344"/>
      <c r="L59" s="344"/>
      <c r="M59" s="344"/>
      <c r="O59" s="2"/>
    </row>
    <row r="60" spans="2:15" ht="30" customHeight="1" x14ac:dyDescent="0.25">
      <c r="B60" s="2"/>
      <c r="D60" s="359" t="s">
        <v>35</v>
      </c>
      <c r="E60" s="359"/>
      <c r="F60" s="344" t="s">
        <v>843</v>
      </c>
      <c r="G60" s="344"/>
      <c r="H60" s="344"/>
      <c r="I60" s="344"/>
      <c r="J60" s="344"/>
      <c r="K60" s="344"/>
      <c r="L60" s="344"/>
      <c r="M60" s="344"/>
      <c r="O60" s="2"/>
    </row>
    <row r="61" spans="2:15" ht="29.25" customHeight="1" x14ac:dyDescent="0.25">
      <c r="B61" s="2"/>
      <c r="D61" s="359" t="s">
        <v>36</v>
      </c>
      <c r="E61" s="359"/>
      <c r="F61" s="344" t="s">
        <v>844</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t="str">
        <f>+IFERROR(VLOOKUP(F23,base!$A$1:$B$8,2,FALSE),"")</f>
        <v/>
      </c>
    </row>
    <row r="70" spans="2:37" ht="3.95" customHeight="1" x14ac:dyDescent="0.25">
      <c r="B70" s="2"/>
      <c r="D70" s="7"/>
      <c r="E70" s="7"/>
      <c r="O70" s="2"/>
    </row>
    <row r="71" spans="2:37" ht="18.75" customHeight="1" x14ac:dyDescent="0.25">
      <c r="B71" s="2"/>
      <c r="D71" s="343" t="s">
        <v>39</v>
      </c>
      <c r="E71" s="343"/>
      <c r="F71" s="4" t="s">
        <v>58</v>
      </c>
      <c r="G71" s="3">
        <v>12</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60" t="s">
        <v>50</v>
      </c>
      <c r="E80" s="360"/>
      <c r="F80" s="16" t="s">
        <v>500</v>
      </c>
      <c r="G80" s="16" t="s">
        <v>500</v>
      </c>
      <c r="H80" s="16" t="s">
        <v>500</v>
      </c>
      <c r="I80" s="16" t="s">
        <v>500</v>
      </c>
      <c r="J80" s="16" t="s">
        <v>500</v>
      </c>
      <c r="K80" s="16" t="s">
        <v>500</v>
      </c>
      <c r="L80" s="16" t="s">
        <v>500</v>
      </c>
      <c r="M80" s="16" t="s">
        <v>500</v>
      </c>
      <c r="O80" s="2"/>
      <c r="AE80" s="3" t="s">
        <v>50</v>
      </c>
      <c r="AF80" s="3">
        <v>6</v>
      </c>
      <c r="AG80" s="3">
        <f t="shared" si="0"/>
        <v>0</v>
      </c>
      <c r="AH80" s="3">
        <f>+IF(AG80=0,0,IF(AG80=1,(SUM($AG$75:AG80)-1),1))</f>
        <v>0</v>
      </c>
      <c r="AI80" s="3">
        <f t="shared" si="1"/>
        <v>0</v>
      </c>
      <c r="AJ80" s="3">
        <f t="shared" si="2"/>
        <v>0</v>
      </c>
      <c r="AK80" s="3">
        <f t="shared" si="3"/>
        <v>0</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0</v>
      </c>
      <c r="AH81" s="3">
        <f>+IF(AG81=0,0,IF(AG81=1,(SUM($AG$75:AG81)-1),1))</f>
        <v>0</v>
      </c>
      <c r="AI81" s="3">
        <f t="shared" si="1"/>
        <v>0</v>
      </c>
      <c r="AJ81" s="3">
        <f t="shared" si="2"/>
        <v>0</v>
      </c>
      <c r="AK81" s="3">
        <f t="shared" si="3"/>
        <v>0</v>
      </c>
    </row>
    <row r="82" spans="2:37" x14ac:dyDescent="0.25">
      <c r="B82" s="2"/>
      <c r="D82" s="360" t="s">
        <v>54</v>
      </c>
      <c r="E82" s="360"/>
      <c r="F82" s="16" t="s">
        <v>500</v>
      </c>
      <c r="G82" s="16" t="s">
        <v>500</v>
      </c>
      <c r="H82" s="16" t="s">
        <v>500</v>
      </c>
      <c r="I82" s="16" t="s">
        <v>500</v>
      </c>
      <c r="J82" s="16" t="s">
        <v>500</v>
      </c>
      <c r="K82" s="16" t="s">
        <v>500</v>
      </c>
      <c r="L82" s="16" t="s">
        <v>500</v>
      </c>
      <c r="M82" s="16" t="s">
        <v>500</v>
      </c>
      <c r="O82" s="2"/>
      <c r="AE82" s="3" t="s">
        <v>54</v>
      </c>
      <c r="AF82" s="3">
        <v>8</v>
      </c>
      <c r="AG82" s="3">
        <f t="shared" si="0"/>
        <v>0</v>
      </c>
      <c r="AH82" s="3">
        <f>+IF(AG82=0,0,IF(AG82=1,(SUM($AG$75:AG82)-1),1))</f>
        <v>0</v>
      </c>
      <c r="AI82" s="3">
        <f t="shared" si="1"/>
        <v>0</v>
      </c>
      <c r="AJ82" s="3">
        <f t="shared" si="2"/>
        <v>0</v>
      </c>
      <c r="AK82" s="3">
        <f t="shared" si="3"/>
        <v>0</v>
      </c>
    </row>
    <row r="83" spans="2:37" x14ac:dyDescent="0.25">
      <c r="B83" s="2"/>
      <c r="D83" s="360" t="s">
        <v>55</v>
      </c>
      <c r="E83" s="360"/>
      <c r="F83" s="16" t="s">
        <v>500</v>
      </c>
      <c r="G83" s="16" t="s">
        <v>500</v>
      </c>
      <c r="H83" s="16" t="s">
        <v>500</v>
      </c>
      <c r="I83" s="16" t="s">
        <v>500</v>
      </c>
      <c r="J83" s="16" t="s">
        <v>500</v>
      </c>
      <c r="K83" s="16" t="s">
        <v>500</v>
      </c>
      <c r="L83" s="16" t="s">
        <v>500</v>
      </c>
      <c r="M83" s="16" t="s">
        <v>500</v>
      </c>
      <c r="O83" s="2"/>
      <c r="AE83" s="3" t="s">
        <v>55</v>
      </c>
      <c r="AF83" s="3">
        <v>9</v>
      </c>
      <c r="AG83" s="3">
        <f t="shared" si="0"/>
        <v>0</v>
      </c>
      <c r="AH83" s="3">
        <f>+IF(AG83=0,0,IF(AG83=1,(SUM($AG$75:AG83)-1),1))</f>
        <v>0</v>
      </c>
      <c r="AI83" s="3">
        <f t="shared" si="1"/>
        <v>0</v>
      </c>
      <c r="AJ83" s="3">
        <f t="shared" si="2"/>
        <v>0</v>
      </c>
      <c r="AK83" s="3">
        <f t="shared" si="3"/>
        <v>0</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0</v>
      </c>
      <c r="AH84" s="3">
        <f>+IF(AG84=0,0,IF(AG84=1,(SUM($AG$75:AG84)-1),1))</f>
        <v>0</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0</v>
      </c>
      <c r="AH85" s="3">
        <f>+IF(AG85=0,0,IF(AG85=1,(SUM($AG$75:AG85)-1),1))</f>
        <v>0</v>
      </c>
      <c r="AI85" s="3">
        <f t="shared" si="1"/>
        <v>0</v>
      </c>
      <c r="AJ85" s="3">
        <f t="shared" si="2"/>
        <v>0</v>
      </c>
      <c r="AK85" s="3">
        <f t="shared" si="3"/>
        <v>0</v>
      </c>
    </row>
    <row r="86" spans="2:37" x14ac:dyDescent="0.25">
      <c r="B86" s="2"/>
      <c r="D86" s="360" t="s">
        <v>58</v>
      </c>
      <c r="E86" s="360"/>
      <c r="F86" s="16" t="s">
        <v>500</v>
      </c>
      <c r="G86" s="16">
        <v>0.23</v>
      </c>
      <c r="H86" s="16">
        <v>0.23100000000000001</v>
      </c>
      <c r="I86" s="16">
        <v>0.34899999999999998</v>
      </c>
      <c r="J86" s="16">
        <v>0.35</v>
      </c>
      <c r="K86" s="16">
        <v>0.439</v>
      </c>
      <c r="L86" s="16">
        <v>0.44</v>
      </c>
      <c r="M86" s="16" t="s">
        <v>500</v>
      </c>
      <c r="O86" s="2"/>
      <c r="AE86" s="3" t="s">
        <v>58</v>
      </c>
      <c r="AF86" s="65">
        <v>12</v>
      </c>
      <c r="AG86" s="3">
        <f t="shared" si="0"/>
        <v>1</v>
      </c>
      <c r="AH86" s="3">
        <f>+IF(AG86=0,0,IF(AG86=1,(SUM($AG$75:AG86)-1),1))</f>
        <v>0</v>
      </c>
      <c r="AI86" s="3">
        <f t="shared" si="1"/>
        <v>0</v>
      </c>
      <c r="AJ86" s="3">
        <f t="shared" si="2"/>
        <v>1</v>
      </c>
      <c r="AK86" s="3">
        <f t="shared" si="3"/>
        <v>1</v>
      </c>
    </row>
    <row r="87" spans="2:37" ht="3.75" customHeight="1" x14ac:dyDescent="0.25">
      <c r="B87" s="2"/>
      <c r="O87" s="2"/>
    </row>
    <row r="88" spans="2:37" ht="66" customHeight="1" x14ac:dyDescent="0.25">
      <c r="B88" s="2"/>
      <c r="D88" s="338" t="s">
        <v>59</v>
      </c>
      <c r="E88" s="339"/>
      <c r="F88" s="340" t="s">
        <v>732</v>
      </c>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2" customHeight="1" x14ac:dyDescent="0.25">
      <c r="B97" s="2"/>
      <c r="D97" s="359" t="s">
        <v>35</v>
      </c>
      <c r="E97" s="359"/>
      <c r="F97" s="344" t="s">
        <v>778</v>
      </c>
      <c r="G97" s="344"/>
      <c r="H97" s="344"/>
      <c r="I97" s="344"/>
      <c r="J97" s="344"/>
      <c r="K97" s="344"/>
      <c r="L97" s="344"/>
      <c r="M97" s="344"/>
      <c r="O97" s="2"/>
    </row>
    <row r="98" spans="2:15" ht="42" customHeight="1" x14ac:dyDescent="0.25">
      <c r="B98" s="2"/>
      <c r="D98" s="359" t="s">
        <v>36</v>
      </c>
      <c r="E98" s="359"/>
      <c r="F98" s="344" t="s">
        <v>778</v>
      </c>
      <c r="G98" s="344"/>
      <c r="H98" s="344"/>
      <c r="I98" s="344"/>
      <c r="J98" s="344"/>
      <c r="K98" s="344"/>
      <c r="L98" s="344"/>
      <c r="M98" s="344"/>
      <c r="O98" s="2"/>
    </row>
    <row r="99" spans="2:15" ht="3.95" customHeight="1" x14ac:dyDescent="0.25">
      <c r="B99" s="2"/>
      <c r="O99" s="2"/>
    </row>
    <row r="100" spans="2:15" ht="260.25" customHeight="1" x14ac:dyDescent="0.25">
      <c r="B100" s="2"/>
      <c r="D100" s="338" t="s">
        <v>62</v>
      </c>
      <c r="E100" s="339"/>
      <c r="F100" s="420" t="s">
        <v>733</v>
      </c>
      <c r="G100" s="421"/>
      <c r="H100" s="421"/>
      <c r="I100" s="421"/>
      <c r="J100" s="421"/>
      <c r="K100" s="421"/>
      <c r="L100" s="421"/>
      <c r="M100" s="422"/>
      <c r="O100" s="2"/>
    </row>
    <row r="101" spans="2:15" ht="3.95" customHeight="1" x14ac:dyDescent="0.25">
      <c r="B101" s="2"/>
      <c r="O101" s="2"/>
    </row>
    <row r="102" spans="2:15" ht="19.5" customHeight="1" x14ac:dyDescent="0.25">
      <c r="B102" s="2"/>
      <c r="D102" s="329" t="s">
        <v>64</v>
      </c>
      <c r="E102" s="330"/>
      <c r="F102" s="19" t="s">
        <v>65</v>
      </c>
      <c r="G102" s="4" t="s">
        <v>2</v>
      </c>
      <c r="K102" s="20"/>
      <c r="O102" s="2"/>
    </row>
    <row r="103" spans="2:15" ht="19.5" customHeight="1" x14ac:dyDescent="0.25">
      <c r="B103" s="2"/>
      <c r="D103" s="331"/>
      <c r="E103" s="332"/>
      <c r="F103" s="19" t="s">
        <v>66</v>
      </c>
      <c r="G103" s="4"/>
      <c r="K103" s="21"/>
      <c r="O103" s="2"/>
    </row>
    <row r="104" spans="2:15" ht="27.75" customHeight="1" x14ac:dyDescent="0.25">
      <c r="B104" s="2"/>
      <c r="D104" s="331"/>
      <c r="E104" s="332"/>
      <c r="F104" s="19" t="s">
        <v>67</v>
      </c>
      <c r="G104" s="333"/>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 xml:space="preserve">Subdirector(a) Restablecimiento de Derechos </v>
      </c>
      <c r="H108" s="334"/>
      <c r="I108" s="334"/>
      <c r="J108" s="334"/>
      <c r="K108" s="334"/>
      <c r="L108" s="334"/>
      <c r="M108" s="335"/>
      <c r="O108" s="2"/>
    </row>
    <row r="109" spans="2:15" ht="17.25" customHeight="1" x14ac:dyDescent="0.25">
      <c r="B109" s="2"/>
      <c r="D109" s="331"/>
      <c r="E109" s="332"/>
      <c r="F109" s="19" t="s">
        <v>2042</v>
      </c>
      <c r="G109" s="333" t="str">
        <f>+IF(M23="Si","Coordinador(a) Planeación y Sistemas","")</f>
        <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450" priority="31">
      <formula>+IF($F$43="no",1,0)</formula>
    </cfRule>
  </conditionalFormatting>
  <conditionalFormatting sqref="F32:M33">
    <cfRule type="expression" dxfId="2449" priority="30">
      <formula>+IF($Q$30="NA",1,0)</formula>
    </cfRule>
  </conditionalFormatting>
  <conditionalFormatting sqref="F33:M33">
    <cfRule type="expression" dxfId="2448" priority="29">
      <formula>+IF($Q$33=0,1,0)</formula>
    </cfRule>
  </conditionalFormatting>
  <conditionalFormatting sqref="F47:M47">
    <cfRule type="expression" dxfId="2447" priority="28">
      <formula>+IF($Q$47=0,1,0)</formula>
    </cfRule>
  </conditionalFormatting>
  <conditionalFormatting sqref="F73:G73">
    <cfRule type="cellIs" dxfId="2446" priority="14" operator="equal">
      <formula>"optimo"</formula>
    </cfRule>
    <cfRule type="cellIs" dxfId="2445" priority="15" operator="equal">
      <formula>"critico"</formula>
    </cfRule>
  </conditionalFormatting>
  <conditionalFormatting sqref="H73:I73">
    <cfRule type="cellIs" dxfId="2444" priority="12" operator="equal">
      <formula>"Adecuado"</formula>
    </cfRule>
    <cfRule type="cellIs" dxfId="2443" priority="13" operator="equal">
      <formula>"en riesgo"</formula>
    </cfRule>
  </conditionalFormatting>
  <conditionalFormatting sqref="J73:K73">
    <cfRule type="cellIs" dxfId="2442" priority="10" operator="equal">
      <formula>"Adecuado"</formula>
    </cfRule>
    <cfRule type="cellIs" dxfId="2441" priority="11" operator="equal">
      <formula>"en riesgo"</formula>
    </cfRule>
  </conditionalFormatting>
  <conditionalFormatting sqref="L73:M73">
    <cfRule type="cellIs" dxfId="2440" priority="8" operator="equal">
      <formula>"optimo"</formula>
    </cfRule>
    <cfRule type="cellIs" dxfId="2439" priority="9" operator="equal">
      <formula>"critico"</formula>
    </cfRule>
  </conditionalFormatting>
  <conditionalFormatting sqref="F75:M86">
    <cfRule type="expression" dxfId="2438" priority="7">
      <formula>+IF($AK75=0,1)</formula>
    </cfRule>
  </conditionalFormatting>
  <conditionalFormatting sqref="F103:G104">
    <cfRule type="expression" dxfId="2437" priority="6">
      <formula>+IF($G$102="No",1,0)</formula>
    </cfRule>
  </conditionalFormatting>
  <conditionalFormatting sqref="F51">
    <cfRule type="expression" dxfId="2436" priority="5">
      <formula>+IF($F$43="no",1,0)</formula>
    </cfRule>
  </conditionalFormatting>
  <conditionalFormatting sqref="I51">
    <cfRule type="expression" dxfId="2435"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2">
    <tabColor rgb="FF0070C0"/>
  </sheetPr>
  <dimension ref="B1:AV113"/>
  <sheetViews>
    <sheetView topLeftCell="A64" zoomScaleNormal="100" workbookViewId="0">
      <selection activeCell="J86" sqref="J86:K86"/>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217</v>
      </c>
      <c r="O10" s="2"/>
    </row>
    <row r="11" spans="2:24" ht="3.95" customHeight="1" x14ac:dyDescent="0.25">
      <c r="B11" s="2"/>
      <c r="D11" s="6"/>
      <c r="O11" s="2"/>
    </row>
    <row r="12" spans="2:24" ht="36" customHeight="1" x14ac:dyDescent="0.25">
      <c r="B12" s="2"/>
      <c r="D12" s="338" t="s">
        <v>5</v>
      </c>
      <c r="E12" s="339"/>
      <c r="F12" s="340" t="s">
        <v>218</v>
      </c>
      <c r="G12" s="341"/>
      <c r="H12" s="341"/>
      <c r="I12" s="341"/>
      <c r="J12" s="341"/>
      <c r="K12" s="341"/>
      <c r="L12" s="341"/>
      <c r="M12" s="342"/>
      <c r="O12" s="2"/>
      <c r="W12" s="3" t="str">
        <f>+F23</f>
        <v>Trimestral</v>
      </c>
      <c r="X12" s="3" t="str">
        <f>+F71</f>
        <v>Marzo</v>
      </c>
    </row>
    <row r="13" spans="2:24" ht="3.95" customHeight="1" x14ac:dyDescent="0.25">
      <c r="B13" s="2"/>
      <c r="O13" s="2"/>
    </row>
    <row r="14" spans="2:24" ht="38.25" customHeight="1" x14ac:dyDescent="0.25">
      <c r="B14" s="2"/>
      <c r="D14" s="338" t="s">
        <v>6</v>
      </c>
      <c r="E14" s="339"/>
      <c r="F14" s="340" t="s">
        <v>837</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17">
        <v>0.12</v>
      </c>
      <c r="G22" s="337" t="s">
        <v>9</v>
      </c>
      <c r="H22" s="337"/>
      <c r="I22" s="17">
        <v>0.34</v>
      </c>
      <c r="K22" s="337" t="s">
        <v>10</v>
      </c>
      <c r="L22" s="337"/>
      <c r="M22" s="9" t="s">
        <v>496</v>
      </c>
      <c r="O22" s="2"/>
    </row>
    <row r="23" spans="2:17" ht="19.5" customHeight="1" x14ac:dyDescent="0.25">
      <c r="B23" s="2"/>
      <c r="D23" s="337" t="s">
        <v>11</v>
      </c>
      <c r="E23" s="337"/>
      <c r="F23" s="4" t="s">
        <v>71</v>
      </c>
      <c r="G23" s="337" t="s">
        <v>12</v>
      </c>
      <c r="H23" s="337"/>
      <c r="I23" s="4" t="s">
        <v>497</v>
      </c>
      <c r="K23" s="337" t="s">
        <v>13</v>
      </c>
      <c r="L23" s="337"/>
      <c r="M23" s="9" t="s">
        <v>2</v>
      </c>
      <c r="O23" s="2"/>
    </row>
    <row r="24" spans="2:17" ht="20.100000000000001" customHeight="1" x14ac:dyDescent="0.25">
      <c r="B24" s="2"/>
      <c r="D24" s="337" t="s">
        <v>14</v>
      </c>
      <c r="E24" s="337"/>
      <c r="F24" s="4" t="s">
        <v>498</v>
      </c>
      <c r="G24" s="337" t="s">
        <v>15</v>
      </c>
      <c r="H24" s="337"/>
      <c r="I24" s="4" t="s">
        <v>554</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716</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proteccion</v>
      </c>
    </row>
    <row r="31" spans="2:17" ht="24" customHeight="1" x14ac:dyDescent="0.25">
      <c r="B31" s="2"/>
      <c r="D31" s="347"/>
      <c r="E31" s="348"/>
      <c r="F31" s="4" t="s">
        <v>202</v>
      </c>
      <c r="G31" s="340" t="s">
        <v>203</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792</v>
      </c>
      <c r="G33" s="340" t="s">
        <v>719</v>
      </c>
      <c r="H33" s="341"/>
      <c r="I33" s="341"/>
      <c r="J33" s="341"/>
      <c r="K33" s="341"/>
      <c r="L33" s="341"/>
      <c r="M33" s="342"/>
      <c r="O33" s="2"/>
      <c r="Q33" s="3">
        <f>+IFERROR(IF(VLOOKUP(G33,base!$A$26:$C$40,3,FALSE)=F31,1,0),"")</f>
        <v>1</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1715</v>
      </c>
      <c r="G35" s="340" t="s">
        <v>1591</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501</v>
      </c>
      <c r="G45" s="340" t="s">
        <v>515</v>
      </c>
      <c r="H45" s="341"/>
      <c r="I45" s="341"/>
      <c r="J45" s="341"/>
      <c r="K45" s="341"/>
      <c r="L45" s="341"/>
      <c r="M45" s="342"/>
      <c r="O45" s="2"/>
      <c r="Q45" s="3" t="str">
        <f>+IFERROR(VLOOKUP(G45,base!$A$41:$C$45,3,FALSE),"")</f>
        <v>misional</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503</v>
      </c>
      <c r="G47" s="340" t="s">
        <v>504</v>
      </c>
      <c r="H47" s="341"/>
      <c r="I47" s="341"/>
      <c r="J47" s="341"/>
      <c r="K47" s="341"/>
      <c r="L47" s="341"/>
      <c r="M47" s="342"/>
      <c r="O47" s="2"/>
      <c r="Q47" s="3">
        <f>+IF(VLOOKUP(G47,base!$A$46:$C$66,3,FALSE)=F45,1,0)</f>
        <v>1</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786</v>
      </c>
      <c r="G49" s="340" t="s">
        <v>717</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496</v>
      </c>
      <c r="G51" s="337" t="s">
        <v>32</v>
      </c>
      <c r="H51" s="337"/>
      <c r="I51" s="17">
        <v>1</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41.25" customHeight="1" x14ac:dyDescent="0.25">
      <c r="B59" s="2"/>
      <c r="D59" s="337" t="s">
        <v>34</v>
      </c>
      <c r="E59" s="337"/>
      <c r="F59" s="344" t="s">
        <v>838</v>
      </c>
      <c r="G59" s="344"/>
      <c r="H59" s="344"/>
      <c r="I59" s="344"/>
      <c r="J59" s="344"/>
      <c r="K59" s="344"/>
      <c r="L59" s="344"/>
      <c r="M59" s="344"/>
      <c r="O59" s="2"/>
    </row>
    <row r="60" spans="2:15" ht="30" customHeight="1" x14ac:dyDescent="0.25">
      <c r="B60" s="2"/>
      <c r="D60" s="359" t="s">
        <v>35</v>
      </c>
      <c r="E60" s="359"/>
      <c r="F60" s="344" t="s">
        <v>839</v>
      </c>
      <c r="G60" s="344"/>
      <c r="H60" s="344"/>
      <c r="I60" s="344"/>
      <c r="J60" s="344"/>
      <c r="K60" s="344"/>
      <c r="L60" s="344"/>
      <c r="M60" s="344"/>
      <c r="O60" s="2"/>
    </row>
    <row r="61" spans="2:15" ht="29.25" customHeight="1" x14ac:dyDescent="0.25">
      <c r="B61" s="2"/>
      <c r="D61" s="359" t="s">
        <v>36</v>
      </c>
      <c r="E61" s="359"/>
      <c r="F61" s="344" t="s">
        <v>840</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43" t="s">
        <v>39</v>
      </c>
      <c r="E71" s="343"/>
      <c r="F71" s="4" t="s">
        <v>47</v>
      </c>
      <c r="G71" s="3">
        <v>3</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v>0.13</v>
      </c>
      <c r="H77" s="16">
        <v>0.13100000000000001</v>
      </c>
      <c r="I77" s="16">
        <v>0.159</v>
      </c>
      <c r="J77" s="16">
        <v>0.16</v>
      </c>
      <c r="K77" s="16">
        <v>0.189</v>
      </c>
      <c r="L77" s="16">
        <v>0.19</v>
      </c>
      <c r="M77" s="16" t="s">
        <v>500</v>
      </c>
      <c r="O77" s="2"/>
      <c r="AE77" s="3" t="s">
        <v>47</v>
      </c>
      <c r="AF77" s="3">
        <v>3</v>
      </c>
      <c r="AG77" s="3">
        <f t="shared" si="0"/>
        <v>1</v>
      </c>
      <c r="AH77" s="3">
        <f>+IF(AG77=0,0,IF(AG77=1,(SUM($AG$75:AG77)-1),1))</f>
        <v>0</v>
      </c>
      <c r="AI77" s="3">
        <f t="shared" si="1"/>
        <v>0</v>
      </c>
      <c r="AJ77" s="3">
        <f t="shared" si="2"/>
        <v>1</v>
      </c>
      <c r="AK77" s="3">
        <f t="shared" si="3"/>
        <v>1</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2</v>
      </c>
      <c r="AI79" s="3">
        <f t="shared" si="1"/>
        <v>0</v>
      </c>
      <c r="AJ79" s="3">
        <f t="shared" si="2"/>
        <v>0</v>
      </c>
      <c r="AK79" s="3">
        <f t="shared" si="3"/>
        <v>0</v>
      </c>
    </row>
    <row r="80" spans="2:37" x14ac:dyDescent="0.25">
      <c r="B80" s="2"/>
      <c r="D80" s="360" t="s">
        <v>50</v>
      </c>
      <c r="E80" s="360"/>
      <c r="F80" s="16" t="s">
        <v>500</v>
      </c>
      <c r="G80" s="16">
        <v>0.18</v>
      </c>
      <c r="H80" s="16">
        <v>0.18099999999999999</v>
      </c>
      <c r="I80" s="16">
        <v>0.20899999999999999</v>
      </c>
      <c r="J80" s="16">
        <v>0.21</v>
      </c>
      <c r="K80" s="16">
        <v>0.23899999999999999</v>
      </c>
      <c r="L80" s="16">
        <v>0.24</v>
      </c>
      <c r="M80" s="16" t="s">
        <v>500</v>
      </c>
      <c r="O80" s="2"/>
      <c r="AE80" s="3" t="s">
        <v>50</v>
      </c>
      <c r="AF80" s="3">
        <v>6</v>
      </c>
      <c r="AG80" s="3">
        <f t="shared" si="0"/>
        <v>1</v>
      </c>
      <c r="AH80" s="3">
        <f>+IF(AG80=0,0,IF(AG80=1,(SUM($AG$75:AG80)-1),1))</f>
        <v>3</v>
      </c>
      <c r="AI80" s="3">
        <f t="shared" si="1"/>
        <v>1</v>
      </c>
      <c r="AJ80" s="3">
        <f t="shared" si="2"/>
        <v>0</v>
      </c>
      <c r="AK80" s="3">
        <f t="shared" si="3"/>
        <v>1</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4</v>
      </c>
      <c r="AI81" s="3">
        <f t="shared" si="1"/>
        <v>0</v>
      </c>
      <c r="AJ81" s="3">
        <f t="shared" si="2"/>
        <v>0</v>
      </c>
      <c r="AK81" s="3">
        <f t="shared" si="3"/>
        <v>0</v>
      </c>
    </row>
    <row r="82" spans="2:37" x14ac:dyDescent="0.25">
      <c r="B82" s="2"/>
      <c r="D82" s="360" t="s">
        <v>54</v>
      </c>
      <c r="E82" s="360"/>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60" t="s">
        <v>55</v>
      </c>
      <c r="E83" s="360"/>
      <c r="F83" s="16" t="s">
        <v>500</v>
      </c>
      <c r="G83" s="16">
        <v>0.23</v>
      </c>
      <c r="H83" s="16">
        <v>0.23100000000000001</v>
      </c>
      <c r="I83" s="16">
        <v>0.25900000000000001</v>
      </c>
      <c r="J83" s="16">
        <v>0.26</v>
      </c>
      <c r="K83" s="16">
        <v>0.28899999999999998</v>
      </c>
      <c r="L83" s="16">
        <v>0.28999999999999998</v>
      </c>
      <c r="M83" s="16" t="s">
        <v>500</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60" t="s">
        <v>58</v>
      </c>
      <c r="E86" s="360"/>
      <c r="F86" s="16" t="s">
        <v>500</v>
      </c>
      <c r="G86" s="16">
        <v>0.28000000000000003</v>
      </c>
      <c r="H86" s="16">
        <v>0.28100000000000003</v>
      </c>
      <c r="I86" s="16">
        <v>0.309</v>
      </c>
      <c r="J86" s="16">
        <v>0.31</v>
      </c>
      <c r="K86" s="16">
        <v>0.33900000000000002</v>
      </c>
      <c r="L86" s="16">
        <v>0.34</v>
      </c>
      <c r="M86" s="16" t="s">
        <v>500</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66" customHeight="1" x14ac:dyDescent="0.25">
      <c r="B88" s="2"/>
      <c r="D88" s="338" t="s">
        <v>59</v>
      </c>
      <c r="E88" s="339"/>
      <c r="F88" s="340"/>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2" customHeight="1" x14ac:dyDescent="0.25">
      <c r="B97" s="2"/>
      <c r="D97" s="359" t="s">
        <v>35</v>
      </c>
      <c r="E97" s="359"/>
      <c r="F97" s="344" t="s">
        <v>779</v>
      </c>
      <c r="G97" s="344"/>
      <c r="H97" s="344"/>
      <c r="I97" s="344"/>
      <c r="J97" s="344"/>
      <c r="K97" s="344"/>
      <c r="L97" s="344"/>
      <c r="M97" s="344"/>
      <c r="O97" s="2"/>
    </row>
    <row r="98" spans="2:15" ht="42" customHeight="1" x14ac:dyDescent="0.25">
      <c r="B98" s="2"/>
      <c r="D98" s="359" t="s">
        <v>36</v>
      </c>
      <c r="E98" s="359"/>
      <c r="F98" s="344" t="s">
        <v>779</v>
      </c>
      <c r="G98" s="344"/>
      <c r="H98" s="344"/>
      <c r="I98" s="344"/>
      <c r="J98" s="344"/>
      <c r="K98" s="344"/>
      <c r="L98" s="344"/>
      <c r="M98" s="344"/>
      <c r="O98" s="2"/>
    </row>
    <row r="99" spans="2:15" ht="3.95" customHeight="1" x14ac:dyDescent="0.25">
      <c r="B99" s="2"/>
      <c r="O99" s="2"/>
    </row>
    <row r="100" spans="2:15" ht="393" customHeight="1" x14ac:dyDescent="0.25">
      <c r="B100" s="2"/>
      <c r="D100" s="338" t="s">
        <v>62</v>
      </c>
      <c r="E100" s="339"/>
      <c r="F100" s="340" t="s">
        <v>734</v>
      </c>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2</v>
      </c>
      <c r="K102" s="20"/>
      <c r="O102" s="2"/>
    </row>
    <row r="103" spans="2:15" ht="19.5" customHeight="1" x14ac:dyDescent="0.25">
      <c r="B103" s="2"/>
      <c r="D103" s="331"/>
      <c r="E103" s="332"/>
      <c r="F103" s="19" t="s">
        <v>66</v>
      </c>
      <c r="G103" s="4"/>
      <c r="K103" s="21"/>
      <c r="O103" s="2"/>
    </row>
    <row r="104" spans="2:15" ht="27.75" customHeight="1" x14ac:dyDescent="0.25">
      <c r="B104" s="2"/>
      <c r="D104" s="331"/>
      <c r="E104" s="332"/>
      <c r="F104" s="19" t="s">
        <v>67</v>
      </c>
      <c r="G104" s="333"/>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 xml:space="preserve">Subdirector(a) Restablecimiento de Derechos </v>
      </c>
      <c r="H108" s="334"/>
      <c r="I108" s="334"/>
      <c r="J108" s="334"/>
      <c r="K108" s="334"/>
      <c r="L108" s="334"/>
      <c r="M108" s="335"/>
      <c r="O108" s="2"/>
    </row>
    <row r="109" spans="2:15" ht="17.25" customHeight="1" x14ac:dyDescent="0.25">
      <c r="B109" s="2"/>
      <c r="D109" s="331"/>
      <c r="E109" s="332"/>
      <c r="F109" s="19" t="s">
        <v>2042</v>
      </c>
      <c r="G109" s="333" t="str">
        <f>+IF(M23="Si","Coordinador(a) Planeación y Sistemas","")</f>
        <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434" priority="31">
      <formula>+IF($F$43="no",1,0)</formula>
    </cfRule>
  </conditionalFormatting>
  <conditionalFormatting sqref="F32:M33">
    <cfRule type="expression" dxfId="2433" priority="30">
      <formula>+IF($Q$30="NA",1,0)</formula>
    </cfRule>
  </conditionalFormatting>
  <conditionalFormatting sqref="F33:M33">
    <cfRule type="expression" dxfId="2432" priority="29">
      <formula>+IF($Q$33=0,1,0)</formula>
    </cfRule>
  </conditionalFormatting>
  <conditionalFormatting sqref="F47:M47">
    <cfRule type="expression" dxfId="2431" priority="28">
      <formula>+IF($Q$47=0,1,0)</formula>
    </cfRule>
  </conditionalFormatting>
  <conditionalFormatting sqref="F73:G73">
    <cfRule type="cellIs" dxfId="2430" priority="14" operator="equal">
      <formula>"optimo"</formula>
    </cfRule>
    <cfRule type="cellIs" dxfId="2429" priority="15" operator="equal">
      <formula>"critico"</formula>
    </cfRule>
  </conditionalFormatting>
  <conditionalFormatting sqref="H73:I73">
    <cfRule type="cellIs" dxfId="2428" priority="12" operator="equal">
      <formula>"Adecuado"</formula>
    </cfRule>
    <cfRule type="cellIs" dxfId="2427" priority="13" operator="equal">
      <formula>"en riesgo"</formula>
    </cfRule>
  </conditionalFormatting>
  <conditionalFormatting sqref="J73:K73">
    <cfRule type="cellIs" dxfId="2426" priority="10" operator="equal">
      <formula>"Adecuado"</formula>
    </cfRule>
    <cfRule type="cellIs" dxfId="2425" priority="11" operator="equal">
      <formula>"en riesgo"</formula>
    </cfRule>
  </conditionalFormatting>
  <conditionalFormatting sqref="L73:M73">
    <cfRule type="cellIs" dxfId="2424" priority="8" operator="equal">
      <formula>"optimo"</formula>
    </cfRule>
    <cfRule type="cellIs" dxfId="2423" priority="9" operator="equal">
      <formula>"critico"</formula>
    </cfRule>
  </conditionalFormatting>
  <conditionalFormatting sqref="F75:M86">
    <cfRule type="expression" dxfId="2422" priority="7">
      <formula>+IF($AK75=0,1)</formula>
    </cfRule>
  </conditionalFormatting>
  <conditionalFormatting sqref="F103:G104">
    <cfRule type="expression" dxfId="2421" priority="6">
      <formula>+IF($G$102="No",1,0)</formula>
    </cfRule>
  </conditionalFormatting>
  <conditionalFormatting sqref="F51">
    <cfRule type="expression" dxfId="2420" priority="5">
      <formula>+IF($F$43="no",1,0)</formula>
    </cfRule>
  </conditionalFormatting>
  <conditionalFormatting sqref="I51">
    <cfRule type="expression" dxfId="2419"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3">
    <tabColor rgb="FF0070C0"/>
  </sheetPr>
  <dimension ref="B1:AV113"/>
  <sheetViews>
    <sheetView zoomScaleNormal="100" workbookViewId="0">
      <selection activeCell="P12" sqref="P12"/>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219</v>
      </c>
      <c r="O10" s="2"/>
    </row>
    <row r="11" spans="2:24" ht="3.95" customHeight="1" x14ac:dyDescent="0.25">
      <c r="B11" s="2"/>
      <c r="D11" s="6"/>
      <c r="O11" s="2"/>
    </row>
    <row r="12" spans="2:24" ht="36" customHeight="1" x14ac:dyDescent="0.25">
      <c r="B12" s="2"/>
      <c r="D12" s="338" t="s">
        <v>5</v>
      </c>
      <c r="E12" s="339"/>
      <c r="F12" s="340" t="s">
        <v>2155</v>
      </c>
      <c r="G12" s="341"/>
      <c r="H12" s="341"/>
      <c r="I12" s="341"/>
      <c r="J12" s="341"/>
      <c r="K12" s="341"/>
      <c r="L12" s="341"/>
      <c r="M12" s="342"/>
      <c r="O12" s="2"/>
      <c r="W12" s="3" t="str">
        <f>+F23</f>
        <v>Trimestral</v>
      </c>
      <c r="X12" s="3" t="str">
        <f>+F71</f>
        <v>Marzo</v>
      </c>
    </row>
    <row r="13" spans="2:24" ht="3.95" customHeight="1" x14ac:dyDescent="0.25">
      <c r="B13" s="2"/>
      <c r="O13" s="2"/>
    </row>
    <row r="14" spans="2:24" ht="38.25" customHeight="1" x14ac:dyDescent="0.25">
      <c r="B14" s="2"/>
      <c r="D14" s="338" t="s">
        <v>6</v>
      </c>
      <c r="E14" s="339"/>
      <c r="F14" s="340" t="s">
        <v>834</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8">
        <v>20</v>
      </c>
      <c r="G22" s="337" t="s">
        <v>9</v>
      </c>
      <c r="H22" s="337"/>
      <c r="I22" s="8">
        <v>100</v>
      </c>
      <c r="K22" s="337" t="s">
        <v>10</v>
      </c>
      <c r="L22" s="337"/>
      <c r="M22" s="9" t="s">
        <v>496</v>
      </c>
      <c r="O22" s="2"/>
    </row>
    <row r="23" spans="2:17" ht="19.5" customHeight="1" x14ac:dyDescent="0.25">
      <c r="B23" s="2"/>
      <c r="D23" s="337" t="s">
        <v>11</v>
      </c>
      <c r="E23" s="337"/>
      <c r="F23" s="4" t="s">
        <v>71</v>
      </c>
      <c r="G23" s="337" t="s">
        <v>12</v>
      </c>
      <c r="H23" s="337"/>
      <c r="I23" s="4" t="s">
        <v>514</v>
      </c>
      <c r="K23" s="337" t="s">
        <v>13</v>
      </c>
      <c r="L23" s="337"/>
      <c r="M23" s="9" t="s">
        <v>2</v>
      </c>
      <c r="O23" s="2"/>
    </row>
    <row r="24" spans="2:17" ht="20.100000000000001" customHeight="1" x14ac:dyDescent="0.25">
      <c r="B24" s="2"/>
      <c r="D24" s="337" t="s">
        <v>14</v>
      </c>
      <c r="E24" s="337"/>
      <c r="F24" s="4" t="s">
        <v>498</v>
      </c>
      <c r="G24" s="337" t="s">
        <v>15</v>
      </c>
      <c r="H24" s="337"/>
      <c r="I24" s="4" t="s">
        <v>554</v>
      </c>
      <c r="K24" s="337" t="s">
        <v>16</v>
      </c>
      <c r="L24" s="337"/>
      <c r="M24" s="9" t="s">
        <v>2</v>
      </c>
      <c r="O24" s="2"/>
    </row>
    <row r="25" spans="2:17" ht="20.100000000000001" customHeight="1" x14ac:dyDescent="0.25">
      <c r="B25" s="2"/>
      <c r="D25" s="337" t="s">
        <v>17</v>
      </c>
      <c r="E25" s="337"/>
      <c r="F25" s="4" t="s">
        <v>683</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716</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proteccion</v>
      </c>
    </row>
    <row r="31" spans="2:17" ht="24" customHeight="1" x14ac:dyDescent="0.25">
      <c r="B31" s="2"/>
      <c r="D31" s="347"/>
      <c r="E31" s="348"/>
      <c r="F31" s="4" t="s">
        <v>202</v>
      </c>
      <c r="G31" s="340" t="s">
        <v>203</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792</v>
      </c>
      <c r="G33" s="340" t="s">
        <v>719</v>
      </c>
      <c r="H33" s="341"/>
      <c r="I33" s="341"/>
      <c r="J33" s="341"/>
      <c r="K33" s="341"/>
      <c r="L33" s="341"/>
      <c r="M33" s="342"/>
      <c r="O33" s="2"/>
      <c r="Q33" s="3">
        <f>+IFERROR(IF(VLOOKUP(G33,base!$A$26:$C$40,3,FALSE)=F31,1,0),"")</f>
        <v>1</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1715</v>
      </c>
      <c r="G35" s="340" t="s">
        <v>1591</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501</v>
      </c>
      <c r="G45" s="340" t="s">
        <v>515</v>
      </c>
      <c r="H45" s="341"/>
      <c r="I45" s="341"/>
      <c r="J45" s="341"/>
      <c r="K45" s="341"/>
      <c r="L45" s="341"/>
      <c r="M45" s="342"/>
      <c r="O45" s="2"/>
      <c r="Q45" s="3" t="str">
        <f>+IFERROR(VLOOKUP(G45,base!$A$41:$C$45,3,FALSE),"")</f>
        <v>misional</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503</v>
      </c>
      <c r="G47" s="340" t="s">
        <v>504</v>
      </c>
      <c r="H47" s="341"/>
      <c r="I47" s="341"/>
      <c r="J47" s="341"/>
      <c r="K47" s="341"/>
      <c r="L47" s="341"/>
      <c r="M47" s="342"/>
      <c r="O47" s="2"/>
      <c r="Q47" s="3">
        <f>+IF(VLOOKUP(G47,base!$A$46:$C$66,3,FALSE)=F45,1,0)</f>
        <v>1</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786</v>
      </c>
      <c r="G49" s="340" t="s">
        <v>717</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496</v>
      </c>
      <c r="G51" s="337" t="s">
        <v>32</v>
      </c>
      <c r="H51" s="337"/>
      <c r="I51" s="8">
        <v>700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41.25" customHeight="1" x14ac:dyDescent="0.25">
      <c r="B59" s="2"/>
      <c r="D59" s="337" t="s">
        <v>34</v>
      </c>
      <c r="E59" s="337"/>
      <c r="F59" s="344" t="s">
        <v>835</v>
      </c>
      <c r="G59" s="344"/>
      <c r="H59" s="344"/>
      <c r="I59" s="344"/>
      <c r="J59" s="344"/>
      <c r="K59" s="344"/>
      <c r="L59" s="344"/>
      <c r="M59" s="344"/>
      <c r="O59" s="2"/>
    </row>
    <row r="60" spans="2:15" ht="30" customHeight="1" x14ac:dyDescent="0.25">
      <c r="B60" s="2"/>
      <c r="D60" s="359" t="s">
        <v>35</v>
      </c>
      <c r="E60" s="359"/>
      <c r="F60" s="344" t="s">
        <v>836</v>
      </c>
      <c r="G60" s="344"/>
      <c r="H60" s="344"/>
      <c r="I60" s="344"/>
      <c r="J60" s="344"/>
      <c r="K60" s="344"/>
      <c r="L60" s="344"/>
      <c r="M60" s="344"/>
      <c r="O60" s="2"/>
    </row>
    <row r="61" spans="2:15" ht="29.25" customHeight="1" x14ac:dyDescent="0.25">
      <c r="B61" s="2"/>
      <c r="D61" s="359" t="s">
        <v>36</v>
      </c>
      <c r="E61" s="359"/>
      <c r="F61" s="344" t="s">
        <v>780</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43" t="s">
        <v>39</v>
      </c>
      <c r="E71" s="343"/>
      <c r="F71" s="4" t="s">
        <v>47</v>
      </c>
      <c r="G71" s="3">
        <v>3</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v>9.9000000000000005E-2</v>
      </c>
      <c r="H77" s="16">
        <v>0.1</v>
      </c>
      <c r="I77" s="16">
        <v>0.14899999999999999</v>
      </c>
      <c r="J77" s="16">
        <v>0.15</v>
      </c>
      <c r="K77" s="16">
        <v>0.249</v>
      </c>
      <c r="L77" s="16">
        <v>0.25</v>
      </c>
      <c r="M77" s="16" t="s">
        <v>500</v>
      </c>
      <c r="O77" s="2"/>
      <c r="AE77" s="3" t="s">
        <v>47</v>
      </c>
      <c r="AF77" s="3">
        <v>3</v>
      </c>
      <c r="AG77" s="3">
        <f t="shared" si="0"/>
        <v>1</v>
      </c>
      <c r="AH77" s="3">
        <f>+IF(AG77=0,0,IF(AG77=1,(SUM($AG$75:AG77)-1),1))</f>
        <v>0</v>
      </c>
      <c r="AI77" s="3">
        <f t="shared" si="1"/>
        <v>0</v>
      </c>
      <c r="AJ77" s="3">
        <f t="shared" si="2"/>
        <v>1</v>
      </c>
      <c r="AK77" s="3">
        <f t="shared" si="3"/>
        <v>1</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2</v>
      </c>
      <c r="AI79" s="3">
        <f t="shared" si="1"/>
        <v>0</v>
      </c>
      <c r="AJ79" s="3">
        <f t="shared" si="2"/>
        <v>0</v>
      </c>
      <c r="AK79" s="3">
        <f t="shared" si="3"/>
        <v>0</v>
      </c>
    </row>
    <row r="80" spans="2:37" x14ac:dyDescent="0.25">
      <c r="B80" s="2"/>
      <c r="D80" s="360" t="s">
        <v>50</v>
      </c>
      <c r="E80" s="360"/>
      <c r="F80" s="16" t="s">
        <v>500</v>
      </c>
      <c r="G80" s="16">
        <v>0.29899999999999999</v>
      </c>
      <c r="H80" s="16">
        <v>0.3</v>
      </c>
      <c r="I80" s="16">
        <v>0.39900000000000002</v>
      </c>
      <c r="J80" s="16">
        <v>0.4</v>
      </c>
      <c r="K80" s="16">
        <v>0.499</v>
      </c>
      <c r="L80" s="16">
        <v>0.5</v>
      </c>
      <c r="M80" s="16" t="s">
        <v>500</v>
      </c>
      <c r="O80" s="2"/>
      <c r="AE80" s="3" t="s">
        <v>50</v>
      </c>
      <c r="AF80" s="3">
        <v>6</v>
      </c>
      <c r="AG80" s="3">
        <f t="shared" si="0"/>
        <v>1</v>
      </c>
      <c r="AH80" s="3">
        <f>+IF(AG80=0,0,IF(AG80=1,(SUM($AG$75:AG80)-1),1))</f>
        <v>3</v>
      </c>
      <c r="AI80" s="3">
        <f t="shared" si="1"/>
        <v>1</v>
      </c>
      <c r="AJ80" s="3">
        <f t="shared" si="2"/>
        <v>0</v>
      </c>
      <c r="AK80" s="3">
        <f t="shared" si="3"/>
        <v>1</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4</v>
      </c>
      <c r="AI81" s="3">
        <f t="shared" si="1"/>
        <v>0</v>
      </c>
      <c r="AJ81" s="3">
        <f t="shared" si="2"/>
        <v>0</v>
      </c>
      <c r="AK81" s="3">
        <f t="shared" si="3"/>
        <v>0</v>
      </c>
    </row>
    <row r="82" spans="2:37" x14ac:dyDescent="0.25">
      <c r="B82" s="2"/>
      <c r="D82" s="360" t="s">
        <v>54</v>
      </c>
      <c r="E82" s="360"/>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60" t="s">
        <v>55</v>
      </c>
      <c r="E83" s="360"/>
      <c r="F83" s="16" t="s">
        <v>500</v>
      </c>
      <c r="G83" s="16">
        <v>0.59899999999999998</v>
      </c>
      <c r="H83" s="16">
        <v>0.6</v>
      </c>
      <c r="I83" s="16">
        <v>0.64900000000000002</v>
      </c>
      <c r="J83" s="16">
        <v>0.65</v>
      </c>
      <c r="K83" s="16">
        <v>0.749</v>
      </c>
      <c r="L83" s="16">
        <v>0.75</v>
      </c>
      <c r="M83" s="16" t="s">
        <v>500</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60" t="s">
        <v>58</v>
      </c>
      <c r="E86" s="360"/>
      <c r="F86" s="16" t="s">
        <v>500</v>
      </c>
      <c r="G86" s="16">
        <v>0.79900000000000004</v>
      </c>
      <c r="H86" s="16">
        <v>0.8</v>
      </c>
      <c r="I86" s="16">
        <v>0.89900000000000002</v>
      </c>
      <c r="J86" s="16">
        <v>0.9</v>
      </c>
      <c r="K86" s="16">
        <v>0.999</v>
      </c>
      <c r="L86" s="16">
        <v>1</v>
      </c>
      <c r="M86" s="16" t="s">
        <v>500</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66" customHeight="1" x14ac:dyDescent="0.25">
      <c r="B88" s="2"/>
      <c r="D88" s="338" t="s">
        <v>59</v>
      </c>
      <c r="E88" s="339"/>
      <c r="F88" s="340" t="s">
        <v>735</v>
      </c>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2" customHeight="1" x14ac:dyDescent="0.25">
      <c r="B97" s="2"/>
      <c r="D97" s="359" t="s">
        <v>35</v>
      </c>
      <c r="E97" s="359"/>
      <c r="F97" s="344" t="s">
        <v>781</v>
      </c>
      <c r="G97" s="344"/>
      <c r="H97" s="344"/>
      <c r="I97" s="344"/>
      <c r="J97" s="344"/>
      <c r="K97" s="344"/>
      <c r="L97" s="344"/>
      <c r="M97" s="344"/>
      <c r="O97" s="2"/>
    </row>
    <row r="98" spans="2:15" ht="42" customHeight="1" x14ac:dyDescent="0.25">
      <c r="B98" s="2"/>
      <c r="D98" s="359" t="s">
        <v>36</v>
      </c>
      <c r="E98" s="359"/>
      <c r="F98" s="344" t="s">
        <v>781</v>
      </c>
      <c r="G98" s="344"/>
      <c r="H98" s="344"/>
      <c r="I98" s="344"/>
      <c r="J98" s="344"/>
      <c r="K98" s="344"/>
      <c r="L98" s="344"/>
      <c r="M98" s="344"/>
      <c r="O98" s="2"/>
    </row>
    <row r="99" spans="2:15" ht="3.95" customHeight="1" x14ac:dyDescent="0.25">
      <c r="B99" s="2"/>
      <c r="O99" s="2"/>
    </row>
    <row r="100" spans="2:15" ht="58.5" customHeight="1" x14ac:dyDescent="0.25">
      <c r="B100" s="2"/>
      <c r="D100" s="338" t="s">
        <v>62</v>
      </c>
      <c r="E100" s="339"/>
      <c r="F100" s="425" t="s">
        <v>736</v>
      </c>
      <c r="G100" s="426"/>
      <c r="H100" s="426"/>
      <c r="I100" s="426"/>
      <c r="J100" s="426"/>
      <c r="K100" s="426"/>
      <c r="L100" s="426"/>
      <c r="M100" s="427"/>
      <c r="O100" s="2"/>
    </row>
    <row r="101" spans="2:15" ht="3.95" customHeight="1" x14ac:dyDescent="0.25">
      <c r="B101" s="2"/>
      <c r="O101" s="2"/>
    </row>
    <row r="102" spans="2:15" ht="19.5" customHeight="1" x14ac:dyDescent="0.25">
      <c r="B102" s="2"/>
      <c r="D102" s="329" t="s">
        <v>64</v>
      </c>
      <c r="E102" s="330"/>
      <c r="F102" s="19" t="s">
        <v>65</v>
      </c>
      <c r="G102" s="4" t="s">
        <v>2</v>
      </c>
      <c r="K102" s="20"/>
      <c r="O102" s="2"/>
    </row>
    <row r="103" spans="2:15" ht="19.5" customHeight="1" x14ac:dyDescent="0.25">
      <c r="B103" s="2"/>
      <c r="D103" s="331"/>
      <c r="E103" s="332"/>
      <c r="F103" s="19" t="s">
        <v>66</v>
      </c>
      <c r="G103" s="4"/>
      <c r="K103" s="21"/>
      <c r="O103" s="2"/>
    </row>
    <row r="104" spans="2:15" ht="27.75" customHeight="1" x14ac:dyDescent="0.25">
      <c r="B104" s="2"/>
      <c r="D104" s="331"/>
      <c r="E104" s="332"/>
      <c r="F104" s="19" t="s">
        <v>67</v>
      </c>
      <c r="G104" s="333"/>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 xml:space="preserve">Subdirector(a) Restablecimiento de Derechos </v>
      </c>
      <c r="H108" s="334"/>
      <c r="I108" s="334"/>
      <c r="J108" s="334"/>
      <c r="K108" s="334"/>
      <c r="L108" s="334"/>
      <c r="M108" s="335"/>
      <c r="O108" s="2"/>
    </row>
    <row r="109" spans="2:15" ht="17.25" customHeight="1" x14ac:dyDescent="0.25">
      <c r="B109" s="2"/>
      <c r="D109" s="331"/>
      <c r="E109" s="332"/>
      <c r="F109" s="19" t="s">
        <v>2042</v>
      </c>
      <c r="G109" s="333" t="str">
        <f>+IF(M23="Si","Coordinador(a) Planeación y Sistemas","")</f>
        <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418" priority="31">
      <formula>+IF($F$43="no",1,0)</formula>
    </cfRule>
  </conditionalFormatting>
  <conditionalFormatting sqref="F32:M33">
    <cfRule type="expression" dxfId="2417" priority="30">
      <formula>+IF($Q$30="NA",1,0)</formula>
    </cfRule>
  </conditionalFormatting>
  <conditionalFormatting sqref="F33:M33">
    <cfRule type="expression" dxfId="2416" priority="29">
      <formula>+IF($Q$33=0,1,0)</formula>
    </cfRule>
  </conditionalFormatting>
  <conditionalFormatting sqref="F47:M47">
    <cfRule type="expression" dxfId="2415" priority="28">
      <formula>+IF($Q$47=0,1,0)</formula>
    </cfRule>
  </conditionalFormatting>
  <conditionalFormatting sqref="F73:G73">
    <cfRule type="cellIs" dxfId="2414" priority="14" operator="equal">
      <formula>"optimo"</formula>
    </cfRule>
    <cfRule type="cellIs" dxfId="2413" priority="15" operator="equal">
      <formula>"critico"</formula>
    </cfRule>
  </conditionalFormatting>
  <conditionalFormatting sqref="H73:I73">
    <cfRule type="cellIs" dxfId="2412" priority="12" operator="equal">
      <formula>"Adecuado"</formula>
    </cfRule>
    <cfRule type="cellIs" dxfId="2411" priority="13" operator="equal">
      <formula>"en riesgo"</formula>
    </cfRule>
  </conditionalFormatting>
  <conditionalFormatting sqref="J73:K73">
    <cfRule type="cellIs" dxfId="2410" priority="10" operator="equal">
      <formula>"Adecuado"</formula>
    </cfRule>
    <cfRule type="cellIs" dxfId="2409" priority="11" operator="equal">
      <formula>"en riesgo"</formula>
    </cfRule>
  </conditionalFormatting>
  <conditionalFormatting sqref="L73:M73">
    <cfRule type="cellIs" dxfId="2408" priority="8" operator="equal">
      <formula>"optimo"</formula>
    </cfRule>
    <cfRule type="cellIs" dxfId="2407" priority="9" operator="equal">
      <formula>"critico"</formula>
    </cfRule>
  </conditionalFormatting>
  <conditionalFormatting sqref="F75:M86">
    <cfRule type="expression" dxfId="2406" priority="7">
      <formula>+IF($AK75=0,1)</formula>
    </cfRule>
  </conditionalFormatting>
  <conditionalFormatting sqref="F103:G104">
    <cfRule type="expression" dxfId="2405" priority="6">
      <formula>+IF($G$102="No",1,0)</formula>
    </cfRule>
  </conditionalFormatting>
  <conditionalFormatting sqref="F51">
    <cfRule type="expression" dxfId="2404" priority="5">
      <formula>+IF($F$43="no",1,0)</formula>
    </cfRule>
  </conditionalFormatting>
  <conditionalFormatting sqref="I51">
    <cfRule type="expression" dxfId="2403"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tabColor rgb="FF0070C0"/>
  </sheetPr>
  <dimension ref="B1:AV113"/>
  <sheetViews>
    <sheetView topLeftCell="A76" zoomScaleNormal="100" workbookViewId="0"/>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114</v>
      </c>
      <c r="O10" s="2"/>
    </row>
    <row r="11" spans="2:24" ht="3.95" customHeight="1" x14ac:dyDescent="0.25">
      <c r="B11" s="2"/>
      <c r="D11" s="6"/>
      <c r="O11" s="2"/>
    </row>
    <row r="12" spans="2:24" ht="36" customHeight="1" x14ac:dyDescent="0.25">
      <c r="B12" s="2"/>
      <c r="D12" s="338" t="s">
        <v>5</v>
      </c>
      <c r="E12" s="339"/>
      <c r="F12" s="340" t="s">
        <v>2180</v>
      </c>
      <c r="G12" s="341"/>
      <c r="H12" s="341"/>
      <c r="I12" s="341"/>
      <c r="J12" s="341"/>
      <c r="K12" s="341"/>
      <c r="L12" s="341"/>
      <c r="M12" s="342"/>
      <c r="O12" s="2"/>
      <c r="W12" s="3" t="str">
        <f>+F23</f>
        <v>Mensual</v>
      </c>
      <c r="X12" s="3" t="str">
        <f>+F71</f>
        <v>Octubre</v>
      </c>
    </row>
    <row r="13" spans="2:24" ht="3.95" customHeight="1" x14ac:dyDescent="0.25">
      <c r="B13" s="2"/>
      <c r="O13" s="2"/>
    </row>
    <row r="14" spans="2:24" ht="36" customHeight="1" x14ac:dyDescent="0.25">
      <c r="B14" s="2"/>
      <c r="D14" s="338" t="s">
        <v>6</v>
      </c>
      <c r="E14" s="339"/>
      <c r="F14" s="340" t="s">
        <v>639</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17" t="s">
        <v>512</v>
      </c>
      <c r="G22" s="337" t="s">
        <v>9</v>
      </c>
      <c r="H22" s="337"/>
      <c r="I22" s="17">
        <v>0.09</v>
      </c>
      <c r="K22" s="337" t="s">
        <v>10</v>
      </c>
      <c r="L22" s="337"/>
      <c r="M22" s="9" t="s">
        <v>496</v>
      </c>
      <c r="O22" s="2"/>
    </row>
    <row r="23" spans="2:17" ht="19.5" customHeight="1" x14ac:dyDescent="0.25">
      <c r="B23" s="2"/>
      <c r="D23" s="337" t="s">
        <v>11</v>
      </c>
      <c r="E23" s="337"/>
      <c r="F23" s="4" t="s">
        <v>84</v>
      </c>
      <c r="G23" s="337" t="s">
        <v>12</v>
      </c>
      <c r="H23" s="337"/>
      <c r="I23" s="4" t="s">
        <v>497</v>
      </c>
      <c r="K23" s="337" t="s">
        <v>13</v>
      </c>
      <c r="L23" s="337"/>
      <c r="M23" s="9" t="s">
        <v>2</v>
      </c>
      <c r="O23" s="2"/>
    </row>
    <row r="24" spans="2:17" ht="20.100000000000001" customHeight="1" x14ac:dyDescent="0.25">
      <c r="B24" s="2"/>
      <c r="D24" s="337" t="s">
        <v>14</v>
      </c>
      <c r="E24" s="337"/>
      <c r="F24" s="4" t="s">
        <v>498</v>
      </c>
      <c r="G24" s="337" t="s">
        <v>15</v>
      </c>
      <c r="H24" s="337"/>
      <c r="I24" s="4" t="s">
        <v>519</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20</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NA</v>
      </c>
    </row>
    <row r="31" spans="2:17" ht="24" customHeight="1" x14ac:dyDescent="0.25">
      <c r="B31" s="2"/>
      <c r="D31" s="347"/>
      <c r="E31" s="348"/>
      <c r="F31" s="4" t="s">
        <v>109</v>
      </c>
      <c r="G31" s="340" t="s">
        <v>110</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500</v>
      </c>
      <c r="G33" s="340"/>
      <c r="H33" s="341"/>
      <c r="I33" s="341"/>
      <c r="J33" s="341"/>
      <c r="K33" s="341"/>
      <c r="L33" s="341"/>
      <c r="M33" s="342"/>
      <c r="O33" s="2"/>
      <c r="Q33" s="3" t="str">
        <f>+IFERROR(IF(VLOOKUP(G33,base!$A$26:$C$40,3,FALSE)=F31,1,0),"")</f>
        <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1711</v>
      </c>
      <c r="G35" s="340" t="s">
        <v>1587</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501</v>
      </c>
      <c r="G45" s="340" t="s">
        <v>502</v>
      </c>
      <c r="H45" s="341"/>
      <c r="I45" s="341"/>
      <c r="J45" s="341"/>
      <c r="K45" s="341"/>
      <c r="L45" s="341"/>
      <c r="M45" s="342"/>
      <c r="O45" s="2"/>
      <c r="Q45" s="3" t="str">
        <f>+IFERROR(VLOOKUP(G45,base!$A$41:$C$45,3,FALSE),"")</f>
        <v>misional</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503</v>
      </c>
      <c r="G47" s="340" t="s">
        <v>504</v>
      </c>
      <c r="H47" s="341"/>
      <c r="I47" s="341"/>
      <c r="J47" s="341"/>
      <c r="K47" s="341"/>
      <c r="L47" s="341"/>
      <c r="M47" s="342"/>
      <c r="O47" s="2"/>
      <c r="Q47" s="3">
        <f>+IF(VLOOKUP(G47,base!$A$46:$C$66,3,FALSE)=F45,1,0)</f>
        <v>1</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535</v>
      </c>
      <c r="G49" s="340" t="s">
        <v>30</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496</v>
      </c>
      <c r="G51" s="337" t="s">
        <v>32</v>
      </c>
      <c r="H51" s="337"/>
      <c r="I51" s="17">
        <v>0.8</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75" customHeight="1" x14ac:dyDescent="0.25">
      <c r="B59" s="2"/>
      <c r="D59" s="337" t="s">
        <v>34</v>
      </c>
      <c r="E59" s="337"/>
      <c r="F59" s="344" t="s">
        <v>2182</v>
      </c>
      <c r="G59" s="344"/>
      <c r="H59" s="344"/>
      <c r="I59" s="344"/>
      <c r="J59" s="344"/>
      <c r="K59" s="344"/>
      <c r="L59" s="344"/>
      <c r="M59" s="344"/>
      <c r="O59" s="2"/>
    </row>
    <row r="60" spans="2:15" ht="27" customHeight="1" x14ac:dyDescent="0.25">
      <c r="B60" s="2"/>
      <c r="D60" s="359" t="s">
        <v>35</v>
      </c>
      <c r="E60" s="359"/>
      <c r="F60" s="344" t="s">
        <v>2181</v>
      </c>
      <c r="G60" s="344"/>
      <c r="H60" s="344"/>
      <c r="I60" s="344"/>
      <c r="J60" s="344"/>
      <c r="K60" s="344"/>
      <c r="L60" s="344"/>
      <c r="M60" s="344"/>
      <c r="O60" s="2"/>
    </row>
    <row r="61" spans="2:15" ht="27" customHeight="1" x14ac:dyDescent="0.25">
      <c r="B61" s="2"/>
      <c r="D61" s="359" t="s">
        <v>36</v>
      </c>
      <c r="E61" s="359"/>
      <c r="F61" s="344" t="s">
        <v>2149</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43" t="s">
        <v>39</v>
      </c>
      <c r="E71" s="343"/>
      <c r="F71" s="4" t="s">
        <v>56</v>
      </c>
      <c r="G71" s="3">
        <v>9</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60" t="s">
        <v>50</v>
      </c>
      <c r="E80" s="360"/>
      <c r="F80" s="16" t="s">
        <v>500</v>
      </c>
      <c r="G80" s="16" t="s">
        <v>500</v>
      </c>
      <c r="H80" s="16" t="s">
        <v>500</v>
      </c>
      <c r="I80" s="16" t="s">
        <v>500</v>
      </c>
      <c r="J80" s="16" t="s">
        <v>500</v>
      </c>
      <c r="K80" s="16" t="s">
        <v>500</v>
      </c>
      <c r="L80" s="16" t="s">
        <v>500</v>
      </c>
      <c r="M80" s="16" t="s">
        <v>500</v>
      </c>
      <c r="O80" s="2"/>
      <c r="AE80" s="3" t="s">
        <v>50</v>
      </c>
      <c r="AF80" s="3">
        <v>6</v>
      </c>
      <c r="AG80" s="3">
        <f t="shared" si="0"/>
        <v>0</v>
      </c>
      <c r="AH80" s="3">
        <f>+IF(AG80=0,0,IF(AG80=1,(SUM($AG$75:AG80)-1),1))</f>
        <v>0</v>
      </c>
      <c r="AI80" s="3">
        <f t="shared" si="1"/>
        <v>0</v>
      </c>
      <c r="AJ80" s="3">
        <f t="shared" si="2"/>
        <v>0</v>
      </c>
      <c r="AK80" s="3">
        <f t="shared" si="3"/>
        <v>0</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0</v>
      </c>
      <c r="AH81" s="3">
        <f>+IF(AG81=0,0,IF(AG81=1,(SUM($AG$75:AG81)-1),1))</f>
        <v>0</v>
      </c>
      <c r="AI81" s="3">
        <f t="shared" si="1"/>
        <v>0</v>
      </c>
      <c r="AJ81" s="3">
        <f t="shared" si="2"/>
        <v>0</v>
      </c>
      <c r="AK81" s="3">
        <f t="shared" si="3"/>
        <v>0</v>
      </c>
    </row>
    <row r="82" spans="2:37" x14ac:dyDescent="0.25">
      <c r="B82" s="2"/>
      <c r="D82" s="360" t="s">
        <v>54</v>
      </c>
      <c r="E82" s="360"/>
      <c r="F82" s="16" t="s">
        <v>500</v>
      </c>
      <c r="G82" s="16" t="s">
        <v>500</v>
      </c>
      <c r="H82" s="16" t="s">
        <v>500</v>
      </c>
      <c r="I82" s="16" t="s">
        <v>500</v>
      </c>
      <c r="J82" s="16" t="s">
        <v>500</v>
      </c>
      <c r="K82" s="16" t="s">
        <v>500</v>
      </c>
      <c r="L82" s="16" t="s">
        <v>500</v>
      </c>
      <c r="M82" s="16" t="s">
        <v>500</v>
      </c>
      <c r="O82" s="2"/>
      <c r="AE82" s="3" t="s">
        <v>54</v>
      </c>
      <c r="AF82" s="3">
        <v>8</v>
      </c>
      <c r="AG82" s="3">
        <f t="shared" si="0"/>
        <v>0</v>
      </c>
      <c r="AH82" s="3">
        <f>+IF(AG82=0,0,IF(AG82=1,(SUM($AG$75:AG82)-1),1))</f>
        <v>0</v>
      </c>
      <c r="AI82" s="3">
        <f t="shared" si="1"/>
        <v>0</v>
      </c>
      <c r="AJ82" s="3">
        <f t="shared" si="2"/>
        <v>0</v>
      </c>
      <c r="AK82" s="3">
        <f t="shared" si="3"/>
        <v>0</v>
      </c>
    </row>
    <row r="83" spans="2:37" x14ac:dyDescent="0.25">
      <c r="B83" s="2"/>
      <c r="D83" s="360" t="s">
        <v>55</v>
      </c>
      <c r="E83" s="360"/>
      <c r="F83" s="16" t="s">
        <v>500</v>
      </c>
      <c r="G83" s="16">
        <v>0.01</v>
      </c>
      <c r="H83" s="16">
        <v>1.0999999999999999E-2</v>
      </c>
      <c r="I83" s="16">
        <v>0.02</v>
      </c>
      <c r="J83" s="16">
        <v>2.1000000000000001E-2</v>
      </c>
      <c r="K83" s="16">
        <v>3.9E-2</v>
      </c>
      <c r="L83" s="16">
        <v>0.04</v>
      </c>
      <c r="M83" s="16" t="s">
        <v>500</v>
      </c>
      <c r="O83" s="2"/>
      <c r="AE83" s="3" t="s">
        <v>55</v>
      </c>
      <c r="AF83" s="3">
        <v>9</v>
      </c>
      <c r="AG83" s="3">
        <f t="shared" si="0"/>
        <v>1</v>
      </c>
      <c r="AH83" s="3">
        <f>+IF(AG83=0,0,IF(AG83=1,(SUM($AG$75:AG83)-1),1))</f>
        <v>0</v>
      </c>
      <c r="AI83" s="3">
        <f t="shared" si="1"/>
        <v>0</v>
      </c>
      <c r="AJ83" s="3">
        <f t="shared" si="2"/>
        <v>0</v>
      </c>
      <c r="AK83" s="3">
        <f t="shared" si="3"/>
        <v>0</v>
      </c>
    </row>
    <row r="84" spans="2:37" x14ac:dyDescent="0.25">
      <c r="B84" s="2"/>
      <c r="D84" s="360" t="s">
        <v>56</v>
      </c>
      <c r="E84" s="360"/>
      <c r="F84" s="16" t="s">
        <v>500</v>
      </c>
      <c r="G84" s="24">
        <v>9.9000000000000008E-3</v>
      </c>
      <c r="H84" s="24">
        <v>0.01</v>
      </c>
      <c r="I84" s="24">
        <v>1.9900000000000001E-2</v>
      </c>
      <c r="J84" s="24">
        <v>0.02</v>
      </c>
      <c r="K84" s="24">
        <v>2.9899999999999999E-2</v>
      </c>
      <c r="L84" s="24">
        <v>0.03</v>
      </c>
      <c r="M84" s="16" t="s">
        <v>500</v>
      </c>
      <c r="O84" s="2"/>
      <c r="AE84" s="3" t="s">
        <v>56</v>
      </c>
      <c r="AF84" s="3">
        <v>10</v>
      </c>
      <c r="AG84" s="3">
        <f t="shared" si="0"/>
        <v>1</v>
      </c>
      <c r="AH84" s="3">
        <f>+IF(AG84=0,0,IF(AG84=1,(SUM($AG$75:AG84)-1),1))</f>
        <v>1</v>
      </c>
      <c r="AI84" s="3">
        <f t="shared" si="1"/>
        <v>1</v>
      </c>
      <c r="AJ84" s="3">
        <f t="shared" si="2"/>
        <v>1</v>
      </c>
      <c r="AK84" s="3">
        <f t="shared" si="3"/>
        <v>1</v>
      </c>
    </row>
    <row r="85" spans="2:37" x14ac:dyDescent="0.25">
      <c r="B85" s="2"/>
      <c r="D85" s="360" t="s">
        <v>57</v>
      </c>
      <c r="E85" s="360"/>
      <c r="F85" s="16" t="s">
        <v>500</v>
      </c>
      <c r="G85" s="24">
        <v>3.9899999999999998E-2</v>
      </c>
      <c r="H85" s="24">
        <v>0.04</v>
      </c>
      <c r="I85" s="24">
        <v>4.99E-2</v>
      </c>
      <c r="J85" s="24">
        <v>0.05</v>
      </c>
      <c r="K85" s="24">
        <v>5.9900000000000002E-2</v>
      </c>
      <c r="L85" s="24">
        <v>0.06</v>
      </c>
      <c r="M85" s="16" t="s">
        <v>500</v>
      </c>
      <c r="O85" s="2"/>
      <c r="AE85" s="3" t="s">
        <v>57</v>
      </c>
      <c r="AF85" s="3">
        <v>11</v>
      </c>
      <c r="AG85" s="3">
        <f t="shared" si="0"/>
        <v>1</v>
      </c>
      <c r="AH85" s="3">
        <f>+IF(AG85=0,0,IF(AG85=1,(SUM($AG$75:AG85)-1),1))</f>
        <v>2</v>
      </c>
      <c r="AI85" s="3">
        <f t="shared" si="1"/>
        <v>1</v>
      </c>
      <c r="AJ85" s="3">
        <f t="shared" si="2"/>
        <v>0</v>
      </c>
      <c r="AK85" s="3">
        <f t="shared" si="3"/>
        <v>1</v>
      </c>
    </row>
    <row r="86" spans="2:37" x14ac:dyDescent="0.25">
      <c r="B86" s="2"/>
      <c r="D86" s="360" t="s">
        <v>58</v>
      </c>
      <c r="E86" s="360"/>
      <c r="F86" s="16" t="s">
        <v>500</v>
      </c>
      <c r="G86" s="24">
        <v>6.9900000000000004E-2</v>
      </c>
      <c r="H86" s="24">
        <v>7.0000000000000007E-2</v>
      </c>
      <c r="I86" s="24">
        <v>7.9899999999999999E-2</v>
      </c>
      <c r="J86" s="24">
        <v>0.08</v>
      </c>
      <c r="K86" s="24">
        <v>8.9899999999999994E-2</v>
      </c>
      <c r="L86" s="24">
        <v>0.09</v>
      </c>
      <c r="M86" s="16" t="s">
        <v>500</v>
      </c>
      <c r="O86" s="2"/>
      <c r="AE86" s="3" t="s">
        <v>58</v>
      </c>
      <c r="AF86" s="65">
        <v>12</v>
      </c>
      <c r="AG86" s="3">
        <f t="shared" si="0"/>
        <v>1</v>
      </c>
      <c r="AH86" s="3">
        <f>+IF(AG86=0,0,IF(AG86=1,(SUM($AG$75:AG86)-1),1))</f>
        <v>3</v>
      </c>
      <c r="AI86" s="3">
        <f t="shared" si="1"/>
        <v>1</v>
      </c>
      <c r="AJ86" s="3">
        <f t="shared" si="2"/>
        <v>0</v>
      </c>
      <c r="AK86" s="3">
        <f t="shared" si="3"/>
        <v>1</v>
      </c>
    </row>
    <row r="87" spans="2:37" ht="3.75" customHeight="1" x14ac:dyDescent="0.25">
      <c r="B87" s="2"/>
      <c r="O87" s="2"/>
    </row>
    <row r="88" spans="2:37" ht="41.25" customHeight="1" x14ac:dyDescent="0.25">
      <c r="B88" s="2"/>
      <c r="D88" s="338" t="s">
        <v>59</v>
      </c>
      <c r="E88" s="339"/>
      <c r="F88" s="340" t="s">
        <v>2183</v>
      </c>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28.5" customHeight="1" x14ac:dyDescent="0.25">
      <c r="B97" s="2"/>
      <c r="D97" s="359" t="s">
        <v>35</v>
      </c>
      <c r="E97" s="359"/>
      <c r="F97" s="344" t="s">
        <v>2184</v>
      </c>
      <c r="G97" s="344"/>
      <c r="H97" s="344"/>
      <c r="I97" s="344"/>
      <c r="J97" s="344"/>
      <c r="K97" s="344"/>
      <c r="L97" s="344"/>
      <c r="M97" s="344"/>
      <c r="O97" s="2"/>
    </row>
    <row r="98" spans="2:15" ht="28.5" customHeight="1" x14ac:dyDescent="0.25">
      <c r="B98" s="2"/>
      <c r="D98" s="359" t="s">
        <v>36</v>
      </c>
      <c r="E98" s="359"/>
      <c r="F98" s="344" t="s">
        <v>2150</v>
      </c>
      <c r="G98" s="344"/>
      <c r="H98" s="344"/>
      <c r="I98" s="344"/>
      <c r="J98" s="344"/>
      <c r="K98" s="344"/>
      <c r="L98" s="344"/>
      <c r="M98" s="344"/>
      <c r="O98" s="2"/>
    </row>
    <row r="99" spans="2:15" ht="3.95" customHeight="1" x14ac:dyDescent="0.25">
      <c r="B99" s="2"/>
      <c r="O99" s="2"/>
    </row>
    <row r="100" spans="2:15" ht="92.25" customHeight="1" x14ac:dyDescent="0.25">
      <c r="B100" s="2"/>
      <c r="D100" s="338" t="s">
        <v>62</v>
      </c>
      <c r="E100" s="339"/>
      <c r="F100" s="340" t="s">
        <v>63</v>
      </c>
      <c r="G100" s="341"/>
      <c r="H100" s="341"/>
      <c r="I100" s="341"/>
      <c r="J100" s="341"/>
      <c r="K100" s="341"/>
      <c r="L100" s="341"/>
      <c r="M100" s="342"/>
      <c r="O100" s="2"/>
    </row>
    <row r="101" spans="2:15" ht="3.95" customHeight="1" x14ac:dyDescent="0.25">
      <c r="B101" s="2"/>
      <c r="O101" s="2"/>
    </row>
    <row r="102" spans="2:15" ht="19.5" customHeight="1" x14ac:dyDescent="0.25">
      <c r="B102" s="2"/>
      <c r="D102" s="329" t="s">
        <v>64</v>
      </c>
      <c r="E102" s="330"/>
      <c r="F102" s="19" t="s">
        <v>65</v>
      </c>
      <c r="G102" s="4" t="s">
        <v>2</v>
      </c>
      <c r="K102" s="20"/>
      <c r="O102" s="2"/>
    </row>
    <row r="103" spans="2:15" ht="19.5" customHeight="1" x14ac:dyDescent="0.25">
      <c r="B103" s="2"/>
      <c r="D103" s="331"/>
      <c r="E103" s="332"/>
      <c r="F103" s="19" t="s">
        <v>66</v>
      </c>
      <c r="G103" s="4"/>
      <c r="K103" s="21"/>
      <c r="O103" s="2"/>
    </row>
    <row r="104" spans="2:15" ht="27.75" customHeight="1" x14ac:dyDescent="0.25">
      <c r="B104" s="2"/>
      <c r="D104" s="331"/>
      <c r="E104" s="332"/>
      <c r="F104" s="19" t="s">
        <v>67</v>
      </c>
      <c r="G104" s="333"/>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69</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 xml:space="preserve">Director(a) Primera Infancia </v>
      </c>
      <c r="H108" s="334"/>
      <c r="I108" s="334"/>
      <c r="J108" s="334"/>
      <c r="K108" s="334"/>
      <c r="L108" s="334"/>
      <c r="M108" s="335"/>
      <c r="O108" s="2"/>
    </row>
    <row r="109" spans="2:15" ht="17.25" customHeight="1" x14ac:dyDescent="0.25">
      <c r="B109" s="2"/>
      <c r="D109" s="331"/>
      <c r="E109" s="332"/>
      <c r="F109" s="19" t="s">
        <v>2042</v>
      </c>
      <c r="G109" s="333" t="str">
        <f>+IF(M23="Si","Coordinador(a) Planeación y Sistemas","")</f>
        <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F51 G102">
    <cfRule type="expression" dxfId="3437" priority="29">
      <formula>+IF($F$43="no",1,0)</formula>
    </cfRule>
  </conditionalFormatting>
  <conditionalFormatting sqref="F32:M33">
    <cfRule type="expression" dxfId="3436" priority="28">
      <formula>+IF($Q$30="NA",1,0)</formula>
    </cfRule>
  </conditionalFormatting>
  <conditionalFormatting sqref="F33:M33">
    <cfRule type="expression" dxfId="3435" priority="27">
      <formula>+IF($Q$33=0,1,0)</formula>
    </cfRule>
  </conditionalFormatting>
  <conditionalFormatting sqref="F47:M47">
    <cfRule type="expression" dxfId="3434" priority="26">
      <formula>+IF($Q$47=0,1,0)</formula>
    </cfRule>
  </conditionalFormatting>
  <conditionalFormatting sqref="F73:G73">
    <cfRule type="cellIs" dxfId="3433" priority="12" operator="equal">
      <formula>"optimo"</formula>
    </cfRule>
    <cfRule type="cellIs" dxfId="3432" priority="13" operator="equal">
      <formula>"critico"</formula>
    </cfRule>
  </conditionalFormatting>
  <conditionalFormatting sqref="H73:I73">
    <cfRule type="cellIs" dxfId="3431" priority="10" operator="equal">
      <formula>"Adecuado"</formula>
    </cfRule>
    <cfRule type="cellIs" dxfId="3430" priority="11" operator="equal">
      <formula>"en riesgo"</formula>
    </cfRule>
  </conditionalFormatting>
  <conditionalFormatting sqref="J73:K73">
    <cfRule type="cellIs" dxfId="3429" priority="8" operator="equal">
      <formula>"Adecuado"</formula>
    </cfRule>
    <cfRule type="cellIs" dxfId="3428" priority="9" operator="equal">
      <formula>"en riesgo"</formula>
    </cfRule>
  </conditionalFormatting>
  <conditionalFormatting sqref="L73:M73">
    <cfRule type="cellIs" dxfId="3427" priority="6" operator="equal">
      <formula>"optimo"</formula>
    </cfRule>
    <cfRule type="cellIs" dxfId="3426" priority="7" operator="equal">
      <formula>"critico"</formula>
    </cfRule>
  </conditionalFormatting>
  <conditionalFormatting sqref="F75:M86">
    <cfRule type="expression" dxfId="3425" priority="5">
      <formula>+IF($AK75=0,1)</formula>
    </cfRule>
  </conditionalFormatting>
  <conditionalFormatting sqref="F103:G104">
    <cfRule type="expression" dxfId="3424" priority="4">
      <formula>+IF($G$102="No",1,0)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4">
    <tabColor rgb="FF0070C0"/>
  </sheetPr>
  <dimension ref="B1:AV113"/>
  <sheetViews>
    <sheetView topLeftCell="A61" zoomScaleNormal="100" workbookViewId="0">
      <selection activeCell="A80" sqref="A80:XFD86"/>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220</v>
      </c>
      <c r="O10" s="2"/>
    </row>
    <row r="11" spans="2:24" ht="3.95" customHeight="1" x14ac:dyDescent="0.25">
      <c r="B11" s="2"/>
      <c r="D11" s="6"/>
      <c r="O11" s="2"/>
    </row>
    <row r="12" spans="2:24" ht="36" customHeight="1" x14ac:dyDescent="0.25">
      <c r="B12" s="2"/>
      <c r="D12" s="338" t="s">
        <v>5</v>
      </c>
      <c r="E12" s="339"/>
      <c r="F12" s="340" t="s">
        <v>221</v>
      </c>
      <c r="G12" s="341"/>
      <c r="H12" s="341"/>
      <c r="I12" s="341"/>
      <c r="J12" s="341"/>
      <c r="K12" s="341"/>
      <c r="L12" s="341"/>
      <c r="M12" s="342"/>
      <c r="O12" s="2"/>
      <c r="W12" s="3" t="str">
        <f>+F23</f>
        <v>Mensual</v>
      </c>
      <c r="X12" s="3" t="str">
        <f>+F71</f>
        <v>Enero</v>
      </c>
    </row>
    <row r="13" spans="2:24" ht="3.95" customHeight="1" x14ac:dyDescent="0.25">
      <c r="B13" s="2"/>
      <c r="O13" s="2"/>
    </row>
    <row r="14" spans="2:24" ht="39.75" customHeight="1" x14ac:dyDescent="0.25">
      <c r="B14" s="2"/>
      <c r="D14" s="338" t="s">
        <v>6</v>
      </c>
      <c r="E14" s="339"/>
      <c r="F14" s="340" t="s">
        <v>775</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17">
        <v>0.28000000000000003</v>
      </c>
      <c r="G22" s="337" t="s">
        <v>9</v>
      </c>
      <c r="H22" s="337"/>
      <c r="I22" s="23">
        <v>0.08</v>
      </c>
      <c r="K22" s="337" t="s">
        <v>10</v>
      </c>
      <c r="L22" s="337"/>
      <c r="M22" s="9" t="s">
        <v>496</v>
      </c>
      <c r="O22" s="2"/>
    </row>
    <row r="23" spans="2:17" ht="19.5" customHeight="1" x14ac:dyDescent="0.25">
      <c r="B23" s="2"/>
      <c r="D23" s="337" t="s">
        <v>11</v>
      </c>
      <c r="E23" s="337"/>
      <c r="F23" s="4" t="s">
        <v>84</v>
      </c>
      <c r="G23" s="337" t="s">
        <v>12</v>
      </c>
      <c r="H23" s="337"/>
      <c r="I23" s="4" t="s">
        <v>497</v>
      </c>
      <c r="K23" s="337" t="s">
        <v>13</v>
      </c>
      <c r="L23" s="337"/>
      <c r="M23" s="9" t="s">
        <v>496</v>
      </c>
      <c r="O23" s="2"/>
    </row>
    <row r="24" spans="2:17" ht="20.100000000000001" customHeight="1" x14ac:dyDescent="0.25">
      <c r="B24" s="2"/>
      <c r="D24" s="337" t="s">
        <v>14</v>
      </c>
      <c r="E24" s="337"/>
      <c r="F24" s="4" t="s">
        <v>666</v>
      </c>
      <c r="G24" s="337" t="s">
        <v>15</v>
      </c>
      <c r="H24" s="337"/>
      <c r="I24" s="4" t="s">
        <v>103</v>
      </c>
      <c r="K24" s="337" t="s">
        <v>16</v>
      </c>
      <c r="L24" s="337"/>
      <c r="M24" s="9" t="s">
        <v>496</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716</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proteccion</v>
      </c>
    </row>
    <row r="31" spans="2:17" ht="24" customHeight="1" x14ac:dyDescent="0.25">
      <c r="B31" s="2"/>
      <c r="D31" s="347"/>
      <c r="E31" s="348"/>
      <c r="F31" s="4" t="s">
        <v>202</v>
      </c>
      <c r="G31" s="340" t="s">
        <v>203</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792</v>
      </c>
      <c r="G33" s="340" t="s">
        <v>719</v>
      </c>
      <c r="H33" s="341"/>
      <c r="I33" s="341"/>
      <c r="J33" s="341"/>
      <c r="K33" s="341"/>
      <c r="L33" s="341"/>
      <c r="M33" s="342"/>
      <c r="O33" s="2"/>
      <c r="Q33" s="3">
        <f>+IFERROR(IF(VLOOKUP(G33,base!$A$26:$C$40,3,FALSE)=F31,1,0),"")</f>
        <v>1</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1715</v>
      </c>
      <c r="G35" s="340" t="s">
        <v>1591</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2</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500</v>
      </c>
      <c r="G45" s="340" t="s">
        <v>512</v>
      </c>
      <c r="H45" s="341"/>
      <c r="I45" s="341"/>
      <c r="J45" s="341"/>
      <c r="K45" s="341"/>
      <c r="L45" s="341"/>
      <c r="M45" s="342"/>
      <c r="O45" s="2"/>
      <c r="Q45" s="3" t="str">
        <f>+IFERROR(VLOOKUP(G45,base!$A$41:$C$45,3,FALSE),"")</f>
        <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500</v>
      </c>
      <c r="G47" s="340" t="s">
        <v>512</v>
      </c>
      <c r="H47" s="341"/>
      <c r="I47" s="341"/>
      <c r="J47" s="341"/>
      <c r="K47" s="341"/>
      <c r="L47" s="341"/>
      <c r="M47" s="342"/>
      <c r="O47" s="2"/>
      <c r="Q47" s="3" t="e">
        <f>+IF(VLOOKUP(G47,base!$A$46:$C$66,3,FALSE)=F45,1,0)</f>
        <v>#N/A</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786</v>
      </c>
      <c r="G49" s="340" t="s">
        <v>717</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8"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47.25" customHeight="1" x14ac:dyDescent="0.25">
      <c r="B59" s="2"/>
      <c r="D59" s="337" t="s">
        <v>34</v>
      </c>
      <c r="E59" s="337"/>
      <c r="F59" s="344" t="s">
        <v>830</v>
      </c>
      <c r="G59" s="344"/>
      <c r="H59" s="344"/>
      <c r="I59" s="344"/>
      <c r="J59" s="344"/>
      <c r="K59" s="344"/>
      <c r="L59" s="344"/>
      <c r="M59" s="344"/>
      <c r="O59" s="2"/>
    </row>
    <row r="60" spans="2:15" ht="40.5" customHeight="1" x14ac:dyDescent="0.25">
      <c r="B60" s="2"/>
      <c r="D60" s="359" t="s">
        <v>35</v>
      </c>
      <c r="E60" s="359"/>
      <c r="F60" s="344" t="s">
        <v>831</v>
      </c>
      <c r="G60" s="344"/>
      <c r="H60" s="344"/>
      <c r="I60" s="344"/>
      <c r="J60" s="344"/>
      <c r="K60" s="344"/>
      <c r="L60" s="344"/>
      <c r="M60" s="344"/>
      <c r="O60" s="2"/>
    </row>
    <row r="61" spans="2:15" ht="24" customHeight="1" x14ac:dyDescent="0.25">
      <c r="B61" s="2"/>
      <c r="D61" s="359" t="s">
        <v>36</v>
      </c>
      <c r="E61" s="359"/>
      <c r="F61" s="344" t="s">
        <v>832</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43" t="s">
        <v>39</v>
      </c>
      <c r="E71" s="343"/>
      <c r="F71" s="4" t="s">
        <v>46</v>
      </c>
      <c r="G71" s="3">
        <v>1</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52</v>
      </c>
      <c r="G74" s="15" t="s">
        <v>670</v>
      </c>
      <c r="H74" s="15" t="s">
        <v>52</v>
      </c>
      <c r="I74" s="15" t="s">
        <v>670</v>
      </c>
      <c r="J74" s="15" t="s">
        <v>52</v>
      </c>
      <c r="K74" s="15" t="s">
        <v>670</v>
      </c>
      <c r="L74" s="15" t="s">
        <v>52</v>
      </c>
      <c r="M74" s="15" t="s">
        <v>670</v>
      </c>
      <c r="O74" s="2"/>
    </row>
    <row r="75" spans="2:37" x14ac:dyDescent="0.25">
      <c r="B75" s="2"/>
      <c r="D75" s="360" t="s">
        <v>46</v>
      </c>
      <c r="E75" s="360"/>
      <c r="F75" s="16" t="s">
        <v>500</v>
      </c>
      <c r="G75" s="16">
        <v>0.20100000000000001</v>
      </c>
      <c r="H75" s="16">
        <v>0.2</v>
      </c>
      <c r="I75" s="16">
        <v>0.151</v>
      </c>
      <c r="J75" s="16">
        <v>0.15</v>
      </c>
      <c r="K75" s="16">
        <v>8.1000000000000003E-2</v>
      </c>
      <c r="L75" s="16">
        <v>0.08</v>
      </c>
      <c r="M75" s="16" t="s">
        <v>500</v>
      </c>
      <c r="O75" s="2"/>
      <c r="AE75" s="3" t="s">
        <v>46</v>
      </c>
      <c r="AF75" s="3">
        <v>1</v>
      </c>
      <c r="AG75" s="3">
        <f>+IF(AF75&gt;=$G$71,1,0)</f>
        <v>1</v>
      </c>
      <c r="AH75" s="3">
        <f>+IF(AG75=0,0,IF(AG75=1,(SUM($AG$75:AG75)-1),1))</f>
        <v>0</v>
      </c>
      <c r="AI75" s="3">
        <f>+IF(AH75=0,0,IF(MOD(AH75,$U$69)=0,1,0))</f>
        <v>0</v>
      </c>
      <c r="AJ75" s="3">
        <f>+IF(AE75=$F$71,1,0)</f>
        <v>1</v>
      </c>
      <c r="AK75" s="3">
        <f>+MAX(AI75:AJ75)</f>
        <v>1</v>
      </c>
    </row>
    <row r="76" spans="2:37" x14ac:dyDescent="0.25">
      <c r="B76" s="2"/>
      <c r="D76" s="360" t="s">
        <v>40</v>
      </c>
      <c r="E76" s="360"/>
      <c r="F76" s="16" t="s">
        <v>500</v>
      </c>
      <c r="G76" s="16">
        <v>0.20100000000000001</v>
      </c>
      <c r="H76" s="16">
        <v>0.2</v>
      </c>
      <c r="I76" s="16">
        <v>0.151</v>
      </c>
      <c r="J76" s="16">
        <v>0.15</v>
      </c>
      <c r="K76" s="16">
        <v>8.1000000000000003E-2</v>
      </c>
      <c r="L76" s="16">
        <v>0.08</v>
      </c>
      <c r="M76" s="16" t="s">
        <v>500</v>
      </c>
      <c r="O76" s="2"/>
      <c r="AE76" s="3" t="s">
        <v>40</v>
      </c>
      <c r="AF76" s="3">
        <v>2</v>
      </c>
      <c r="AG76" s="3">
        <f t="shared" ref="AG76:AG86" si="0">+IF(AF76&gt;=$G$71,1,0)</f>
        <v>1</v>
      </c>
      <c r="AH76" s="3">
        <f>+IF(AG76=0,0,IF(AG76=1,(SUM($AG$75:AG76)-1),1))</f>
        <v>1</v>
      </c>
      <c r="AI76" s="3">
        <f t="shared" ref="AI76:AI86" si="1">+IF(AH76=0,0,IF(MOD(AH76,$U$69)=0,1,0))</f>
        <v>1</v>
      </c>
      <c r="AJ76" s="3">
        <f t="shared" ref="AJ76:AJ86" si="2">+IF(AE76=$F$71,1,0)</f>
        <v>0</v>
      </c>
      <c r="AK76" s="3">
        <f t="shared" ref="AK76:AK86" si="3">+MAX(AI76:AJ76)</f>
        <v>1</v>
      </c>
    </row>
    <row r="77" spans="2:37" x14ac:dyDescent="0.25">
      <c r="B77" s="2"/>
      <c r="D77" s="360" t="s">
        <v>47</v>
      </c>
      <c r="E77" s="360"/>
      <c r="F77" s="16" t="s">
        <v>500</v>
      </c>
      <c r="G77" s="16">
        <v>0.20100000000000001</v>
      </c>
      <c r="H77" s="16">
        <v>0.2</v>
      </c>
      <c r="I77" s="16">
        <v>0.151</v>
      </c>
      <c r="J77" s="16">
        <v>0.15</v>
      </c>
      <c r="K77" s="16">
        <v>8.1000000000000003E-2</v>
      </c>
      <c r="L77" s="16">
        <v>0.08</v>
      </c>
      <c r="M77" s="16" t="s">
        <v>500</v>
      </c>
      <c r="O77" s="2"/>
      <c r="AE77" s="3" t="s">
        <v>47</v>
      </c>
      <c r="AF77" s="3">
        <v>3</v>
      </c>
      <c r="AG77" s="3">
        <f t="shared" si="0"/>
        <v>1</v>
      </c>
      <c r="AH77" s="3">
        <f>+IF(AG77=0,0,IF(AG77=1,(SUM($AG$75:AG77)-1),1))</f>
        <v>2</v>
      </c>
      <c r="AI77" s="3">
        <f t="shared" si="1"/>
        <v>1</v>
      </c>
      <c r="AJ77" s="3">
        <f t="shared" si="2"/>
        <v>0</v>
      </c>
      <c r="AK77" s="3">
        <f t="shared" si="3"/>
        <v>1</v>
      </c>
    </row>
    <row r="78" spans="2:37" x14ac:dyDescent="0.25">
      <c r="B78" s="2"/>
      <c r="D78" s="360" t="s">
        <v>48</v>
      </c>
      <c r="E78" s="360"/>
      <c r="F78" s="16" t="s">
        <v>500</v>
      </c>
      <c r="G78" s="16">
        <v>0.20100000000000001</v>
      </c>
      <c r="H78" s="16">
        <v>0.2</v>
      </c>
      <c r="I78" s="16">
        <v>0.151</v>
      </c>
      <c r="J78" s="16">
        <v>0.15</v>
      </c>
      <c r="K78" s="16">
        <v>8.1000000000000003E-2</v>
      </c>
      <c r="L78" s="16">
        <v>0.08</v>
      </c>
      <c r="M78" s="16" t="s">
        <v>500</v>
      </c>
      <c r="O78" s="2"/>
      <c r="AE78" s="3" t="s">
        <v>48</v>
      </c>
      <c r="AF78" s="3">
        <v>4</v>
      </c>
      <c r="AG78" s="3">
        <f t="shared" si="0"/>
        <v>1</v>
      </c>
      <c r="AH78" s="3">
        <f>+IF(AG78=0,0,IF(AG78=1,(SUM($AG$75:AG78)-1),1))</f>
        <v>3</v>
      </c>
      <c r="AI78" s="3">
        <f t="shared" si="1"/>
        <v>1</v>
      </c>
      <c r="AJ78" s="3">
        <f t="shared" si="2"/>
        <v>0</v>
      </c>
      <c r="AK78" s="3">
        <f t="shared" si="3"/>
        <v>1</v>
      </c>
    </row>
    <row r="79" spans="2:37" x14ac:dyDescent="0.25">
      <c r="B79" s="2"/>
      <c r="D79" s="360" t="s">
        <v>49</v>
      </c>
      <c r="E79" s="360"/>
      <c r="F79" s="16" t="s">
        <v>500</v>
      </c>
      <c r="G79" s="16">
        <v>0.20100000000000001</v>
      </c>
      <c r="H79" s="16">
        <v>0.2</v>
      </c>
      <c r="I79" s="16">
        <v>0.151</v>
      </c>
      <c r="J79" s="16">
        <v>0.15</v>
      </c>
      <c r="K79" s="16">
        <v>8.1000000000000003E-2</v>
      </c>
      <c r="L79" s="16">
        <v>0.08</v>
      </c>
      <c r="M79" s="16" t="s">
        <v>500</v>
      </c>
      <c r="O79" s="2"/>
      <c r="AE79" s="3" t="s">
        <v>49</v>
      </c>
      <c r="AF79" s="3">
        <v>5</v>
      </c>
      <c r="AG79" s="3">
        <f t="shared" si="0"/>
        <v>1</v>
      </c>
      <c r="AH79" s="3">
        <f>+IF(AG79=0,0,IF(AG79=1,(SUM($AG$75:AG79)-1),1))</f>
        <v>4</v>
      </c>
      <c r="AI79" s="3">
        <f t="shared" si="1"/>
        <v>1</v>
      </c>
      <c r="AJ79" s="3">
        <f t="shared" si="2"/>
        <v>0</v>
      </c>
      <c r="AK79" s="3">
        <f t="shared" si="3"/>
        <v>1</v>
      </c>
    </row>
    <row r="80" spans="2:37" x14ac:dyDescent="0.25">
      <c r="B80" s="2"/>
      <c r="D80" s="360" t="s">
        <v>50</v>
      </c>
      <c r="E80" s="360"/>
      <c r="F80" s="16" t="s">
        <v>500</v>
      </c>
      <c r="G80" s="16">
        <v>0.20100000000000001</v>
      </c>
      <c r="H80" s="16">
        <v>0.2</v>
      </c>
      <c r="I80" s="16">
        <v>0.151</v>
      </c>
      <c r="J80" s="16">
        <v>0.15</v>
      </c>
      <c r="K80" s="16">
        <v>8.1000000000000003E-2</v>
      </c>
      <c r="L80" s="16">
        <v>0.08</v>
      </c>
      <c r="M80" s="16" t="s">
        <v>500</v>
      </c>
      <c r="O80" s="2"/>
      <c r="AE80" s="3" t="s">
        <v>50</v>
      </c>
      <c r="AF80" s="3">
        <v>6</v>
      </c>
      <c r="AG80" s="3">
        <f t="shared" si="0"/>
        <v>1</v>
      </c>
      <c r="AH80" s="3">
        <f>+IF(AG80=0,0,IF(AG80=1,(SUM($AG$75:AG80)-1),1))</f>
        <v>5</v>
      </c>
      <c r="AI80" s="3">
        <f t="shared" si="1"/>
        <v>1</v>
      </c>
      <c r="AJ80" s="3">
        <f t="shared" si="2"/>
        <v>0</v>
      </c>
      <c r="AK80" s="3">
        <f t="shared" si="3"/>
        <v>1</v>
      </c>
    </row>
    <row r="81" spans="2:37" x14ac:dyDescent="0.25">
      <c r="B81" s="2"/>
      <c r="D81" s="360" t="s">
        <v>53</v>
      </c>
      <c r="E81" s="360"/>
      <c r="F81" s="16" t="s">
        <v>500</v>
      </c>
      <c r="G81" s="16">
        <v>0.20100000000000001</v>
      </c>
      <c r="H81" s="16">
        <v>0.2</v>
      </c>
      <c r="I81" s="16">
        <v>0.151</v>
      </c>
      <c r="J81" s="16">
        <v>0.15</v>
      </c>
      <c r="K81" s="16">
        <v>8.1000000000000003E-2</v>
      </c>
      <c r="L81" s="16">
        <v>0.08</v>
      </c>
      <c r="M81" s="16" t="s">
        <v>500</v>
      </c>
      <c r="O81" s="2"/>
      <c r="AE81" s="3" t="s">
        <v>53</v>
      </c>
      <c r="AF81" s="3">
        <v>7</v>
      </c>
      <c r="AG81" s="3">
        <f t="shared" si="0"/>
        <v>1</v>
      </c>
      <c r="AH81" s="3">
        <f>+IF(AG81=0,0,IF(AG81=1,(SUM($AG$75:AG81)-1),1))</f>
        <v>6</v>
      </c>
      <c r="AI81" s="3">
        <f t="shared" si="1"/>
        <v>1</v>
      </c>
      <c r="AJ81" s="3">
        <f t="shared" si="2"/>
        <v>0</v>
      </c>
      <c r="AK81" s="3">
        <f t="shared" si="3"/>
        <v>1</v>
      </c>
    </row>
    <row r="82" spans="2:37" x14ac:dyDescent="0.25">
      <c r="B82" s="2"/>
      <c r="D82" s="360" t="s">
        <v>54</v>
      </c>
      <c r="E82" s="360"/>
      <c r="F82" s="16" t="s">
        <v>500</v>
      </c>
      <c r="G82" s="16">
        <v>0.20100000000000001</v>
      </c>
      <c r="H82" s="16">
        <v>0.2</v>
      </c>
      <c r="I82" s="16">
        <v>0.151</v>
      </c>
      <c r="J82" s="16">
        <v>0.15</v>
      </c>
      <c r="K82" s="16">
        <v>8.1000000000000003E-2</v>
      </c>
      <c r="L82" s="16">
        <v>0.08</v>
      </c>
      <c r="M82" s="16" t="s">
        <v>500</v>
      </c>
      <c r="O82" s="2"/>
      <c r="AE82" s="3" t="s">
        <v>54</v>
      </c>
      <c r="AF82" s="3">
        <v>8</v>
      </c>
      <c r="AG82" s="3">
        <f t="shared" si="0"/>
        <v>1</v>
      </c>
      <c r="AH82" s="3">
        <f>+IF(AG82=0,0,IF(AG82=1,(SUM($AG$75:AG82)-1),1))</f>
        <v>7</v>
      </c>
      <c r="AI82" s="3">
        <f t="shared" si="1"/>
        <v>1</v>
      </c>
      <c r="AJ82" s="3">
        <f t="shared" si="2"/>
        <v>0</v>
      </c>
      <c r="AK82" s="3">
        <f t="shared" si="3"/>
        <v>1</v>
      </c>
    </row>
    <row r="83" spans="2:37" x14ac:dyDescent="0.25">
      <c r="B83" s="2"/>
      <c r="D83" s="360" t="s">
        <v>55</v>
      </c>
      <c r="E83" s="360"/>
      <c r="F83" s="16" t="s">
        <v>500</v>
      </c>
      <c r="G83" s="16">
        <v>0.20100000000000001</v>
      </c>
      <c r="H83" s="16">
        <v>0.2</v>
      </c>
      <c r="I83" s="16">
        <v>0.151</v>
      </c>
      <c r="J83" s="16">
        <v>0.15</v>
      </c>
      <c r="K83" s="16">
        <v>8.1000000000000003E-2</v>
      </c>
      <c r="L83" s="16">
        <v>0.08</v>
      </c>
      <c r="M83" s="16" t="s">
        <v>500</v>
      </c>
      <c r="O83" s="2"/>
      <c r="AE83" s="3" t="s">
        <v>55</v>
      </c>
      <c r="AF83" s="3">
        <v>9</v>
      </c>
      <c r="AG83" s="3">
        <f t="shared" si="0"/>
        <v>1</v>
      </c>
      <c r="AH83" s="3">
        <f>+IF(AG83=0,0,IF(AG83=1,(SUM($AG$75:AG83)-1),1))</f>
        <v>8</v>
      </c>
      <c r="AI83" s="3">
        <f t="shared" si="1"/>
        <v>1</v>
      </c>
      <c r="AJ83" s="3">
        <f t="shared" si="2"/>
        <v>0</v>
      </c>
      <c r="AK83" s="3">
        <f t="shared" si="3"/>
        <v>1</v>
      </c>
    </row>
    <row r="84" spans="2:37" x14ac:dyDescent="0.25">
      <c r="B84" s="2"/>
      <c r="D84" s="360" t="s">
        <v>56</v>
      </c>
      <c r="E84" s="360"/>
      <c r="F84" s="16" t="s">
        <v>500</v>
      </c>
      <c r="G84" s="16">
        <v>0.20100000000000001</v>
      </c>
      <c r="H84" s="16">
        <v>0.2</v>
      </c>
      <c r="I84" s="16">
        <v>0.151</v>
      </c>
      <c r="J84" s="16">
        <v>0.15</v>
      </c>
      <c r="K84" s="16">
        <v>8.1000000000000003E-2</v>
      </c>
      <c r="L84" s="16">
        <v>0.08</v>
      </c>
      <c r="M84" s="16" t="s">
        <v>500</v>
      </c>
      <c r="O84" s="2"/>
      <c r="AE84" s="3" t="s">
        <v>56</v>
      </c>
      <c r="AF84" s="3">
        <v>10</v>
      </c>
      <c r="AG84" s="3">
        <f t="shared" si="0"/>
        <v>1</v>
      </c>
      <c r="AH84" s="3">
        <f>+IF(AG84=0,0,IF(AG84=1,(SUM($AG$75:AG84)-1),1))</f>
        <v>9</v>
      </c>
      <c r="AI84" s="3">
        <f t="shared" si="1"/>
        <v>1</v>
      </c>
      <c r="AJ84" s="3">
        <f t="shared" si="2"/>
        <v>0</v>
      </c>
      <c r="AK84" s="3">
        <f t="shared" si="3"/>
        <v>1</v>
      </c>
    </row>
    <row r="85" spans="2:37" x14ac:dyDescent="0.25">
      <c r="B85" s="2"/>
      <c r="D85" s="360" t="s">
        <v>57</v>
      </c>
      <c r="E85" s="360"/>
      <c r="F85" s="16" t="s">
        <v>500</v>
      </c>
      <c r="G85" s="16">
        <v>0.20100000000000001</v>
      </c>
      <c r="H85" s="16">
        <v>0.2</v>
      </c>
      <c r="I85" s="16">
        <v>0.151</v>
      </c>
      <c r="J85" s="16">
        <v>0.15</v>
      </c>
      <c r="K85" s="16">
        <v>8.1000000000000003E-2</v>
      </c>
      <c r="L85" s="16">
        <v>0.08</v>
      </c>
      <c r="M85" s="16" t="s">
        <v>500</v>
      </c>
      <c r="O85" s="2"/>
      <c r="AE85" s="3" t="s">
        <v>57</v>
      </c>
      <c r="AF85" s="3">
        <v>11</v>
      </c>
      <c r="AG85" s="3">
        <f t="shared" si="0"/>
        <v>1</v>
      </c>
      <c r="AH85" s="3">
        <f>+IF(AG85=0,0,IF(AG85=1,(SUM($AG$75:AG85)-1),1))</f>
        <v>10</v>
      </c>
      <c r="AI85" s="3">
        <f t="shared" si="1"/>
        <v>1</v>
      </c>
      <c r="AJ85" s="3">
        <f t="shared" si="2"/>
        <v>0</v>
      </c>
      <c r="AK85" s="3">
        <f t="shared" si="3"/>
        <v>1</v>
      </c>
    </row>
    <row r="86" spans="2:37" x14ac:dyDescent="0.25">
      <c r="B86" s="2"/>
      <c r="D86" s="360" t="s">
        <v>58</v>
      </c>
      <c r="E86" s="360"/>
      <c r="F86" s="16" t="s">
        <v>500</v>
      </c>
      <c r="G86" s="16">
        <v>0.20100000000000001</v>
      </c>
      <c r="H86" s="16">
        <v>0.2</v>
      </c>
      <c r="I86" s="16">
        <v>0.151</v>
      </c>
      <c r="J86" s="16">
        <v>0.15</v>
      </c>
      <c r="K86" s="16">
        <v>8.1000000000000003E-2</v>
      </c>
      <c r="L86" s="16">
        <v>0.08</v>
      </c>
      <c r="M86" s="16" t="s">
        <v>500</v>
      </c>
      <c r="O86" s="2"/>
      <c r="AE86" s="3" t="s">
        <v>58</v>
      </c>
      <c r="AF86" s="65">
        <v>12</v>
      </c>
      <c r="AG86" s="3">
        <f t="shared" si="0"/>
        <v>1</v>
      </c>
      <c r="AH86" s="3">
        <f>+IF(AG86=0,0,IF(AG86=1,(SUM($AG$75:AG86)-1),1))</f>
        <v>11</v>
      </c>
      <c r="AI86" s="3">
        <f t="shared" si="1"/>
        <v>1</v>
      </c>
      <c r="AJ86" s="3">
        <f t="shared" si="2"/>
        <v>0</v>
      </c>
      <c r="AK86" s="3">
        <f t="shared" si="3"/>
        <v>1</v>
      </c>
    </row>
    <row r="87" spans="2:37" ht="3.75" customHeight="1" x14ac:dyDescent="0.25">
      <c r="B87" s="2"/>
      <c r="O87" s="2"/>
    </row>
    <row r="88" spans="2:37" ht="155.25" customHeight="1" x14ac:dyDescent="0.25">
      <c r="B88" s="2"/>
      <c r="D88" s="338" t="s">
        <v>59</v>
      </c>
      <c r="E88" s="339"/>
      <c r="F88" s="340" t="s">
        <v>1771</v>
      </c>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2" customHeight="1" x14ac:dyDescent="0.25">
      <c r="B97" s="2"/>
      <c r="D97" s="359" t="s">
        <v>35</v>
      </c>
      <c r="E97" s="359"/>
      <c r="F97" s="344" t="s">
        <v>833</v>
      </c>
      <c r="G97" s="344"/>
      <c r="H97" s="344"/>
      <c r="I97" s="344"/>
      <c r="J97" s="344"/>
      <c r="K97" s="344"/>
      <c r="L97" s="344"/>
      <c r="M97" s="344"/>
      <c r="O97" s="2"/>
    </row>
    <row r="98" spans="2:15" ht="42" customHeight="1" x14ac:dyDescent="0.25">
      <c r="B98" s="2"/>
      <c r="D98" s="359" t="s">
        <v>36</v>
      </c>
      <c r="E98" s="359"/>
      <c r="F98" s="344" t="s">
        <v>833</v>
      </c>
      <c r="G98" s="344"/>
      <c r="H98" s="344"/>
      <c r="I98" s="344"/>
      <c r="J98" s="344"/>
      <c r="K98" s="344"/>
      <c r="L98" s="344"/>
      <c r="M98" s="344"/>
      <c r="O98" s="2"/>
    </row>
    <row r="99" spans="2:15" ht="3.95" customHeight="1" x14ac:dyDescent="0.25">
      <c r="B99" s="2"/>
      <c r="O99" s="2"/>
    </row>
    <row r="100" spans="2:15" ht="330" customHeight="1" x14ac:dyDescent="0.25">
      <c r="B100" s="2"/>
      <c r="D100" s="338" t="s">
        <v>62</v>
      </c>
      <c r="E100" s="339"/>
      <c r="F100" s="340" t="s">
        <v>725</v>
      </c>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1</v>
      </c>
      <c r="K102" s="20"/>
      <c r="O102" s="2"/>
    </row>
    <row r="103" spans="2:15" ht="19.5" customHeight="1" x14ac:dyDescent="0.25">
      <c r="B103" s="2"/>
      <c r="D103" s="331"/>
      <c r="E103" s="332"/>
      <c r="F103" s="19" t="s">
        <v>66</v>
      </c>
      <c r="G103" s="4" t="s">
        <v>220</v>
      </c>
      <c r="K103" s="21"/>
      <c r="O103" s="2"/>
    </row>
    <row r="104" spans="2:15" ht="27.75" customHeight="1" x14ac:dyDescent="0.25">
      <c r="B104" s="2"/>
      <c r="D104" s="331"/>
      <c r="E104" s="332"/>
      <c r="F104" s="19" t="s">
        <v>67</v>
      </c>
      <c r="G104" s="340" t="s">
        <v>1772</v>
      </c>
      <c r="H104" s="341"/>
      <c r="I104" s="341"/>
      <c r="J104" s="341"/>
      <c r="K104" s="341"/>
      <c r="L104" s="341"/>
      <c r="M104" s="342"/>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40" t="str">
        <f>+VLOOKUP(H10,tablero!$P$5:$R$201,3,FALSE)</f>
        <v xml:space="preserve">Subdirector(a) Restablecimiento de Derechos </v>
      </c>
      <c r="H108" s="341"/>
      <c r="I108" s="341"/>
      <c r="J108" s="341"/>
      <c r="K108" s="341"/>
      <c r="L108" s="341"/>
      <c r="M108" s="342"/>
      <c r="O108" s="2"/>
    </row>
    <row r="109" spans="2:15" ht="17.25" customHeight="1" x14ac:dyDescent="0.25">
      <c r="B109" s="2"/>
      <c r="D109" s="331"/>
      <c r="E109" s="332"/>
      <c r="F109" s="19" t="s">
        <v>2042</v>
      </c>
      <c r="G109" s="340" t="str">
        <f>+IF(M23="Si","Coordinador(a) Planeación y Sistemas","")</f>
        <v>Coordinador(a) Planeación y Sistemas</v>
      </c>
      <c r="H109" s="341"/>
      <c r="I109" s="341"/>
      <c r="J109" s="341"/>
      <c r="K109" s="341"/>
      <c r="L109" s="341"/>
      <c r="M109" s="342"/>
      <c r="O109" s="2"/>
    </row>
    <row r="110" spans="2:15" ht="17.25" customHeight="1" x14ac:dyDescent="0.25">
      <c r="B110" s="2"/>
      <c r="D110" s="331"/>
      <c r="E110" s="332"/>
      <c r="F110" s="19" t="s">
        <v>2043</v>
      </c>
      <c r="G110" s="340" t="str">
        <f>+IF(M24="Si","Coordinador(a) Centro Zonal","")</f>
        <v>Coordinador(a) Centro Zonal</v>
      </c>
      <c r="H110" s="341"/>
      <c r="I110" s="341"/>
      <c r="J110" s="341"/>
      <c r="K110" s="341"/>
      <c r="L110" s="341"/>
      <c r="M110" s="342"/>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402" priority="31">
      <formula>+IF($F$43="no",1,0)</formula>
    </cfRule>
  </conditionalFormatting>
  <conditionalFormatting sqref="F32:M33">
    <cfRule type="expression" dxfId="2401" priority="30">
      <formula>+IF($Q$30="NA",1,0)</formula>
    </cfRule>
  </conditionalFormatting>
  <conditionalFormatting sqref="F33:M33">
    <cfRule type="expression" dxfId="2400" priority="29">
      <formula>+IF($Q$33=0,1,0)</formula>
    </cfRule>
  </conditionalFormatting>
  <conditionalFormatting sqref="F47:M47">
    <cfRule type="expression" dxfId="2399" priority="28">
      <formula>+IF($Q$47=0,1,0)</formula>
    </cfRule>
  </conditionalFormatting>
  <conditionalFormatting sqref="F73:G73">
    <cfRule type="cellIs" dxfId="2398" priority="25" operator="equal">
      <formula>"optimo"</formula>
    </cfRule>
    <cfRule type="cellIs" dxfId="2397" priority="26" operator="equal">
      <formula>"critico"</formula>
    </cfRule>
  </conditionalFormatting>
  <conditionalFormatting sqref="H73:I73">
    <cfRule type="cellIs" dxfId="2396" priority="23" operator="equal">
      <formula>"Adecuado"</formula>
    </cfRule>
    <cfRule type="cellIs" dxfId="2395" priority="24" operator="equal">
      <formula>"en riesgo"</formula>
    </cfRule>
  </conditionalFormatting>
  <conditionalFormatting sqref="J73:K73">
    <cfRule type="cellIs" dxfId="2394" priority="21" operator="equal">
      <formula>"Adecuado"</formula>
    </cfRule>
    <cfRule type="cellIs" dxfId="2393" priority="22" operator="equal">
      <formula>"en riesgo"</formula>
    </cfRule>
  </conditionalFormatting>
  <conditionalFormatting sqref="L73:M73">
    <cfRule type="cellIs" dxfId="2392" priority="19" operator="equal">
      <formula>"optimo"</formula>
    </cfRule>
    <cfRule type="cellIs" dxfId="2391" priority="20" operator="equal">
      <formula>"critico"</formula>
    </cfRule>
  </conditionalFormatting>
  <conditionalFormatting sqref="F75:M86">
    <cfRule type="expression" dxfId="2390" priority="18">
      <formula>+IF($AK75=0,1)</formula>
    </cfRule>
  </conditionalFormatting>
  <conditionalFormatting sqref="F103:G104">
    <cfRule type="expression" dxfId="2389" priority="17">
      <formula>+IF($G$102="No",1,0)</formula>
    </cfRule>
  </conditionalFormatting>
  <conditionalFormatting sqref="F51">
    <cfRule type="expression" dxfId="2388" priority="16">
      <formula>+IF($F$43="no",1,0)</formula>
    </cfRule>
  </conditionalFormatting>
  <conditionalFormatting sqref="I51">
    <cfRule type="expression" dxfId="2387" priority="15">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5">
    <tabColor rgb="FF0070C0"/>
  </sheetPr>
  <dimension ref="B1:AV113"/>
  <sheetViews>
    <sheetView topLeftCell="A55" zoomScaleNormal="100" workbookViewId="0">
      <selection activeCell="A80" sqref="A80:XFD86"/>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222</v>
      </c>
      <c r="O10" s="2"/>
    </row>
    <row r="11" spans="2:24" ht="3.95" customHeight="1" x14ac:dyDescent="0.25">
      <c r="B11" s="2"/>
      <c r="D11" s="6"/>
      <c r="O11" s="2"/>
    </row>
    <row r="12" spans="2:24" ht="36" customHeight="1" x14ac:dyDescent="0.25">
      <c r="B12" s="2"/>
      <c r="D12" s="338" t="s">
        <v>5</v>
      </c>
      <c r="E12" s="339"/>
      <c r="F12" s="340" t="s">
        <v>237</v>
      </c>
      <c r="G12" s="341"/>
      <c r="H12" s="341"/>
      <c r="I12" s="341"/>
      <c r="J12" s="341"/>
      <c r="K12" s="341"/>
      <c r="L12" s="341"/>
      <c r="M12" s="342"/>
      <c r="O12" s="2"/>
      <c r="W12" s="3" t="str">
        <f>+F23</f>
        <v>Mensual</v>
      </c>
      <c r="X12" s="3" t="str">
        <f>+F71</f>
        <v>Enero</v>
      </c>
    </row>
    <row r="13" spans="2:24" ht="3.95" customHeight="1" x14ac:dyDescent="0.25">
      <c r="B13" s="2"/>
      <c r="O13" s="2"/>
    </row>
    <row r="14" spans="2:24" ht="38.25" customHeight="1" x14ac:dyDescent="0.25">
      <c r="B14" s="2"/>
      <c r="D14" s="338" t="s">
        <v>6</v>
      </c>
      <c r="E14" s="339"/>
      <c r="F14" s="340" t="s">
        <v>790</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17">
        <v>0</v>
      </c>
      <c r="G22" s="337" t="s">
        <v>9</v>
      </c>
      <c r="H22" s="337"/>
      <c r="I22" s="17">
        <v>0</v>
      </c>
      <c r="K22" s="337" t="s">
        <v>10</v>
      </c>
      <c r="L22" s="337"/>
      <c r="M22" s="9" t="s">
        <v>496</v>
      </c>
      <c r="O22" s="2"/>
    </row>
    <row r="23" spans="2:17" ht="19.5" customHeight="1" x14ac:dyDescent="0.25">
      <c r="B23" s="2"/>
      <c r="D23" s="337" t="s">
        <v>11</v>
      </c>
      <c r="E23" s="337"/>
      <c r="F23" s="4" t="s">
        <v>84</v>
      </c>
      <c r="G23" s="337" t="s">
        <v>12</v>
      </c>
      <c r="H23" s="337"/>
      <c r="I23" s="4" t="s">
        <v>497</v>
      </c>
      <c r="K23" s="337" t="s">
        <v>13</v>
      </c>
      <c r="L23" s="337"/>
      <c r="M23" s="9" t="s">
        <v>496</v>
      </c>
      <c r="O23" s="2"/>
    </row>
    <row r="24" spans="2:17" ht="20.100000000000001" customHeight="1" x14ac:dyDescent="0.25">
      <c r="B24" s="2"/>
      <c r="D24" s="337" t="s">
        <v>14</v>
      </c>
      <c r="E24" s="337"/>
      <c r="F24" s="4" t="s">
        <v>666</v>
      </c>
      <c r="G24" s="337" t="s">
        <v>15</v>
      </c>
      <c r="H24" s="337"/>
      <c r="I24" s="4" t="s">
        <v>791</v>
      </c>
      <c r="K24" s="337" t="s">
        <v>16</v>
      </c>
      <c r="L24" s="337"/>
      <c r="M24" s="9" t="s">
        <v>496</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716</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proteccion</v>
      </c>
    </row>
    <row r="31" spans="2:17" ht="24" customHeight="1" x14ac:dyDescent="0.25">
      <c r="B31" s="2"/>
      <c r="D31" s="347"/>
      <c r="E31" s="348"/>
      <c r="F31" s="4" t="s">
        <v>202</v>
      </c>
      <c r="G31" s="340" t="s">
        <v>203</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792</v>
      </c>
      <c r="G33" s="340" t="s">
        <v>719</v>
      </c>
      <c r="H33" s="341"/>
      <c r="I33" s="341"/>
      <c r="J33" s="341"/>
      <c r="K33" s="341"/>
      <c r="L33" s="341"/>
      <c r="M33" s="342"/>
      <c r="O33" s="2"/>
      <c r="Q33" s="3">
        <f>+IFERROR(IF(VLOOKUP(G33,base!$A$26:$C$40,3,FALSE)=F31,1,0),"")</f>
        <v>1</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1715</v>
      </c>
      <c r="G35" s="340" t="s">
        <v>1591</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2</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500</v>
      </c>
      <c r="G45" s="340" t="s">
        <v>512</v>
      </c>
      <c r="H45" s="341"/>
      <c r="I45" s="341"/>
      <c r="J45" s="341"/>
      <c r="K45" s="341"/>
      <c r="L45" s="341"/>
      <c r="M45" s="342"/>
      <c r="O45" s="2"/>
      <c r="Q45" s="3" t="str">
        <f>+IFERROR(VLOOKUP(G45,base!$A$41:$C$45,3,FALSE),"")</f>
        <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500</v>
      </c>
      <c r="G47" s="340" t="s">
        <v>512</v>
      </c>
      <c r="H47" s="341"/>
      <c r="I47" s="341"/>
      <c r="J47" s="341"/>
      <c r="K47" s="341"/>
      <c r="L47" s="341"/>
      <c r="M47" s="342"/>
      <c r="O47" s="2"/>
      <c r="Q47" s="3" t="e">
        <f>+IF(VLOOKUP(G47,base!$A$46:$C$66,3,FALSE)=F45,1,0)</f>
        <v>#N/A</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786</v>
      </c>
      <c r="G49" s="340" t="s">
        <v>717</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17"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41.25" customHeight="1" x14ac:dyDescent="0.25">
      <c r="B59" s="2"/>
      <c r="D59" s="337" t="s">
        <v>34</v>
      </c>
      <c r="E59" s="337"/>
      <c r="F59" s="344" t="s">
        <v>793</v>
      </c>
      <c r="G59" s="344"/>
      <c r="H59" s="344"/>
      <c r="I59" s="344"/>
      <c r="J59" s="344"/>
      <c r="K59" s="344"/>
      <c r="L59" s="344"/>
      <c r="M59" s="344"/>
      <c r="O59" s="2"/>
    </row>
    <row r="60" spans="2:15" ht="30" customHeight="1" x14ac:dyDescent="0.25">
      <c r="B60" s="2"/>
      <c r="D60" s="359" t="s">
        <v>35</v>
      </c>
      <c r="E60" s="359"/>
      <c r="F60" s="344" t="s">
        <v>794</v>
      </c>
      <c r="G60" s="344"/>
      <c r="H60" s="344"/>
      <c r="I60" s="344"/>
      <c r="J60" s="344"/>
      <c r="K60" s="344"/>
      <c r="L60" s="344"/>
      <c r="M60" s="344"/>
      <c r="O60" s="2"/>
    </row>
    <row r="61" spans="2:15" ht="29.25" customHeight="1" x14ac:dyDescent="0.25">
      <c r="B61" s="2"/>
      <c r="D61" s="359" t="s">
        <v>36</v>
      </c>
      <c r="E61" s="359"/>
      <c r="F61" s="344" t="s">
        <v>795</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43" t="s">
        <v>39</v>
      </c>
      <c r="E71" s="343"/>
      <c r="F71" s="4" t="s">
        <v>46</v>
      </c>
      <c r="G71" s="3">
        <v>1</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52</v>
      </c>
      <c r="G74" s="15" t="s">
        <v>670</v>
      </c>
      <c r="H74" s="15" t="s">
        <v>52</v>
      </c>
      <c r="I74" s="15" t="s">
        <v>670</v>
      </c>
      <c r="J74" s="15" t="s">
        <v>52</v>
      </c>
      <c r="K74" s="15" t="s">
        <v>670</v>
      </c>
      <c r="L74" s="15" t="s">
        <v>52</v>
      </c>
      <c r="M74" s="15" t="s">
        <v>670</v>
      </c>
      <c r="O74" s="2"/>
    </row>
    <row r="75" spans="2:37" x14ac:dyDescent="0.25">
      <c r="B75" s="2"/>
      <c r="D75" s="360" t="s">
        <v>46</v>
      </c>
      <c r="E75" s="360"/>
      <c r="F75" s="16" t="s">
        <v>500</v>
      </c>
      <c r="G75" s="16">
        <v>5.1000000000000004E-2</v>
      </c>
      <c r="H75" s="16">
        <v>0.05</v>
      </c>
      <c r="I75" s="16">
        <v>3.1E-2</v>
      </c>
      <c r="J75" s="16">
        <v>0.03</v>
      </c>
      <c r="K75" s="16">
        <v>1E-3</v>
      </c>
      <c r="L75" s="16" t="s">
        <v>500</v>
      </c>
      <c r="M75" s="16">
        <v>0</v>
      </c>
      <c r="O75" s="2"/>
      <c r="AE75" s="3" t="s">
        <v>46</v>
      </c>
      <c r="AF75" s="3">
        <v>1</v>
      </c>
      <c r="AG75" s="3">
        <f>+IF(AF75&gt;=$G$71,1,0)</f>
        <v>1</v>
      </c>
      <c r="AH75" s="3">
        <f>+IF(AG75=0,0,IF(AG75=1,(SUM($AG$75:AG75)-1),1))</f>
        <v>0</v>
      </c>
      <c r="AI75" s="3">
        <f>+IF(AH75=0,0,IF(MOD(AH75,$U$69)=0,1,0))</f>
        <v>0</v>
      </c>
      <c r="AJ75" s="3">
        <f>+IF(AE75=$F$71,1,0)</f>
        <v>1</v>
      </c>
      <c r="AK75" s="3">
        <f>+MAX(AI75:AJ75)</f>
        <v>1</v>
      </c>
    </row>
    <row r="76" spans="2:37" x14ac:dyDescent="0.25">
      <c r="B76" s="2"/>
      <c r="D76" s="360" t="s">
        <v>40</v>
      </c>
      <c r="E76" s="360"/>
      <c r="F76" s="16" t="s">
        <v>500</v>
      </c>
      <c r="G76" s="16">
        <v>5.1000000000000004E-2</v>
      </c>
      <c r="H76" s="16">
        <v>0.05</v>
      </c>
      <c r="I76" s="16">
        <v>3.1E-2</v>
      </c>
      <c r="J76" s="16">
        <v>0.03</v>
      </c>
      <c r="K76" s="16">
        <v>1E-3</v>
      </c>
      <c r="L76" s="16" t="s">
        <v>500</v>
      </c>
      <c r="M76" s="16">
        <v>0</v>
      </c>
      <c r="O76" s="2"/>
      <c r="AE76" s="3" t="s">
        <v>40</v>
      </c>
      <c r="AF76" s="3">
        <v>2</v>
      </c>
      <c r="AG76" s="3">
        <f t="shared" ref="AG76:AG86" si="0">+IF(AF76&gt;=$G$71,1,0)</f>
        <v>1</v>
      </c>
      <c r="AH76" s="3">
        <f>+IF(AG76=0,0,IF(AG76=1,(SUM($AG$75:AG76)-1),1))</f>
        <v>1</v>
      </c>
      <c r="AI76" s="3">
        <f t="shared" ref="AI76:AI86" si="1">+IF(AH76=0,0,IF(MOD(AH76,$U$69)=0,1,0))</f>
        <v>1</v>
      </c>
      <c r="AJ76" s="3">
        <f t="shared" ref="AJ76:AJ86" si="2">+IF(AE76=$F$71,1,0)</f>
        <v>0</v>
      </c>
      <c r="AK76" s="3">
        <f t="shared" ref="AK76:AK86" si="3">+MAX(AI76:AJ76)</f>
        <v>1</v>
      </c>
    </row>
    <row r="77" spans="2:37" x14ac:dyDescent="0.25">
      <c r="B77" s="2"/>
      <c r="D77" s="360" t="s">
        <v>47</v>
      </c>
      <c r="E77" s="360"/>
      <c r="F77" s="16" t="s">
        <v>500</v>
      </c>
      <c r="G77" s="16">
        <v>5.1000000000000004E-2</v>
      </c>
      <c r="H77" s="16">
        <v>0.05</v>
      </c>
      <c r="I77" s="16">
        <v>3.1E-2</v>
      </c>
      <c r="J77" s="16">
        <v>0.03</v>
      </c>
      <c r="K77" s="16">
        <v>1E-3</v>
      </c>
      <c r="L77" s="16" t="s">
        <v>500</v>
      </c>
      <c r="M77" s="16">
        <v>0</v>
      </c>
      <c r="O77" s="2"/>
      <c r="AE77" s="3" t="s">
        <v>47</v>
      </c>
      <c r="AF77" s="3">
        <v>3</v>
      </c>
      <c r="AG77" s="3">
        <f t="shared" si="0"/>
        <v>1</v>
      </c>
      <c r="AH77" s="3">
        <f>+IF(AG77=0,0,IF(AG77=1,(SUM($AG$75:AG77)-1),1))</f>
        <v>2</v>
      </c>
      <c r="AI77" s="3">
        <f t="shared" si="1"/>
        <v>1</v>
      </c>
      <c r="AJ77" s="3">
        <f t="shared" si="2"/>
        <v>0</v>
      </c>
      <c r="AK77" s="3">
        <f t="shared" si="3"/>
        <v>1</v>
      </c>
    </row>
    <row r="78" spans="2:37" x14ac:dyDescent="0.25">
      <c r="B78" s="2"/>
      <c r="D78" s="360" t="s">
        <v>48</v>
      </c>
      <c r="E78" s="360"/>
      <c r="F78" s="16" t="s">
        <v>500</v>
      </c>
      <c r="G78" s="16">
        <v>5.1000000000000004E-2</v>
      </c>
      <c r="H78" s="16">
        <v>0.05</v>
      </c>
      <c r="I78" s="16">
        <v>3.1E-2</v>
      </c>
      <c r="J78" s="16">
        <v>0.03</v>
      </c>
      <c r="K78" s="16">
        <v>1E-3</v>
      </c>
      <c r="L78" s="16" t="s">
        <v>500</v>
      </c>
      <c r="M78" s="16">
        <v>0</v>
      </c>
      <c r="O78" s="2"/>
      <c r="AE78" s="3" t="s">
        <v>48</v>
      </c>
      <c r="AF78" s="3">
        <v>4</v>
      </c>
      <c r="AG78" s="3">
        <f t="shared" si="0"/>
        <v>1</v>
      </c>
      <c r="AH78" s="3">
        <f>+IF(AG78=0,0,IF(AG78=1,(SUM($AG$75:AG78)-1),1))</f>
        <v>3</v>
      </c>
      <c r="AI78" s="3">
        <f t="shared" si="1"/>
        <v>1</v>
      </c>
      <c r="AJ78" s="3">
        <f t="shared" si="2"/>
        <v>0</v>
      </c>
      <c r="AK78" s="3">
        <f t="shared" si="3"/>
        <v>1</v>
      </c>
    </row>
    <row r="79" spans="2:37" x14ac:dyDescent="0.25">
      <c r="B79" s="2"/>
      <c r="D79" s="360" t="s">
        <v>49</v>
      </c>
      <c r="E79" s="360"/>
      <c r="F79" s="16" t="s">
        <v>500</v>
      </c>
      <c r="G79" s="16">
        <v>5.1000000000000004E-2</v>
      </c>
      <c r="H79" s="16">
        <v>0.05</v>
      </c>
      <c r="I79" s="16">
        <v>3.1E-2</v>
      </c>
      <c r="J79" s="16">
        <v>0.03</v>
      </c>
      <c r="K79" s="16">
        <v>1E-3</v>
      </c>
      <c r="L79" s="16" t="s">
        <v>500</v>
      </c>
      <c r="M79" s="16">
        <v>0</v>
      </c>
      <c r="O79" s="2"/>
      <c r="AE79" s="3" t="s">
        <v>49</v>
      </c>
      <c r="AF79" s="3">
        <v>5</v>
      </c>
      <c r="AG79" s="3">
        <f t="shared" si="0"/>
        <v>1</v>
      </c>
      <c r="AH79" s="3">
        <f>+IF(AG79=0,0,IF(AG79=1,(SUM($AG$75:AG79)-1),1))</f>
        <v>4</v>
      </c>
      <c r="AI79" s="3">
        <f t="shared" si="1"/>
        <v>1</v>
      </c>
      <c r="AJ79" s="3">
        <f t="shared" si="2"/>
        <v>0</v>
      </c>
      <c r="AK79" s="3">
        <f t="shared" si="3"/>
        <v>1</v>
      </c>
    </row>
    <row r="80" spans="2:37" x14ac:dyDescent="0.25">
      <c r="B80" s="2"/>
      <c r="D80" s="360" t="s">
        <v>50</v>
      </c>
      <c r="E80" s="360"/>
      <c r="F80" s="16" t="s">
        <v>500</v>
      </c>
      <c r="G80" s="16">
        <v>5.1000000000000004E-2</v>
      </c>
      <c r="H80" s="16">
        <v>0.05</v>
      </c>
      <c r="I80" s="16">
        <v>3.1E-2</v>
      </c>
      <c r="J80" s="16">
        <v>0.03</v>
      </c>
      <c r="K80" s="16">
        <v>1E-3</v>
      </c>
      <c r="L80" s="16" t="s">
        <v>500</v>
      </c>
      <c r="M80" s="16">
        <v>0</v>
      </c>
      <c r="O80" s="2"/>
      <c r="AE80" s="3" t="s">
        <v>50</v>
      </c>
      <c r="AF80" s="3">
        <v>6</v>
      </c>
      <c r="AG80" s="3">
        <f t="shared" si="0"/>
        <v>1</v>
      </c>
      <c r="AH80" s="3">
        <f>+IF(AG80=0,0,IF(AG80=1,(SUM($AG$75:AG80)-1),1))</f>
        <v>5</v>
      </c>
      <c r="AI80" s="3">
        <f t="shared" si="1"/>
        <v>1</v>
      </c>
      <c r="AJ80" s="3">
        <f t="shared" si="2"/>
        <v>0</v>
      </c>
      <c r="AK80" s="3">
        <f t="shared" si="3"/>
        <v>1</v>
      </c>
    </row>
    <row r="81" spans="2:37" x14ac:dyDescent="0.25">
      <c r="B81" s="2"/>
      <c r="D81" s="360" t="s">
        <v>53</v>
      </c>
      <c r="E81" s="360"/>
      <c r="F81" s="16" t="s">
        <v>500</v>
      </c>
      <c r="G81" s="16">
        <v>5.1000000000000004E-2</v>
      </c>
      <c r="H81" s="16">
        <v>0.05</v>
      </c>
      <c r="I81" s="16">
        <v>3.1E-2</v>
      </c>
      <c r="J81" s="16">
        <v>0.03</v>
      </c>
      <c r="K81" s="16">
        <v>1E-3</v>
      </c>
      <c r="L81" s="16" t="s">
        <v>500</v>
      </c>
      <c r="M81" s="16">
        <v>0</v>
      </c>
      <c r="O81" s="2"/>
      <c r="AE81" s="3" t="s">
        <v>53</v>
      </c>
      <c r="AF81" s="3">
        <v>7</v>
      </c>
      <c r="AG81" s="3">
        <f t="shared" si="0"/>
        <v>1</v>
      </c>
      <c r="AH81" s="3">
        <f>+IF(AG81=0,0,IF(AG81=1,(SUM($AG$75:AG81)-1),1))</f>
        <v>6</v>
      </c>
      <c r="AI81" s="3">
        <f t="shared" si="1"/>
        <v>1</v>
      </c>
      <c r="AJ81" s="3">
        <f t="shared" si="2"/>
        <v>0</v>
      </c>
      <c r="AK81" s="3">
        <f t="shared" si="3"/>
        <v>1</v>
      </c>
    </row>
    <row r="82" spans="2:37" x14ac:dyDescent="0.25">
      <c r="B82" s="2"/>
      <c r="D82" s="360" t="s">
        <v>54</v>
      </c>
      <c r="E82" s="360"/>
      <c r="F82" s="16" t="s">
        <v>500</v>
      </c>
      <c r="G82" s="16">
        <v>5.1000000000000004E-2</v>
      </c>
      <c r="H82" s="16">
        <v>0.05</v>
      </c>
      <c r="I82" s="16">
        <v>3.1E-2</v>
      </c>
      <c r="J82" s="16">
        <v>0.03</v>
      </c>
      <c r="K82" s="16">
        <v>1E-3</v>
      </c>
      <c r="L82" s="16" t="s">
        <v>500</v>
      </c>
      <c r="M82" s="16">
        <v>0</v>
      </c>
      <c r="O82" s="2"/>
      <c r="AE82" s="3" t="s">
        <v>54</v>
      </c>
      <c r="AF82" s="3">
        <v>8</v>
      </c>
      <c r="AG82" s="3">
        <f t="shared" si="0"/>
        <v>1</v>
      </c>
      <c r="AH82" s="3">
        <f>+IF(AG82=0,0,IF(AG82=1,(SUM($AG$75:AG82)-1),1))</f>
        <v>7</v>
      </c>
      <c r="AI82" s="3">
        <f t="shared" si="1"/>
        <v>1</v>
      </c>
      <c r="AJ82" s="3">
        <f t="shared" si="2"/>
        <v>0</v>
      </c>
      <c r="AK82" s="3">
        <f t="shared" si="3"/>
        <v>1</v>
      </c>
    </row>
    <row r="83" spans="2:37" x14ac:dyDescent="0.25">
      <c r="B83" s="2"/>
      <c r="D83" s="360" t="s">
        <v>55</v>
      </c>
      <c r="E83" s="360"/>
      <c r="F83" s="16" t="s">
        <v>500</v>
      </c>
      <c r="G83" s="16">
        <v>5.1000000000000004E-2</v>
      </c>
      <c r="H83" s="16">
        <v>0.05</v>
      </c>
      <c r="I83" s="16">
        <v>3.1E-2</v>
      </c>
      <c r="J83" s="16">
        <v>0.03</v>
      </c>
      <c r="K83" s="16">
        <v>1E-3</v>
      </c>
      <c r="L83" s="16" t="s">
        <v>500</v>
      </c>
      <c r="M83" s="16">
        <v>0</v>
      </c>
      <c r="O83" s="2"/>
      <c r="AE83" s="3" t="s">
        <v>55</v>
      </c>
      <c r="AF83" s="3">
        <v>9</v>
      </c>
      <c r="AG83" s="3">
        <f t="shared" si="0"/>
        <v>1</v>
      </c>
      <c r="AH83" s="3">
        <f>+IF(AG83=0,0,IF(AG83=1,(SUM($AG$75:AG83)-1),1))</f>
        <v>8</v>
      </c>
      <c r="AI83" s="3">
        <f t="shared" si="1"/>
        <v>1</v>
      </c>
      <c r="AJ83" s="3">
        <f t="shared" si="2"/>
        <v>0</v>
      </c>
      <c r="AK83" s="3">
        <f t="shared" si="3"/>
        <v>1</v>
      </c>
    </row>
    <row r="84" spans="2:37" x14ac:dyDescent="0.25">
      <c r="B84" s="2"/>
      <c r="D84" s="360" t="s">
        <v>56</v>
      </c>
      <c r="E84" s="360"/>
      <c r="F84" s="16" t="s">
        <v>500</v>
      </c>
      <c r="G84" s="16">
        <v>5.1000000000000004E-2</v>
      </c>
      <c r="H84" s="16">
        <v>0.05</v>
      </c>
      <c r="I84" s="16">
        <v>3.1E-2</v>
      </c>
      <c r="J84" s="16">
        <v>0.03</v>
      </c>
      <c r="K84" s="16">
        <v>1E-3</v>
      </c>
      <c r="L84" s="16" t="s">
        <v>500</v>
      </c>
      <c r="M84" s="16">
        <v>0</v>
      </c>
      <c r="O84" s="2"/>
      <c r="AE84" s="3" t="s">
        <v>56</v>
      </c>
      <c r="AF84" s="3">
        <v>10</v>
      </c>
      <c r="AG84" s="3">
        <f t="shared" si="0"/>
        <v>1</v>
      </c>
      <c r="AH84" s="3">
        <f>+IF(AG84=0,0,IF(AG84=1,(SUM($AG$75:AG84)-1),1))</f>
        <v>9</v>
      </c>
      <c r="AI84" s="3">
        <f t="shared" si="1"/>
        <v>1</v>
      </c>
      <c r="AJ84" s="3">
        <f t="shared" si="2"/>
        <v>0</v>
      </c>
      <c r="AK84" s="3">
        <f t="shared" si="3"/>
        <v>1</v>
      </c>
    </row>
    <row r="85" spans="2:37" x14ac:dyDescent="0.25">
      <c r="B85" s="2"/>
      <c r="D85" s="360" t="s">
        <v>57</v>
      </c>
      <c r="E85" s="360"/>
      <c r="F85" s="16" t="s">
        <v>500</v>
      </c>
      <c r="G85" s="16">
        <v>5.1000000000000004E-2</v>
      </c>
      <c r="H85" s="16">
        <v>0.05</v>
      </c>
      <c r="I85" s="16">
        <v>3.1E-2</v>
      </c>
      <c r="J85" s="16">
        <v>0.03</v>
      </c>
      <c r="K85" s="16">
        <v>1E-3</v>
      </c>
      <c r="L85" s="16" t="s">
        <v>500</v>
      </c>
      <c r="M85" s="16">
        <v>0</v>
      </c>
      <c r="O85" s="2"/>
      <c r="AE85" s="3" t="s">
        <v>57</v>
      </c>
      <c r="AF85" s="3">
        <v>11</v>
      </c>
      <c r="AG85" s="3">
        <f t="shared" si="0"/>
        <v>1</v>
      </c>
      <c r="AH85" s="3">
        <f>+IF(AG85=0,0,IF(AG85=1,(SUM($AG$75:AG85)-1),1))</f>
        <v>10</v>
      </c>
      <c r="AI85" s="3">
        <f t="shared" si="1"/>
        <v>1</v>
      </c>
      <c r="AJ85" s="3">
        <f t="shared" si="2"/>
        <v>0</v>
      </c>
      <c r="AK85" s="3">
        <f t="shared" si="3"/>
        <v>1</v>
      </c>
    </row>
    <row r="86" spans="2:37" x14ac:dyDescent="0.25">
      <c r="B86" s="2"/>
      <c r="D86" s="360" t="s">
        <v>58</v>
      </c>
      <c r="E86" s="360"/>
      <c r="F86" s="16" t="s">
        <v>500</v>
      </c>
      <c r="G86" s="16">
        <v>5.1000000000000004E-2</v>
      </c>
      <c r="H86" s="16">
        <v>0.05</v>
      </c>
      <c r="I86" s="16">
        <v>3.1E-2</v>
      </c>
      <c r="J86" s="16">
        <v>0.03</v>
      </c>
      <c r="K86" s="16">
        <v>1E-3</v>
      </c>
      <c r="L86" s="16" t="s">
        <v>500</v>
      </c>
      <c r="M86" s="16">
        <v>0</v>
      </c>
      <c r="O86" s="2"/>
      <c r="AE86" s="3" t="s">
        <v>58</v>
      </c>
      <c r="AF86" s="65">
        <v>12</v>
      </c>
      <c r="AG86" s="3">
        <f t="shared" si="0"/>
        <v>1</v>
      </c>
      <c r="AH86" s="3">
        <f>+IF(AG86=0,0,IF(AG86=1,(SUM($AG$75:AG86)-1),1))</f>
        <v>11</v>
      </c>
      <c r="AI86" s="3">
        <f t="shared" si="1"/>
        <v>1</v>
      </c>
      <c r="AJ86" s="3">
        <f t="shared" si="2"/>
        <v>0</v>
      </c>
      <c r="AK86" s="3">
        <f t="shared" si="3"/>
        <v>1</v>
      </c>
    </row>
    <row r="87" spans="2:37" ht="3.75" customHeight="1" x14ac:dyDescent="0.25">
      <c r="B87" s="2"/>
      <c r="O87" s="2"/>
    </row>
    <row r="88" spans="2:37" ht="87.75" customHeight="1" x14ac:dyDescent="0.25">
      <c r="B88" s="2"/>
      <c r="D88" s="338" t="s">
        <v>59</v>
      </c>
      <c r="E88" s="339"/>
      <c r="F88" s="340" t="s">
        <v>776</v>
      </c>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2" customHeight="1" x14ac:dyDescent="0.25">
      <c r="B97" s="2"/>
      <c r="D97" s="359" t="s">
        <v>35</v>
      </c>
      <c r="E97" s="359"/>
      <c r="F97" s="344" t="s">
        <v>796</v>
      </c>
      <c r="G97" s="344"/>
      <c r="H97" s="344"/>
      <c r="I97" s="344"/>
      <c r="J97" s="344"/>
      <c r="K97" s="344"/>
      <c r="L97" s="344"/>
      <c r="M97" s="344"/>
      <c r="O97" s="2"/>
    </row>
    <row r="98" spans="2:15" ht="42" customHeight="1" x14ac:dyDescent="0.25">
      <c r="B98" s="2"/>
      <c r="D98" s="359" t="s">
        <v>36</v>
      </c>
      <c r="E98" s="359"/>
      <c r="F98" s="344" t="s">
        <v>796</v>
      </c>
      <c r="G98" s="344"/>
      <c r="H98" s="344"/>
      <c r="I98" s="344"/>
      <c r="J98" s="344"/>
      <c r="K98" s="344"/>
      <c r="L98" s="344"/>
      <c r="M98" s="344"/>
      <c r="O98" s="2"/>
    </row>
    <row r="99" spans="2:15" ht="3.95" customHeight="1" x14ac:dyDescent="0.25">
      <c r="B99" s="2"/>
      <c r="O99" s="2"/>
    </row>
    <row r="100" spans="2:15" ht="174" customHeight="1" x14ac:dyDescent="0.25">
      <c r="B100" s="2"/>
      <c r="D100" s="338" t="s">
        <v>62</v>
      </c>
      <c r="E100" s="339"/>
      <c r="F100" s="340" t="s">
        <v>726</v>
      </c>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1</v>
      </c>
      <c r="K102" s="20"/>
      <c r="O102" s="2"/>
    </row>
    <row r="103" spans="2:15" ht="19.5" customHeight="1" x14ac:dyDescent="0.25">
      <c r="B103" s="2"/>
      <c r="D103" s="331"/>
      <c r="E103" s="332"/>
      <c r="F103" s="19" t="s">
        <v>66</v>
      </c>
      <c r="G103" s="4" t="s">
        <v>1773</v>
      </c>
      <c r="K103" s="21"/>
      <c r="O103" s="2"/>
    </row>
    <row r="104" spans="2:15" ht="27.75" customHeight="1" x14ac:dyDescent="0.25">
      <c r="B104" s="2"/>
      <c r="D104" s="331"/>
      <c r="E104" s="332"/>
      <c r="F104" s="19" t="s">
        <v>67</v>
      </c>
      <c r="G104" s="333" t="s">
        <v>237</v>
      </c>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 xml:space="preserve">Subdirector(a) Restablecimiento de Derechos </v>
      </c>
      <c r="H108" s="334"/>
      <c r="I108" s="334"/>
      <c r="J108" s="334"/>
      <c r="K108" s="334"/>
      <c r="L108" s="334"/>
      <c r="M108" s="335"/>
      <c r="O108" s="2"/>
    </row>
    <row r="109" spans="2:15" ht="17.25" customHeight="1" x14ac:dyDescent="0.25">
      <c r="B109" s="2"/>
      <c r="D109" s="331"/>
      <c r="E109" s="332"/>
      <c r="F109" s="19" t="s">
        <v>2042</v>
      </c>
      <c r="G109" s="333" t="str">
        <f>+IF(M23="Si","Coordinador(a) Planeación y Sistemas","")</f>
        <v>Coordinador(a) Planeación y Sistemas</v>
      </c>
      <c r="H109" s="334"/>
      <c r="I109" s="334"/>
      <c r="J109" s="334"/>
      <c r="K109" s="334"/>
      <c r="L109" s="334"/>
      <c r="M109" s="335"/>
      <c r="O109" s="2"/>
    </row>
    <row r="110" spans="2:15" ht="17.25" customHeight="1" x14ac:dyDescent="0.25">
      <c r="B110" s="2"/>
      <c r="D110" s="331"/>
      <c r="E110" s="332"/>
      <c r="F110" s="19" t="s">
        <v>2043</v>
      </c>
      <c r="G110" s="333" t="str">
        <f>+IF(M24="Si","Coordinador(a) Centro Zonal","")</f>
        <v>Coordinador(a) Centro Zonal</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386" priority="22">
      <formula>+IF($F$43="no",1,0)</formula>
    </cfRule>
  </conditionalFormatting>
  <conditionalFormatting sqref="F32:M33">
    <cfRule type="expression" dxfId="2385" priority="21">
      <formula>+IF($Q$30="NA",1,0)</formula>
    </cfRule>
  </conditionalFormatting>
  <conditionalFormatting sqref="F33:M33">
    <cfRule type="expression" dxfId="2384" priority="20">
      <formula>+IF($Q$33=0,1,0)</formula>
    </cfRule>
  </conditionalFormatting>
  <conditionalFormatting sqref="F47:M47">
    <cfRule type="expression" dxfId="2383" priority="19">
      <formula>+IF($Q$47=0,1,0)</formula>
    </cfRule>
  </conditionalFormatting>
  <conditionalFormatting sqref="F73:G73">
    <cfRule type="cellIs" dxfId="2382" priority="16" operator="equal">
      <formula>"optimo"</formula>
    </cfRule>
    <cfRule type="cellIs" dxfId="2381" priority="17" operator="equal">
      <formula>"critico"</formula>
    </cfRule>
  </conditionalFormatting>
  <conditionalFormatting sqref="H73:I73">
    <cfRule type="cellIs" dxfId="2380" priority="14" operator="equal">
      <formula>"Adecuado"</formula>
    </cfRule>
    <cfRule type="cellIs" dxfId="2379" priority="15" operator="equal">
      <formula>"en riesgo"</formula>
    </cfRule>
  </conditionalFormatting>
  <conditionalFormatting sqref="J73:K73">
    <cfRule type="cellIs" dxfId="2378" priority="12" operator="equal">
      <formula>"Adecuado"</formula>
    </cfRule>
    <cfRule type="cellIs" dxfId="2377" priority="13" operator="equal">
      <formula>"en riesgo"</formula>
    </cfRule>
  </conditionalFormatting>
  <conditionalFormatting sqref="L73:M73">
    <cfRule type="cellIs" dxfId="2376" priority="10" operator="equal">
      <formula>"optimo"</formula>
    </cfRule>
    <cfRule type="cellIs" dxfId="2375" priority="11" operator="equal">
      <formula>"critico"</formula>
    </cfRule>
  </conditionalFormatting>
  <conditionalFormatting sqref="F75:M86">
    <cfRule type="expression" dxfId="2374" priority="9">
      <formula>+IF($AK75=0,1)</formula>
    </cfRule>
  </conditionalFormatting>
  <conditionalFormatting sqref="F103:G104">
    <cfRule type="expression" dxfId="2373" priority="8">
      <formula>+IF($G$102="No",1,0)</formula>
    </cfRule>
  </conditionalFormatting>
  <conditionalFormatting sqref="F51">
    <cfRule type="expression" dxfId="2372" priority="7">
      <formula>+IF($F$43="no",1,0)</formula>
    </cfRule>
  </conditionalFormatting>
  <conditionalFormatting sqref="I51">
    <cfRule type="expression" dxfId="2371" priority="6">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6">
    <tabColor rgb="FF0070C0"/>
  </sheetPr>
  <dimension ref="B1:AV113"/>
  <sheetViews>
    <sheetView topLeftCell="A55" zoomScaleNormal="100" workbookViewId="0">
      <selection activeCell="A80" sqref="A80:XFD86"/>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224</v>
      </c>
      <c r="O10" s="2"/>
    </row>
    <row r="11" spans="2:24" ht="3.95" customHeight="1" x14ac:dyDescent="0.25">
      <c r="B11" s="2"/>
      <c r="D11" s="6"/>
      <c r="O11" s="2"/>
    </row>
    <row r="12" spans="2:24" ht="36" customHeight="1" x14ac:dyDescent="0.25">
      <c r="B12" s="2"/>
      <c r="D12" s="338" t="s">
        <v>5</v>
      </c>
      <c r="E12" s="339"/>
      <c r="F12" s="340" t="s">
        <v>223</v>
      </c>
      <c r="G12" s="341"/>
      <c r="H12" s="341"/>
      <c r="I12" s="341"/>
      <c r="J12" s="341"/>
      <c r="K12" s="341"/>
      <c r="L12" s="341"/>
      <c r="M12" s="342"/>
      <c r="O12" s="2"/>
      <c r="W12" s="3" t="str">
        <f>+F23</f>
        <v>Mensual</v>
      </c>
      <c r="X12" s="3" t="str">
        <f>+F71</f>
        <v>Enero</v>
      </c>
    </row>
    <row r="13" spans="2:24" ht="3.95" customHeight="1" x14ac:dyDescent="0.25">
      <c r="B13" s="2"/>
      <c r="O13" s="2"/>
    </row>
    <row r="14" spans="2:24" ht="52.5" customHeight="1" x14ac:dyDescent="0.25">
      <c r="B14" s="2"/>
      <c r="D14" s="338" t="s">
        <v>6</v>
      </c>
      <c r="E14" s="339"/>
      <c r="F14" s="340" t="s">
        <v>827</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17">
        <v>0.05</v>
      </c>
      <c r="G22" s="337" t="s">
        <v>9</v>
      </c>
      <c r="H22" s="337"/>
      <c r="I22" s="17">
        <v>0</v>
      </c>
      <c r="K22" s="337" t="s">
        <v>10</v>
      </c>
      <c r="L22" s="337"/>
      <c r="M22" s="9" t="s">
        <v>496</v>
      </c>
      <c r="O22" s="2"/>
    </row>
    <row r="23" spans="2:17" ht="19.5" customHeight="1" x14ac:dyDescent="0.25">
      <c r="B23" s="2"/>
      <c r="D23" s="337" t="s">
        <v>11</v>
      </c>
      <c r="E23" s="337"/>
      <c r="F23" s="4" t="s">
        <v>84</v>
      </c>
      <c r="G23" s="337" t="s">
        <v>12</v>
      </c>
      <c r="H23" s="337"/>
      <c r="I23" s="4" t="s">
        <v>497</v>
      </c>
      <c r="K23" s="337" t="s">
        <v>13</v>
      </c>
      <c r="L23" s="337"/>
      <c r="M23" s="9" t="s">
        <v>496</v>
      </c>
      <c r="O23" s="2"/>
    </row>
    <row r="24" spans="2:17" ht="20.100000000000001" customHeight="1" x14ac:dyDescent="0.25">
      <c r="B24" s="2"/>
      <c r="D24" s="337" t="s">
        <v>14</v>
      </c>
      <c r="E24" s="337"/>
      <c r="F24" s="4" t="s">
        <v>666</v>
      </c>
      <c r="G24" s="337" t="s">
        <v>15</v>
      </c>
      <c r="H24" s="337"/>
      <c r="I24" s="4" t="s">
        <v>103</v>
      </c>
      <c r="K24" s="337" t="s">
        <v>16</v>
      </c>
      <c r="L24" s="337"/>
      <c r="M24" s="9" t="s">
        <v>496</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716</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proteccion</v>
      </c>
    </row>
    <row r="31" spans="2:17" ht="24" customHeight="1" x14ac:dyDescent="0.25">
      <c r="B31" s="2"/>
      <c r="D31" s="347"/>
      <c r="E31" s="348"/>
      <c r="F31" s="4" t="s">
        <v>202</v>
      </c>
      <c r="G31" s="340" t="s">
        <v>203</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792</v>
      </c>
      <c r="G33" s="340" t="s">
        <v>719</v>
      </c>
      <c r="H33" s="341"/>
      <c r="I33" s="341"/>
      <c r="J33" s="341"/>
      <c r="K33" s="341"/>
      <c r="L33" s="341"/>
      <c r="M33" s="342"/>
      <c r="O33" s="2"/>
      <c r="Q33" s="3">
        <f>+IFERROR(IF(VLOOKUP(G33,base!$A$26:$C$40,3,FALSE)=F31,1,0),"")</f>
        <v>1</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1715</v>
      </c>
      <c r="G35" s="340" t="s">
        <v>1591</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2</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500</v>
      </c>
      <c r="G45" s="340" t="s">
        <v>512</v>
      </c>
      <c r="H45" s="341"/>
      <c r="I45" s="341"/>
      <c r="J45" s="341"/>
      <c r="K45" s="341"/>
      <c r="L45" s="341"/>
      <c r="M45" s="342"/>
      <c r="O45" s="2"/>
      <c r="Q45" s="3" t="str">
        <f>+IFERROR(VLOOKUP(G45,base!$A$41:$C$45,3,FALSE),"")</f>
        <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500</v>
      </c>
      <c r="G47" s="340" t="s">
        <v>512</v>
      </c>
      <c r="H47" s="341"/>
      <c r="I47" s="341"/>
      <c r="J47" s="341"/>
      <c r="K47" s="341"/>
      <c r="L47" s="341"/>
      <c r="M47" s="342"/>
      <c r="O47" s="2"/>
      <c r="Q47" s="3" t="e">
        <f>+IF(VLOOKUP(G47,base!$A$46:$C$66,3,FALSE)=F45,1,0)</f>
        <v>#N/A</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786</v>
      </c>
      <c r="G49" s="340" t="s">
        <v>717</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8"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47.25" customHeight="1" x14ac:dyDescent="0.25">
      <c r="B59" s="2"/>
      <c r="D59" s="337" t="s">
        <v>34</v>
      </c>
      <c r="E59" s="337"/>
      <c r="F59" s="344" t="s">
        <v>828</v>
      </c>
      <c r="G59" s="344"/>
      <c r="H59" s="344"/>
      <c r="I59" s="344"/>
      <c r="J59" s="344"/>
      <c r="K59" s="344"/>
      <c r="L59" s="344"/>
      <c r="M59" s="344"/>
      <c r="O59" s="2"/>
    </row>
    <row r="60" spans="2:15" ht="30" customHeight="1" x14ac:dyDescent="0.25">
      <c r="B60" s="2"/>
      <c r="D60" s="359" t="s">
        <v>35</v>
      </c>
      <c r="E60" s="359"/>
      <c r="F60" s="344" t="s">
        <v>829</v>
      </c>
      <c r="G60" s="344"/>
      <c r="H60" s="344"/>
      <c r="I60" s="344"/>
      <c r="J60" s="344"/>
      <c r="K60" s="344"/>
      <c r="L60" s="344"/>
      <c r="M60" s="344"/>
      <c r="O60" s="2"/>
    </row>
    <row r="61" spans="2:15" ht="29.25" customHeight="1" x14ac:dyDescent="0.25">
      <c r="B61" s="2"/>
      <c r="D61" s="359" t="s">
        <v>36</v>
      </c>
      <c r="E61" s="359"/>
      <c r="F61" s="344" t="s">
        <v>826</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43" t="s">
        <v>39</v>
      </c>
      <c r="E71" s="343"/>
      <c r="F71" s="4" t="s">
        <v>46</v>
      </c>
      <c r="G71" s="3">
        <v>1</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52</v>
      </c>
      <c r="G74" s="15" t="s">
        <v>670</v>
      </c>
      <c r="H74" s="15" t="s">
        <v>52</v>
      </c>
      <c r="I74" s="15" t="s">
        <v>670</v>
      </c>
      <c r="J74" s="15" t="s">
        <v>52</v>
      </c>
      <c r="K74" s="15" t="s">
        <v>670</v>
      </c>
      <c r="L74" s="15" t="s">
        <v>52</v>
      </c>
      <c r="M74" s="15" t="s">
        <v>670</v>
      </c>
      <c r="O74" s="2"/>
    </row>
    <row r="75" spans="2:37" x14ac:dyDescent="0.25">
      <c r="B75" s="2"/>
      <c r="D75" s="360" t="s">
        <v>46</v>
      </c>
      <c r="E75" s="360"/>
      <c r="F75" s="16" t="s">
        <v>500</v>
      </c>
      <c r="G75" s="16">
        <v>0.1</v>
      </c>
      <c r="H75" s="16">
        <v>9.9000000000000005E-2</v>
      </c>
      <c r="I75" s="16">
        <v>5.1000000000000004E-2</v>
      </c>
      <c r="J75" s="16">
        <v>0.05</v>
      </c>
      <c r="K75" s="16">
        <v>1E-3</v>
      </c>
      <c r="L75" s="16" t="s">
        <v>500</v>
      </c>
      <c r="M75" s="16">
        <v>0</v>
      </c>
      <c r="O75" s="2"/>
      <c r="AE75" s="3" t="s">
        <v>46</v>
      </c>
      <c r="AF75" s="3">
        <v>1</v>
      </c>
      <c r="AG75" s="3">
        <f>+IF(AF75&gt;=$G$71,1,0)</f>
        <v>1</v>
      </c>
      <c r="AH75" s="3">
        <f>+IF(AG75=0,0,IF(AG75=1,(SUM($AG$75:AG75)-1),1))</f>
        <v>0</v>
      </c>
      <c r="AI75" s="3">
        <f>+IF(AH75=0,0,IF(MOD(AH75,$U$69)=0,1,0))</f>
        <v>0</v>
      </c>
      <c r="AJ75" s="3">
        <f>+IF(AE75=$F$71,1,0)</f>
        <v>1</v>
      </c>
      <c r="AK75" s="3">
        <f>+MAX(AI75:AJ75)</f>
        <v>1</v>
      </c>
    </row>
    <row r="76" spans="2:37" x14ac:dyDescent="0.25">
      <c r="B76" s="2"/>
      <c r="D76" s="360" t="s">
        <v>40</v>
      </c>
      <c r="E76" s="360"/>
      <c r="F76" s="16" t="s">
        <v>500</v>
      </c>
      <c r="G76" s="16">
        <v>0.1</v>
      </c>
      <c r="H76" s="16">
        <v>9.9000000000000005E-2</v>
      </c>
      <c r="I76" s="16">
        <v>5.1000000000000004E-2</v>
      </c>
      <c r="J76" s="16">
        <v>0.05</v>
      </c>
      <c r="K76" s="16">
        <v>1E-3</v>
      </c>
      <c r="L76" s="16" t="s">
        <v>500</v>
      </c>
      <c r="M76" s="16">
        <v>0</v>
      </c>
      <c r="O76" s="2"/>
      <c r="AE76" s="3" t="s">
        <v>40</v>
      </c>
      <c r="AF76" s="3">
        <v>2</v>
      </c>
      <c r="AG76" s="3">
        <f t="shared" ref="AG76:AG86" si="0">+IF(AF76&gt;=$G$71,1,0)</f>
        <v>1</v>
      </c>
      <c r="AH76" s="3">
        <f>+IF(AG76=0,0,IF(AG76=1,(SUM($AG$75:AG76)-1),1))</f>
        <v>1</v>
      </c>
      <c r="AI76" s="3">
        <f t="shared" ref="AI76:AI86" si="1">+IF(AH76=0,0,IF(MOD(AH76,$U$69)=0,1,0))</f>
        <v>1</v>
      </c>
      <c r="AJ76" s="3">
        <f t="shared" ref="AJ76:AJ86" si="2">+IF(AE76=$F$71,1,0)</f>
        <v>0</v>
      </c>
      <c r="AK76" s="3">
        <f t="shared" ref="AK76:AK86" si="3">+MAX(AI76:AJ76)</f>
        <v>1</v>
      </c>
    </row>
    <row r="77" spans="2:37" x14ac:dyDescent="0.25">
      <c r="B77" s="2"/>
      <c r="D77" s="360" t="s">
        <v>47</v>
      </c>
      <c r="E77" s="360"/>
      <c r="F77" s="16" t="s">
        <v>500</v>
      </c>
      <c r="G77" s="16">
        <v>0.1</v>
      </c>
      <c r="H77" s="16">
        <v>9.9000000000000005E-2</v>
      </c>
      <c r="I77" s="16">
        <v>5.1000000000000004E-2</v>
      </c>
      <c r="J77" s="16">
        <v>0.05</v>
      </c>
      <c r="K77" s="16">
        <v>1E-3</v>
      </c>
      <c r="L77" s="16" t="s">
        <v>500</v>
      </c>
      <c r="M77" s="16">
        <v>0</v>
      </c>
      <c r="O77" s="2"/>
      <c r="AE77" s="3" t="s">
        <v>47</v>
      </c>
      <c r="AF77" s="3">
        <v>3</v>
      </c>
      <c r="AG77" s="3">
        <f t="shared" si="0"/>
        <v>1</v>
      </c>
      <c r="AH77" s="3">
        <f>+IF(AG77=0,0,IF(AG77=1,(SUM($AG$75:AG77)-1),1))</f>
        <v>2</v>
      </c>
      <c r="AI77" s="3">
        <f t="shared" si="1"/>
        <v>1</v>
      </c>
      <c r="AJ77" s="3">
        <f t="shared" si="2"/>
        <v>0</v>
      </c>
      <c r="AK77" s="3">
        <f t="shared" si="3"/>
        <v>1</v>
      </c>
    </row>
    <row r="78" spans="2:37" x14ac:dyDescent="0.25">
      <c r="B78" s="2"/>
      <c r="D78" s="360" t="s">
        <v>48</v>
      </c>
      <c r="E78" s="360"/>
      <c r="F78" s="16" t="s">
        <v>500</v>
      </c>
      <c r="G78" s="16">
        <v>0.1</v>
      </c>
      <c r="H78" s="16">
        <v>9.9000000000000005E-2</v>
      </c>
      <c r="I78" s="16">
        <v>5.1000000000000004E-2</v>
      </c>
      <c r="J78" s="16">
        <v>0.05</v>
      </c>
      <c r="K78" s="16">
        <v>1E-3</v>
      </c>
      <c r="L78" s="16" t="s">
        <v>500</v>
      </c>
      <c r="M78" s="16">
        <v>0</v>
      </c>
      <c r="O78" s="2"/>
      <c r="AE78" s="3" t="s">
        <v>48</v>
      </c>
      <c r="AF78" s="3">
        <v>4</v>
      </c>
      <c r="AG78" s="3">
        <f t="shared" si="0"/>
        <v>1</v>
      </c>
      <c r="AH78" s="3">
        <f>+IF(AG78=0,0,IF(AG78=1,(SUM($AG$75:AG78)-1),1))</f>
        <v>3</v>
      </c>
      <c r="AI78" s="3">
        <f t="shared" si="1"/>
        <v>1</v>
      </c>
      <c r="AJ78" s="3">
        <f t="shared" si="2"/>
        <v>0</v>
      </c>
      <c r="AK78" s="3">
        <f t="shared" si="3"/>
        <v>1</v>
      </c>
    </row>
    <row r="79" spans="2:37" x14ac:dyDescent="0.25">
      <c r="B79" s="2"/>
      <c r="D79" s="360" t="s">
        <v>49</v>
      </c>
      <c r="E79" s="360"/>
      <c r="F79" s="16" t="s">
        <v>500</v>
      </c>
      <c r="G79" s="16">
        <v>0.1</v>
      </c>
      <c r="H79" s="16">
        <v>9.9000000000000005E-2</v>
      </c>
      <c r="I79" s="16">
        <v>5.1000000000000004E-2</v>
      </c>
      <c r="J79" s="16">
        <v>0.05</v>
      </c>
      <c r="K79" s="16">
        <v>1E-3</v>
      </c>
      <c r="L79" s="16" t="s">
        <v>500</v>
      </c>
      <c r="M79" s="16">
        <v>0</v>
      </c>
      <c r="O79" s="2"/>
      <c r="AE79" s="3" t="s">
        <v>49</v>
      </c>
      <c r="AF79" s="3">
        <v>5</v>
      </c>
      <c r="AG79" s="3">
        <f t="shared" si="0"/>
        <v>1</v>
      </c>
      <c r="AH79" s="3">
        <f>+IF(AG79=0,0,IF(AG79=1,(SUM($AG$75:AG79)-1),1))</f>
        <v>4</v>
      </c>
      <c r="AI79" s="3">
        <f t="shared" si="1"/>
        <v>1</v>
      </c>
      <c r="AJ79" s="3">
        <f t="shared" si="2"/>
        <v>0</v>
      </c>
      <c r="AK79" s="3">
        <f t="shared" si="3"/>
        <v>1</v>
      </c>
    </row>
    <row r="80" spans="2:37" x14ac:dyDescent="0.25">
      <c r="B80" s="2"/>
      <c r="D80" s="360" t="s">
        <v>50</v>
      </c>
      <c r="E80" s="360"/>
      <c r="F80" s="16" t="s">
        <v>500</v>
      </c>
      <c r="G80" s="16">
        <v>0.1</v>
      </c>
      <c r="H80" s="16">
        <v>9.9000000000000005E-2</v>
      </c>
      <c r="I80" s="16">
        <v>5.1000000000000004E-2</v>
      </c>
      <c r="J80" s="16">
        <v>0.05</v>
      </c>
      <c r="K80" s="16">
        <v>1E-3</v>
      </c>
      <c r="L80" s="16" t="s">
        <v>500</v>
      </c>
      <c r="M80" s="16">
        <v>0</v>
      </c>
      <c r="O80" s="2"/>
      <c r="AE80" s="3" t="s">
        <v>50</v>
      </c>
      <c r="AF80" s="3">
        <v>6</v>
      </c>
      <c r="AG80" s="3">
        <f t="shared" si="0"/>
        <v>1</v>
      </c>
      <c r="AH80" s="3">
        <f>+IF(AG80=0,0,IF(AG80=1,(SUM($AG$75:AG80)-1),1))</f>
        <v>5</v>
      </c>
      <c r="AI80" s="3">
        <f t="shared" si="1"/>
        <v>1</v>
      </c>
      <c r="AJ80" s="3">
        <f t="shared" si="2"/>
        <v>0</v>
      </c>
      <c r="AK80" s="3">
        <f t="shared" si="3"/>
        <v>1</v>
      </c>
    </row>
    <row r="81" spans="2:37" x14ac:dyDescent="0.25">
      <c r="B81" s="2"/>
      <c r="D81" s="360" t="s">
        <v>53</v>
      </c>
      <c r="E81" s="360"/>
      <c r="F81" s="16" t="s">
        <v>500</v>
      </c>
      <c r="G81" s="16">
        <v>0.1</v>
      </c>
      <c r="H81" s="16">
        <v>9.9000000000000005E-2</v>
      </c>
      <c r="I81" s="16">
        <v>5.1000000000000004E-2</v>
      </c>
      <c r="J81" s="16">
        <v>0.05</v>
      </c>
      <c r="K81" s="16">
        <v>1E-3</v>
      </c>
      <c r="L81" s="16" t="s">
        <v>500</v>
      </c>
      <c r="M81" s="16">
        <v>0</v>
      </c>
      <c r="O81" s="2"/>
      <c r="AE81" s="3" t="s">
        <v>53</v>
      </c>
      <c r="AF81" s="3">
        <v>7</v>
      </c>
      <c r="AG81" s="3">
        <f t="shared" si="0"/>
        <v>1</v>
      </c>
      <c r="AH81" s="3">
        <f>+IF(AG81=0,0,IF(AG81=1,(SUM($AG$75:AG81)-1),1))</f>
        <v>6</v>
      </c>
      <c r="AI81" s="3">
        <f t="shared" si="1"/>
        <v>1</v>
      </c>
      <c r="AJ81" s="3">
        <f t="shared" si="2"/>
        <v>0</v>
      </c>
      <c r="AK81" s="3">
        <f t="shared" si="3"/>
        <v>1</v>
      </c>
    </row>
    <row r="82" spans="2:37" x14ac:dyDescent="0.25">
      <c r="B82" s="2"/>
      <c r="D82" s="360" t="s">
        <v>54</v>
      </c>
      <c r="E82" s="360"/>
      <c r="F82" s="16" t="s">
        <v>500</v>
      </c>
      <c r="G82" s="16">
        <v>0.1</v>
      </c>
      <c r="H82" s="16">
        <v>9.9000000000000005E-2</v>
      </c>
      <c r="I82" s="16">
        <v>5.1000000000000004E-2</v>
      </c>
      <c r="J82" s="16">
        <v>0.05</v>
      </c>
      <c r="K82" s="16">
        <v>1E-3</v>
      </c>
      <c r="L82" s="16" t="s">
        <v>500</v>
      </c>
      <c r="M82" s="16">
        <v>0</v>
      </c>
      <c r="O82" s="2"/>
      <c r="AE82" s="3" t="s">
        <v>54</v>
      </c>
      <c r="AF82" s="3">
        <v>8</v>
      </c>
      <c r="AG82" s="3">
        <f t="shared" si="0"/>
        <v>1</v>
      </c>
      <c r="AH82" s="3">
        <f>+IF(AG82=0,0,IF(AG82=1,(SUM($AG$75:AG82)-1),1))</f>
        <v>7</v>
      </c>
      <c r="AI82" s="3">
        <f t="shared" si="1"/>
        <v>1</v>
      </c>
      <c r="AJ82" s="3">
        <f t="shared" si="2"/>
        <v>0</v>
      </c>
      <c r="AK82" s="3">
        <f t="shared" si="3"/>
        <v>1</v>
      </c>
    </row>
    <row r="83" spans="2:37" x14ac:dyDescent="0.25">
      <c r="B83" s="2"/>
      <c r="D83" s="360" t="s">
        <v>55</v>
      </c>
      <c r="E83" s="360"/>
      <c r="F83" s="16" t="s">
        <v>500</v>
      </c>
      <c r="G83" s="16">
        <v>0.1</v>
      </c>
      <c r="H83" s="16">
        <v>9.9000000000000005E-2</v>
      </c>
      <c r="I83" s="16">
        <v>5.1000000000000004E-2</v>
      </c>
      <c r="J83" s="16">
        <v>0.05</v>
      </c>
      <c r="K83" s="16">
        <v>1E-3</v>
      </c>
      <c r="L83" s="16" t="s">
        <v>500</v>
      </c>
      <c r="M83" s="16">
        <v>0</v>
      </c>
      <c r="O83" s="2"/>
      <c r="AE83" s="3" t="s">
        <v>55</v>
      </c>
      <c r="AF83" s="3">
        <v>9</v>
      </c>
      <c r="AG83" s="3">
        <f t="shared" si="0"/>
        <v>1</v>
      </c>
      <c r="AH83" s="3">
        <f>+IF(AG83=0,0,IF(AG83=1,(SUM($AG$75:AG83)-1),1))</f>
        <v>8</v>
      </c>
      <c r="AI83" s="3">
        <f t="shared" si="1"/>
        <v>1</v>
      </c>
      <c r="AJ83" s="3">
        <f t="shared" si="2"/>
        <v>0</v>
      </c>
      <c r="AK83" s="3">
        <f t="shared" si="3"/>
        <v>1</v>
      </c>
    </row>
    <row r="84" spans="2:37" x14ac:dyDescent="0.25">
      <c r="B84" s="2"/>
      <c r="D84" s="360" t="s">
        <v>56</v>
      </c>
      <c r="E84" s="360"/>
      <c r="F84" s="16" t="s">
        <v>500</v>
      </c>
      <c r="G84" s="16">
        <v>0.1</v>
      </c>
      <c r="H84" s="16">
        <v>9.9000000000000005E-2</v>
      </c>
      <c r="I84" s="16">
        <v>5.1000000000000004E-2</v>
      </c>
      <c r="J84" s="16">
        <v>0.05</v>
      </c>
      <c r="K84" s="16">
        <v>1E-3</v>
      </c>
      <c r="L84" s="16" t="s">
        <v>500</v>
      </c>
      <c r="M84" s="16">
        <v>0</v>
      </c>
      <c r="O84" s="2"/>
      <c r="AE84" s="3" t="s">
        <v>56</v>
      </c>
      <c r="AF84" s="3">
        <v>10</v>
      </c>
      <c r="AG84" s="3">
        <f t="shared" si="0"/>
        <v>1</v>
      </c>
      <c r="AH84" s="3">
        <f>+IF(AG84=0,0,IF(AG84=1,(SUM($AG$75:AG84)-1),1))</f>
        <v>9</v>
      </c>
      <c r="AI84" s="3">
        <f t="shared" si="1"/>
        <v>1</v>
      </c>
      <c r="AJ84" s="3">
        <f t="shared" si="2"/>
        <v>0</v>
      </c>
      <c r="AK84" s="3">
        <f t="shared" si="3"/>
        <v>1</v>
      </c>
    </row>
    <row r="85" spans="2:37" x14ac:dyDescent="0.25">
      <c r="B85" s="2"/>
      <c r="D85" s="360" t="s">
        <v>57</v>
      </c>
      <c r="E85" s="360"/>
      <c r="F85" s="16" t="s">
        <v>500</v>
      </c>
      <c r="G85" s="16">
        <v>0.1</v>
      </c>
      <c r="H85" s="16">
        <v>9.9000000000000005E-2</v>
      </c>
      <c r="I85" s="16">
        <v>5.1000000000000004E-2</v>
      </c>
      <c r="J85" s="16">
        <v>0.05</v>
      </c>
      <c r="K85" s="16">
        <v>1E-3</v>
      </c>
      <c r="L85" s="16" t="s">
        <v>500</v>
      </c>
      <c r="M85" s="16">
        <v>0</v>
      </c>
      <c r="O85" s="2"/>
      <c r="AE85" s="3" t="s">
        <v>57</v>
      </c>
      <c r="AF85" s="3">
        <v>11</v>
      </c>
      <c r="AG85" s="3">
        <f t="shared" si="0"/>
        <v>1</v>
      </c>
      <c r="AH85" s="3">
        <f>+IF(AG85=0,0,IF(AG85=1,(SUM($AG$75:AG85)-1),1))</f>
        <v>10</v>
      </c>
      <c r="AI85" s="3">
        <f t="shared" si="1"/>
        <v>1</v>
      </c>
      <c r="AJ85" s="3">
        <f t="shared" si="2"/>
        <v>0</v>
      </c>
      <c r="AK85" s="3">
        <f t="shared" si="3"/>
        <v>1</v>
      </c>
    </row>
    <row r="86" spans="2:37" x14ac:dyDescent="0.25">
      <c r="B86" s="2"/>
      <c r="D86" s="360" t="s">
        <v>58</v>
      </c>
      <c r="E86" s="360"/>
      <c r="F86" s="16" t="s">
        <v>500</v>
      </c>
      <c r="G86" s="16">
        <v>0.1</v>
      </c>
      <c r="H86" s="16">
        <v>9.9000000000000005E-2</v>
      </c>
      <c r="I86" s="16">
        <v>5.1000000000000004E-2</v>
      </c>
      <c r="J86" s="16">
        <v>0.05</v>
      </c>
      <c r="K86" s="16">
        <v>1E-3</v>
      </c>
      <c r="L86" s="16" t="s">
        <v>500</v>
      </c>
      <c r="M86" s="16">
        <v>0</v>
      </c>
      <c r="O86" s="2"/>
      <c r="AE86" s="3" t="s">
        <v>58</v>
      </c>
      <c r="AF86" s="65">
        <v>12</v>
      </c>
      <c r="AG86" s="3">
        <f t="shared" si="0"/>
        <v>1</v>
      </c>
      <c r="AH86" s="3">
        <f>+IF(AG86=0,0,IF(AG86=1,(SUM($AG$75:AG86)-1),1))</f>
        <v>11</v>
      </c>
      <c r="AI86" s="3">
        <f t="shared" si="1"/>
        <v>1</v>
      </c>
      <c r="AJ86" s="3">
        <f t="shared" si="2"/>
        <v>0</v>
      </c>
      <c r="AK86" s="3">
        <f t="shared" si="3"/>
        <v>1</v>
      </c>
    </row>
    <row r="87" spans="2:37" ht="3.75" customHeight="1" x14ac:dyDescent="0.25">
      <c r="B87" s="2"/>
      <c r="O87" s="2"/>
    </row>
    <row r="88" spans="2:37" ht="212.25" customHeight="1" x14ac:dyDescent="0.25">
      <c r="B88" s="2"/>
      <c r="D88" s="338" t="s">
        <v>59</v>
      </c>
      <c r="E88" s="339"/>
      <c r="F88" s="420" t="s">
        <v>1775</v>
      </c>
      <c r="G88" s="423"/>
      <c r="H88" s="423"/>
      <c r="I88" s="423"/>
      <c r="J88" s="423"/>
      <c r="K88" s="423"/>
      <c r="L88" s="423"/>
      <c r="M88" s="424"/>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2" customHeight="1" x14ac:dyDescent="0.25">
      <c r="B97" s="2"/>
      <c r="D97" s="359" t="s">
        <v>35</v>
      </c>
      <c r="E97" s="359"/>
      <c r="F97" s="344" t="s">
        <v>822</v>
      </c>
      <c r="G97" s="344"/>
      <c r="H97" s="344"/>
      <c r="I97" s="344"/>
      <c r="J97" s="344"/>
      <c r="K97" s="344"/>
      <c r="L97" s="344"/>
      <c r="M97" s="344"/>
      <c r="O97" s="2"/>
    </row>
    <row r="98" spans="2:15" ht="42" customHeight="1" x14ac:dyDescent="0.25">
      <c r="B98" s="2"/>
      <c r="D98" s="359" t="s">
        <v>36</v>
      </c>
      <c r="E98" s="359"/>
      <c r="F98" s="344" t="s">
        <v>822</v>
      </c>
      <c r="G98" s="344"/>
      <c r="H98" s="344"/>
      <c r="I98" s="344"/>
      <c r="J98" s="344"/>
      <c r="K98" s="344"/>
      <c r="L98" s="344"/>
      <c r="M98" s="344"/>
      <c r="O98" s="2"/>
    </row>
    <row r="99" spans="2:15" ht="3.95" customHeight="1" x14ac:dyDescent="0.25">
      <c r="B99" s="2"/>
      <c r="O99" s="2"/>
    </row>
    <row r="100" spans="2:15" ht="192" customHeight="1" x14ac:dyDescent="0.25">
      <c r="B100" s="2"/>
      <c r="D100" s="338" t="s">
        <v>62</v>
      </c>
      <c r="E100" s="339"/>
      <c r="F100" s="340" t="s">
        <v>720</v>
      </c>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1</v>
      </c>
      <c r="K102" s="20"/>
      <c r="O102" s="2"/>
    </row>
    <row r="103" spans="2:15" ht="19.5" customHeight="1" x14ac:dyDescent="0.25">
      <c r="B103" s="2"/>
      <c r="D103" s="331"/>
      <c r="E103" s="332"/>
      <c r="F103" s="19" t="s">
        <v>66</v>
      </c>
      <c r="G103" s="4" t="s">
        <v>224</v>
      </c>
      <c r="K103" s="21"/>
      <c r="O103" s="2"/>
    </row>
    <row r="104" spans="2:15" ht="27.75" customHeight="1" x14ac:dyDescent="0.25">
      <c r="B104" s="2"/>
      <c r="D104" s="331"/>
      <c r="E104" s="332"/>
      <c r="F104" s="19" t="s">
        <v>67</v>
      </c>
      <c r="G104" s="340" t="s">
        <v>1774</v>
      </c>
      <c r="H104" s="341"/>
      <c r="I104" s="341"/>
      <c r="J104" s="341"/>
      <c r="K104" s="341"/>
      <c r="L104" s="341"/>
      <c r="M104" s="342"/>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40" t="str">
        <f>+VLOOKUP(H10,tablero!$P$5:$R$201,3,FALSE)</f>
        <v xml:space="preserve">Subdirector(a) Restablecimiento de Derechos </v>
      </c>
      <c r="H108" s="341"/>
      <c r="I108" s="341"/>
      <c r="J108" s="341"/>
      <c r="K108" s="341"/>
      <c r="L108" s="341"/>
      <c r="M108" s="342"/>
      <c r="O108" s="2"/>
    </row>
    <row r="109" spans="2:15" ht="17.25" customHeight="1" x14ac:dyDescent="0.25">
      <c r="B109" s="2"/>
      <c r="D109" s="331"/>
      <c r="E109" s="332"/>
      <c r="F109" s="19" t="s">
        <v>2042</v>
      </c>
      <c r="G109" s="340" t="str">
        <f>+IF(M23="Si","Coordinador(a) Planeación y Sistemas","")</f>
        <v>Coordinador(a) Planeación y Sistemas</v>
      </c>
      <c r="H109" s="341"/>
      <c r="I109" s="341"/>
      <c r="J109" s="341"/>
      <c r="K109" s="341"/>
      <c r="L109" s="341"/>
      <c r="M109" s="342"/>
      <c r="O109" s="2"/>
    </row>
    <row r="110" spans="2:15" ht="17.25" customHeight="1" x14ac:dyDescent="0.25">
      <c r="B110" s="2"/>
      <c r="D110" s="331"/>
      <c r="E110" s="332"/>
      <c r="F110" s="19" t="s">
        <v>2043</v>
      </c>
      <c r="G110" s="340" t="str">
        <f>+IF(M24="Si","Coordinador(a) Centro Zonal","")</f>
        <v>Coordinador(a) Centro Zonal</v>
      </c>
      <c r="H110" s="341"/>
      <c r="I110" s="341"/>
      <c r="J110" s="341"/>
      <c r="K110" s="341"/>
      <c r="L110" s="341"/>
      <c r="M110" s="342"/>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370" priority="22">
      <formula>+IF($F$43="no",1,0)</formula>
    </cfRule>
  </conditionalFormatting>
  <conditionalFormatting sqref="F32:M33">
    <cfRule type="expression" dxfId="2369" priority="21">
      <formula>+IF($Q$30="NA",1,0)</formula>
    </cfRule>
  </conditionalFormatting>
  <conditionalFormatting sqref="F33:M33">
    <cfRule type="expression" dxfId="2368" priority="20">
      <formula>+IF($Q$33=0,1,0)</formula>
    </cfRule>
  </conditionalFormatting>
  <conditionalFormatting sqref="F47:M47">
    <cfRule type="expression" dxfId="2367" priority="19">
      <formula>+IF($Q$47=0,1,0)</formula>
    </cfRule>
  </conditionalFormatting>
  <conditionalFormatting sqref="F73:G73">
    <cfRule type="cellIs" dxfId="2366" priority="16" operator="equal">
      <formula>"optimo"</formula>
    </cfRule>
    <cfRule type="cellIs" dxfId="2365" priority="17" operator="equal">
      <formula>"critico"</formula>
    </cfRule>
  </conditionalFormatting>
  <conditionalFormatting sqref="H73:I73">
    <cfRule type="cellIs" dxfId="2364" priority="14" operator="equal">
      <formula>"Adecuado"</formula>
    </cfRule>
    <cfRule type="cellIs" dxfId="2363" priority="15" operator="equal">
      <formula>"en riesgo"</formula>
    </cfRule>
  </conditionalFormatting>
  <conditionalFormatting sqref="J73:K73">
    <cfRule type="cellIs" dxfId="2362" priority="12" operator="equal">
      <formula>"Adecuado"</formula>
    </cfRule>
    <cfRule type="cellIs" dxfId="2361" priority="13" operator="equal">
      <formula>"en riesgo"</formula>
    </cfRule>
  </conditionalFormatting>
  <conditionalFormatting sqref="L73:M73">
    <cfRule type="cellIs" dxfId="2360" priority="10" operator="equal">
      <formula>"optimo"</formula>
    </cfRule>
    <cfRule type="cellIs" dxfId="2359" priority="11" operator="equal">
      <formula>"critico"</formula>
    </cfRule>
  </conditionalFormatting>
  <conditionalFormatting sqref="F75:M86">
    <cfRule type="expression" dxfId="2358" priority="9">
      <formula>+IF($AK75=0,1)</formula>
    </cfRule>
  </conditionalFormatting>
  <conditionalFormatting sqref="F103:G104">
    <cfRule type="expression" dxfId="2357" priority="8">
      <formula>+IF($G$102="No",1,0)</formula>
    </cfRule>
  </conditionalFormatting>
  <conditionalFormatting sqref="F51">
    <cfRule type="expression" dxfId="2356" priority="7">
      <formula>+IF($F$43="no",1,0)</formula>
    </cfRule>
  </conditionalFormatting>
  <conditionalFormatting sqref="I51">
    <cfRule type="expression" dxfId="2355" priority="6">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7">
    <tabColor rgb="FF0070C0"/>
  </sheetPr>
  <dimension ref="B1:AV113"/>
  <sheetViews>
    <sheetView topLeftCell="A67" zoomScaleNormal="100" workbookViewId="0">
      <selection activeCell="A80" sqref="A80:XFD86"/>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226</v>
      </c>
      <c r="O10" s="2"/>
    </row>
    <row r="11" spans="2:24" ht="3.95" customHeight="1" x14ac:dyDescent="0.25">
      <c r="B11" s="2"/>
      <c r="D11" s="6"/>
      <c r="O11" s="2"/>
    </row>
    <row r="12" spans="2:24" ht="36" customHeight="1" x14ac:dyDescent="0.25">
      <c r="B12" s="2"/>
      <c r="D12" s="338" t="s">
        <v>5</v>
      </c>
      <c r="E12" s="339"/>
      <c r="F12" s="340" t="s">
        <v>225</v>
      </c>
      <c r="G12" s="341"/>
      <c r="H12" s="341"/>
      <c r="I12" s="341"/>
      <c r="J12" s="341"/>
      <c r="K12" s="341"/>
      <c r="L12" s="341"/>
      <c r="M12" s="342"/>
      <c r="O12" s="2"/>
      <c r="W12" s="3" t="str">
        <f>+F23</f>
        <v>Mensual</v>
      </c>
      <c r="X12" s="3" t="str">
        <f>+F71</f>
        <v>Enero</v>
      </c>
    </row>
    <row r="13" spans="2:24" ht="3.95" customHeight="1" x14ac:dyDescent="0.25">
      <c r="B13" s="2"/>
      <c r="O13" s="2"/>
    </row>
    <row r="14" spans="2:24" ht="52.5" customHeight="1" x14ac:dyDescent="0.25">
      <c r="B14" s="2"/>
      <c r="D14" s="338" t="s">
        <v>6</v>
      </c>
      <c r="E14" s="339"/>
      <c r="F14" s="340" t="s">
        <v>823</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17">
        <v>0.17</v>
      </c>
      <c r="G22" s="337" t="s">
        <v>9</v>
      </c>
      <c r="H22" s="337"/>
      <c r="I22" s="17">
        <v>0</v>
      </c>
      <c r="K22" s="337" t="s">
        <v>10</v>
      </c>
      <c r="L22" s="337"/>
      <c r="M22" s="9" t="s">
        <v>496</v>
      </c>
      <c r="O22" s="2"/>
    </row>
    <row r="23" spans="2:17" ht="19.5" customHeight="1" x14ac:dyDescent="0.25">
      <c r="B23" s="2"/>
      <c r="D23" s="337" t="s">
        <v>11</v>
      </c>
      <c r="E23" s="337"/>
      <c r="F23" s="4" t="s">
        <v>84</v>
      </c>
      <c r="G23" s="337" t="s">
        <v>12</v>
      </c>
      <c r="H23" s="337"/>
      <c r="I23" s="4" t="s">
        <v>497</v>
      </c>
      <c r="K23" s="337" t="s">
        <v>13</v>
      </c>
      <c r="L23" s="337"/>
      <c r="M23" s="9" t="s">
        <v>496</v>
      </c>
      <c r="O23" s="2"/>
    </row>
    <row r="24" spans="2:17" ht="20.100000000000001" customHeight="1" x14ac:dyDescent="0.25">
      <c r="B24" s="2"/>
      <c r="D24" s="337" t="s">
        <v>14</v>
      </c>
      <c r="E24" s="337"/>
      <c r="F24" s="4" t="s">
        <v>666</v>
      </c>
      <c r="G24" s="337" t="s">
        <v>15</v>
      </c>
      <c r="H24" s="337"/>
      <c r="I24" s="4" t="s">
        <v>103</v>
      </c>
      <c r="K24" s="337" t="s">
        <v>16</v>
      </c>
      <c r="L24" s="337"/>
      <c r="M24" s="9" t="s">
        <v>496</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716</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proteccion</v>
      </c>
    </row>
    <row r="31" spans="2:17" ht="24" customHeight="1" x14ac:dyDescent="0.25">
      <c r="B31" s="2"/>
      <c r="D31" s="347"/>
      <c r="E31" s="348"/>
      <c r="F31" s="4" t="s">
        <v>202</v>
      </c>
      <c r="G31" s="340" t="s">
        <v>203</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792</v>
      </c>
      <c r="G33" s="340" t="s">
        <v>719</v>
      </c>
      <c r="H33" s="341"/>
      <c r="I33" s="341"/>
      <c r="J33" s="341"/>
      <c r="K33" s="341"/>
      <c r="L33" s="341"/>
      <c r="M33" s="342"/>
      <c r="O33" s="2"/>
      <c r="Q33" s="3">
        <f>+IFERROR(IF(VLOOKUP(G33,base!$A$26:$C$40,3,FALSE)=F31,1,0),"")</f>
        <v>1</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1715</v>
      </c>
      <c r="G35" s="340" t="s">
        <v>1591</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2</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500</v>
      </c>
      <c r="G45" s="340" t="s">
        <v>512</v>
      </c>
      <c r="H45" s="341"/>
      <c r="I45" s="341"/>
      <c r="J45" s="341"/>
      <c r="K45" s="341"/>
      <c r="L45" s="341"/>
      <c r="M45" s="342"/>
      <c r="O45" s="2"/>
      <c r="Q45" s="3" t="str">
        <f>+IFERROR(VLOOKUP(G45,base!$A$41:$C$45,3,FALSE),"")</f>
        <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500</v>
      </c>
      <c r="G47" s="340" t="s">
        <v>512</v>
      </c>
      <c r="H47" s="341"/>
      <c r="I47" s="341"/>
      <c r="J47" s="341"/>
      <c r="K47" s="341"/>
      <c r="L47" s="341"/>
      <c r="M47" s="342"/>
      <c r="O47" s="2"/>
      <c r="Q47" s="3" t="e">
        <f>+IF(VLOOKUP(G47,base!$A$46:$C$66,3,FALSE)=F45,1,0)</f>
        <v>#N/A</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786</v>
      </c>
      <c r="G49" s="340" t="s">
        <v>717</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8"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47.25" customHeight="1" x14ac:dyDescent="0.25">
      <c r="B59" s="2"/>
      <c r="D59" s="337" t="s">
        <v>34</v>
      </c>
      <c r="E59" s="337"/>
      <c r="F59" s="344" t="s">
        <v>824</v>
      </c>
      <c r="G59" s="344"/>
      <c r="H59" s="344"/>
      <c r="I59" s="344"/>
      <c r="J59" s="344"/>
      <c r="K59" s="344"/>
      <c r="L59" s="344"/>
      <c r="M59" s="344"/>
      <c r="O59" s="2"/>
    </row>
    <row r="60" spans="2:15" ht="30" customHeight="1" x14ac:dyDescent="0.25">
      <c r="B60" s="2"/>
      <c r="D60" s="359" t="s">
        <v>35</v>
      </c>
      <c r="E60" s="359"/>
      <c r="F60" s="344" t="s">
        <v>825</v>
      </c>
      <c r="G60" s="344"/>
      <c r="H60" s="344"/>
      <c r="I60" s="344"/>
      <c r="J60" s="344"/>
      <c r="K60" s="344"/>
      <c r="L60" s="344"/>
      <c r="M60" s="344"/>
      <c r="O60" s="2"/>
    </row>
    <row r="61" spans="2:15" ht="29.25" customHeight="1" x14ac:dyDescent="0.25">
      <c r="B61" s="2"/>
      <c r="D61" s="359" t="s">
        <v>36</v>
      </c>
      <c r="E61" s="359"/>
      <c r="F61" s="344" t="s">
        <v>826</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43" t="s">
        <v>39</v>
      </c>
      <c r="E71" s="343"/>
      <c r="F71" s="4" t="s">
        <v>46</v>
      </c>
      <c r="G71" s="3">
        <v>1</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52</v>
      </c>
      <c r="G74" s="15" t="s">
        <v>670</v>
      </c>
      <c r="H74" s="15" t="s">
        <v>52</v>
      </c>
      <c r="I74" s="15" t="s">
        <v>670</v>
      </c>
      <c r="J74" s="15" t="s">
        <v>52</v>
      </c>
      <c r="K74" s="15" t="s">
        <v>670</v>
      </c>
      <c r="L74" s="15" t="s">
        <v>52</v>
      </c>
      <c r="M74" s="15" t="s">
        <v>670</v>
      </c>
      <c r="O74" s="2"/>
    </row>
    <row r="75" spans="2:37" x14ac:dyDescent="0.25">
      <c r="B75" s="2"/>
      <c r="D75" s="360" t="s">
        <v>46</v>
      </c>
      <c r="E75" s="360"/>
      <c r="F75" s="16" t="s">
        <v>500</v>
      </c>
      <c r="G75" s="16">
        <v>5.1000000000000004E-2</v>
      </c>
      <c r="H75" s="16">
        <v>0.05</v>
      </c>
      <c r="I75" s="16">
        <v>3.1E-2</v>
      </c>
      <c r="J75" s="16">
        <v>0.03</v>
      </c>
      <c r="K75" s="16">
        <v>1E-3</v>
      </c>
      <c r="L75" s="16" t="s">
        <v>500</v>
      </c>
      <c r="M75" s="16">
        <v>0</v>
      </c>
      <c r="O75" s="2"/>
      <c r="AE75" s="3" t="s">
        <v>46</v>
      </c>
      <c r="AF75" s="3">
        <v>1</v>
      </c>
      <c r="AG75" s="3">
        <f>+IF(AF75&gt;=$G$71,1,0)</f>
        <v>1</v>
      </c>
      <c r="AH75" s="3">
        <f>+IF(AG75=0,0,IF(AG75=1,(SUM($AG$75:AG75)-1),1))</f>
        <v>0</v>
      </c>
      <c r="AI75" s="3">
        <f>+IF(AH75=0,0,IF(MOD(AH75,$U$69)=0,1,0))</f>
        <v>0</v>
      </c>
      <c r="AJ75" s="3">
        <f>+IF(AE75=$F$71,1,0)</f>
        <v>1</v>
      </c>
      <c r="AK75" s="3">
        <f>+MAX(AI75:AJ75)</f>
        <v>1</v>
      </c>
    </row>
    <row r="76" spans="2:37" x14ac:dyDescent="0.25">
      <c r="B76" s="2"/>
      <c r="D76" s="360" t="s">
        <v>40</v>
      </c>
      <c r="E76" s="360"/>
      <c r="F76" s="16" t="s">
        <v>500</v>
      </c>
      <c r="G76" s="16">
        <v>5.1000000000000004E-2</v>
      </c>
      <c r="H76" s="16">
        <v>0.05</v>
      </c>
      <c r="I76" s="16">
        <v>3.1E-2</v>
      </c>
      <c r="J76" s="16">
        <v>0.03</v>
      </c>
      <c r="K76" s="16">
        <v>1E-3</v>
      </c>
      <c r="L76" s="16" t="s">
        <v>500</v>
      </c>
      <c r="M76" s="16">
        <v>0</v>
      </c>
      <c r="O76" s="2"/>
      <c r="AE76" s="3" t="s">
        <v>40</v>
      </c>
      <c r="AF76" s="3">
        <v>2</v>
      </c>
      <c r="AG76" s="3">
        <f t="shared" ref="AG76:AG86" si="0">+IF(AF76&gt;=$G$71,1,0)</f>
        <v>1</v>
      </c>
      <c r="AH76" s="3">
        <f>+IF(AG76=0,0,IF(AG76=1,(SUM($AG$75:AG76)-1),1))</f>
        <v>1</v>
      </c>
      <c r="AI76" s="3">
        <f t="shared" ref="AI76:AI86" si="1">+IF(AH76=0,0,IF(MOD(AH76,$U$69)=0,1,0))</f>
        <v>1</v>
      </c>
      <c r="AJ76" s="3">
        <f t="shared" ref="AJ76:AJ86" si="2">+IF(AE76=$F$71,1,0)</f>
        <v>0</v>
      </c>
      <c r="AK76" s="3">
        <f t="shared" ref="AK76:AK86" si="3">+MAX(AI76:AJ76)</f>
        <v>1</v>
      </c>
    </row>
    <row r="77" spans="2:37" x14ac:dyDescent="0.25">
      <c r="B77" s="2"/>
      <c r="D77" s="360" t="s">
        <v>47</v>
      </c>
      <c r="E77" s="360"/>
      <c r="F77" s="16" t="s">
        <v>500</v>
      </c>
      <c r="G77" s="16">
        <v>5.1000000000000004E-2</v>
      </c>
      <c r="H77" s="16">
        <v>0.05</v>
      </c>
      <c r="I77" s="16">
        <v>3.1E-2</v>
      </c>
      <c r="J77" s="16">
        <v>0.03</v>
      </c>
      <c r="K77" s="16">
        <v>1E-3</v>
      </c>
      <c r="L77" s="16" t="s">
        <v>500</v>
      </c>
      <c r="M77" s="16">
        <v>0</v>
      </c>
      <c r="O77" s="2"/>
      <c r="AE77" s="3" t="s">
        <v>47</v>
      </c>
      <c r="AF77" s="3">
        <v>3</v>
      </c>
      <c r="AG77" s="3">
        <f t="shared" si="0"/>
        <v>1</v>
      </c>
      <c r="AH77" s="3">
        <f>+IF(AG77=0,0,IF(AG77=1,(SUM($AG$75:AG77)-1),1))</f>
        <v>2</v>
      </c>
      <c r="AI77" s="3">
        <f t="shared" si="1"/>
        <v>1</v>
      </c>
      <c r="AJ77" s="3">
        <f t="shared" si="2"/>
        <v>0</v>
      </c>
      <c r="AK77" s="3">
        <f t="shared" si="3"/>
        <v>1</v>
      </c>
    </row>
    <row r="78" spans="2:37" x14ac:dyDescent="0.25">
      <c r="B78" s="2"/>
      <c r="D78" s="360" t="s">
        <v>48</v>
      </c>
      <c r="E78" s="360"/>
      <c r="F78" s="16" t="s">
        <v>500</v>
      </c>
      <c r="G78" s="16">
        <v>5.1000000000000004E-2</v>
      </c>
      <c r="H78" s="16">
        <v>0.05</v>
      </c>
      <c r="I78" s="16">
        <v>3.1E-2</v>
      </c>
      <c r="J78" s="16">
        <v>0.03</v>
      </c>
      <c r="K78" s="16">
        <v>1E-3</v>
      </c>
      <c r="L78" s="16" t="s">
        <v>500</v>
      </c>
      <c r="M78" s="16">
        <v>0</v>
      </c>
      <c r="O78" s="2"/>
      <c r="AE78" s="3" t="s">
        <v>48</v>
      </c>
      <c r="AF78" s="3">
        <v>4</v>
      </c>
      <c r="AG78" s="3">
        <f t="shared" si="0"/>
        <v>1</v>
      </c>
      <c r="AH78" s="3">
        <f>+IF(AG78=0,0,IF(AG78=1,(SUM($AG$75:AG78)-1),1))</f>
        <v>3</v>
      </c>
      <c r="AI78" s="3">
        <f t="shared" si="1"/>
        <v>1</v>
      </c>
      <c r="AJ78" s="3">
        <f t="shared" si="2"/>
        <v>0</v>
      </c>
      <c r="AK78" s="3">
        <f t="shared" si="3"/>
        <v>1</v>
      </c>
    </row>
    <row r="79" spans="2:37" x14ac:dyDescent="0.25">
      <c r="B79" s="2"/>
      <c r="D79" s="360" t="s">
        <v>49</v>
      </c>
      <c r="E79" s="360"/>
      <c r="F79" s="16" t="s">
        <v>500</v>
      </c>
      <c r="G79" s="16">
        <v>5.1000000000000004E-2</v>
      </c>
      <c r="H79" s="16">
        <v>0.05</v>
      </c>
      <c r="I79" s="16">
        <v>3.1E-2</v>
      </c>
      <c r="J79" s="16">
        <v>0.03</v>
      </c>
      <c r="K79" s="16">
        <v>1E-3</v>
      </c>
      <c r="L79" s="16" t="s">
        <v>500</v>
      </c>
      <c r="M79" s="16">
        <v>0</v>
      </c>
      <c r="O79" s="2"/>
      <c r="AE79" s="3" t="s">
        <v>49</v>
      </c>
      <c r="AF79" s="3">
        <v>5</v>
      </c>
      <c r="AG79" s="3">
        <f t="shared" si="0"/>
        <v>1</v>
      </c>
      <c r="AH79" s="3">
        <f>+IF(AG79=0,0,IF(AG79=1,(SUM($AG$75:AG79)-1),1))</f>
        <v>4</v>
      </c>
      <c r="AI79" s="3">
        <f t="shared" si="1"/>
        <v>1</v>
      </c>
      <c r="AJ79" s="3">
        <f t="shared" si="2"/>
        <v>0</v>
      </c>
      <c r="AK79" s="3">
        <f t="shared" si="3"/>
        <v>1</v>
      </c>
    </row>
    <row r="80" spans="2:37" x14ac:dyDescent="0.25">
      <c r="B80" s="2"/>
      <c r="D80" s="360" t="s">
        <v>50</v>
      </c>
      <c r="E80" s="360"/>
      <c r="F80" s="16" t="s">
        <v>500</v>
      </c>
      <c r="G80" s="16">
        <v>5.1000000000000004E-2</v>
      </c>
      <c r="H80" s="16">
        <v>0.05</v>
      </c>
      <c r="I80" s="16">
        <v>3.1E-2</v>
      </c>
      <c r="J80" s="16">
        <v>0.03</v>
      </c>
      <c r="K80" s="16">
        <v>1E-3</v>
      </c>
      <c r="L80" s="16" t="s">
        <v>500</v>
      </c>
      <c r="M80" s="16">
        <v>0</v>
      </c>
      <c r="O80" s="2"/>
      <c r="AE80" s="3" t="s">
        <v>50</v>
      </c>
      <c r="AF80" s="3">
        <v>6</v>
      </c>
      <c r="AG80" s="3">
        <f t="shared" si="0"/>
        <v>1</v>
      </c>
      <c r="AH80" s="3">
        <f>+IF(AG80=0,0,IF(AG80=1,(SUM($AG$75:AG80)-1),1))</f>
        <v>5</v>
      </c>
      <c r="AI80" s="3">
        <f t="shared" si="1"/>
        <v>1</v>
      </c>
      <c r="AJ80" s="3">
        <f t="shared" si="2"/>
        <v>0</v>
      </c>
      <c r="AK80" s="3">
        <f t="shared" si="3"/>
        <v>1</v>
      </c>
    </row>
    <row r="81" spans="2:37" x14ac:dyDescent="0.25">
      <c r="B81" s="2"/>
      <c r="D81" s="360" t="s">
        <v>53</v>
      </c>
      <c r="E81" s="360"/>
      <c r="F81" s="16" t="s">
        <v>500</v>
      </c>
      <c r="G81" s="16">
        <v>5.1000000000000004E-2</v>
      </c>
      <c r="H81" s="16">
        <v>0.05</v>
      </c>
      <c r="I81" s="16">
        <v>3.1E-2</v>
      </c>
      <c r="J81" s="16">
        <v>0.03</v>
      </c>
      <c r="K81" s="16">
        <v>1E-3</v>
      </c>
      <c r="L81" s="16" t="s">
        <v>500</v>
      </c>
      <c r="M81" s="16">
        <v>0</v>
      </c>
      <c r="O81" s="2"/>
      <c r="AE81" s="3" t="s">
        <v>53</v>
      </c>
      <c r="AF81" s="3">
        <v>7</v>
      </c>
      <c r="AG81" s="3">
        <f t="shared" si="0"/>
        <v>1</v>
      </c>
      <c r="AH81" s="3">
        <f>+IF(AG81=0,0,IF(AG81=1,(SUM($AG$75:AG81)-1),1))</f>
        <v>6</v>
      </c>
      <c r="AI81" s="3">
        <f t="shared" si="1"/>
        <v>1</v>
      </c>
      <c r="AJ81" s="3">
        <f t="shared" si="2"/>
        <v>0</v>
      </c>
      <c r="AK81" s="3">
        <f t="shared" si="3"/>
        <v>1</v>
      </c>
    </row>
    <row r="82" spans="2:37" x14ac:dyDescent="0.25">
      <c r="B82" s="2"/>
      <c r="D82" s="360" t="s">
        <v>54</v>
      </c>
      <c r="E82" s="360"/>
      <c r="F82" s="16" t="s">
        <v>500</v>
      </c>
      <c r="G82" s="16">
        <v>5.1000000000000004E-2</v>
      </c>
      <c r="H82" s="16">
        <v>0.05</v>
      </c>
      <c r="I82" s="16">
        <v>3.1E-2</v>
      </c>
      <c r="J82" s="16">
        <v>0.03</v>
      </c>
      <c r="K82" s="16">
        <v>1E-3</v>
      </c>
      <c r="L82" s="16" t="s">
        <v>500</v>
      </c>
      <c r="M82" s="16">
        <v>0</v>
      </c>
      <c r="O82" s="2"/>
      <c r="AE82" s="3" t="s">
        <v>54</v>
      </c>
      <c r="AF82" s="3">
        <v>8</v>
      </c>
      <c r="AG82" s="3">
        <f t="shared" si="0"/>
        <v>1</v>
      </c>
      <c r="AH82" s="3">
        <f>+IF(AG82=0,0,IF(AG82=1,(SUM($AG$75:AG82)-1),1))</f>
        <v>7</v>
      </c>
      <c r="AI82" s="3">
        <f t="shared" si="1"/>
        <v>1</v>
      </c>
      <c r="AJ82" s="3">
        <f t="shared" si="2"/>
        <v>0</v>
      </c>
      <c r="AK82" s="3">
        <f t="shared" si="3"/>
        <v>1</v>
      </c>
    </row>
    <row r="83" spans="2:37" x14ac:dyDescent="0.25">
      <c r="B83" s="2"/>
      <c r="D83" s="360" t="s">
        <v>55</v>
      </c>
      <c r="E83" s="360"/>
      <c r="F83" s="16" t="s">
        <v>500</v>
      </c>
      <c r="G83" s="16">
        <v>5.1000000000000004E-2</v>
      </c>
      <c r="H83" s="16">
        <v>0.05</v>
      </c>
      <c r="I83" s="16">
        <v>3.1E-2</v>
      </c>
      <c r="J83" s="16">
        <v>0.03</v>
      </c>
      <c r="K83" s="16">
        <v>1E-3</v>
      </c>
      <c r="L83" s="16" t="s">
        <v>500</v>
      </c>
      <c r="M83" s="16">
        <v>0</v>
      </c>
      <c r="O83" s="2"/>
      <c r="AE83" s="3" t="s">
        <v>55</v>
      </c>
      <c r="AF83" s="3">
        <v>9</v>
      </c>
      <c r="AG83" s="3">
        <f t="shared" si="0"/>
        <v>1</v>
      </c>
      <c r="AH83" s="3">
        <f>+IF(AG83=0,0,IF(AG83=1,(SUM($AG$75:AG83)-1),1))</f>
        <v>8</v>
      </c>
      <c r="AI83" s="3">
        <f t="shared" si="1"/>
        <v>1</v>
      </c>
      <c r="AJ83" s="3">
        <f t="shared" si="2"/>
        <v>0</v>
      </c>
      <c r="AK83" s="3">
        <f t="shared" si="3"/>
        <v>1</v>
      </c>
    </row>
    <row r="84" spans="2:37" x14ac:dyDescent="0.25">
      <c r="B84" s="2"/>
      <c r="D84" s="360" t="s">
        <v>56</v>
      </c>
      <c r="E84" s="360"/>
      <c r="F84" s="16" t="s">
        <v>500</v>
      </c>
      <c r="G84" s="16">
        <v>5.1000000000000004E-2</v>
      </c>
      <c r="H84" s="16">
        <v>0.05</v>
      </c>
      <c r="I84" s="16">
        <v>3.1E-2</v>
      </c>
      <c r="J84" s="16">
        <v>0.03</v>
      </c>
      <c r="K84" s="16">
        <v>1E-3</v>
      </c>
      <c r="L84" s="16" t="s">
        <v>500</v>
      </c>
      <c r="M84" s="16">
        <v>0</v>
      </c>
      <c r="O84" s="2"/>
      <c r="AE84" s="3" t="s">
        <v>56</v>
      </c>
      <c r="AF84" s="3">
        <v>10</v>
      </c>
      <c r="AG84" s="3">
        <f t="shared" si="0"/>
        <v>1</v>
      </c>
      <c r="AH84" s="3">
        <f>+IF(AG84=0,0,IF(AG84=1,(SUM($AG$75:AG84)-1),1))</f>
        <v>9</v>
      </c>
      <c r="AI84" s="3">
        <f t="shared" si="1"/>
        <v>1</v>
      </c>
      <c r="AJ84" s="3">
        <f t="shared" si="2"/>
        <v>0</v>
      </c>
      <c r="AK84" s="3">
        <f t="shared" si="3"/>
        <v>1</v>
      </c>
    </row>
    <row r="85" spans="2:37" x14ac:dyDescent="0.25">
      <c r="B85" s="2"/>
      <c r="D85" s="360" t="s">
        <v>57</v>
      </c>
      <c r="E85" s="360"/>
      <c r="F85" s="16" t="s">
        <v>500</v>
      </c>
      <c r="G85" s="16">
        <v>5.1000000000000004E-2</v>
      </c>
      <c r="H85" s="16">
        <v>0.05</v>
      </c>
      <c r="I85" s="16">
        <v>3.1E-2</v>
      </c>
      <c r="J85" s="16">
        <v>0.03</v>
      </c>
      <c r="K85" s="16">
        <v>1E-3</v>
      </c>
      <c r="L85" s="16" t="s">
        <v>500</v>
      </c>
      <c r="M85" s="16">
        <v>0</v>
      </c>
      <c r="O85" s="2"/>
      <c r="AE85" s="3" t="s">
        <v>57</v>
      </c>
      <c r="AF85" s="3">
        <v>11</v>
      </c>
      <c r="AG85" s="3">
        <f t="shared" si="0"/>
        <v>1</v>
      </c>
      <c r="AH85" s="3">
        <f>+IF(AG85=0,0,IF(AG85=1,(SUM($AG$75:AG85)-1),1))</f>
        <v>10</v>
      </c>
      <c r="AI85" s="3">
        <f t="shared" si="1"/>
        <v>1</v>
      </c>
      <c r="AJ85" s="3">
        <f t="shared" si="2"/>
        <v>0</v>
      </c>
      <c r="AK85" s="3">
        <f t="shared" si="3"/>
        <v>1</v>
      </c>
    </row>
    <row r="86" spans="2:37" x14ac:dyDescent="0.25">
      <c r="B86" s="2"/>
      <c r="D86" s="360" t="s">
        <v>58</v>
      </c>
      <c r="E86" s="360"/>
      <c r="F86" s="16" t="s">
        <v>500</v>
      </c>
      <c r="G86" s="16">
        <v>5.1000000000000004E-2</v>
      </c>
      <c r="H86" s="16">
        <v>0.05</v>
      </c>
      <c r="I86" s="16">
        <v>3.1E-2</v>
      </c>
      <c r="J86" s="16">
        <v>0.03</v>
      </c>
      <c r="K86" s="16">
        <v>1E-3</v>
      </c>
      <c r="L86" s="16" t="s">
        <v>500</v>
      </c>
      <c r="M86" s="16">
        <v>0</v>
      </c>
      <c r="O86" s="2"/>
      <c r="AE86" s="3" t="s">
        <v>58</v>
      </c>
      <c r="AF86" s="65">
        <v>12</v>
      </c>
      <c r="AG86" s="3">
        <f t="shared" si="0"/>
        <v>1</v>
      </c>
      <c r="AH86" s="3">
        <f>+IF(AG86=0,0,IF(AG86=1,(SUM($AG$75:AG86)-1),1))</f>
        <v>11</v>
      </c>
      <c r="AI86" s="3">
        <f t="shared" si="1"/>
        <v>1</v>
      </c>
      <c r="AJ86" s="3">
        <f t="shared" si="2"/>
        <v>0</v>
      </c>
      <c r="AK86" s="3">
        <f t="shared" si="3"/>
        <v>1</v>
      </c>
    </row>
    <row r="87" spans="2:37" ht="3.75" customHeight="1" x14ac:dyDescent="0.25">
      <c r="B87" s="2"/>
      <c r="O87" s="2"/>
    </row>
    <row r="88" spans="2:37" ht="213" customHeight="1" x14ac:dyDescent="0.25">
      <c r="B88" s="2"/>
      <c r="D88" s="338" t="s">
        <v>59</v>
      </c>
      <c r="E88" s="339"/>
      <c r="F88" s="420" t="s">
        <v>1776</v>
      </c>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2" customHeight="1" x14ac:dyDescent="0.25">
      <c r="B97" s="2"/>
      <c r="D97" s="359" t="s">
        <v>35</v>
      </c>
      <c r="E97" s="359"/>
      <c r="F97" s="344" t="s">
        <v>801</v>
      </c>
      <c r="G97" s="344"/>
      <c r="H97" s="344"/>
      <c r="I97" s="344"/>
      <c r="J97" s="344"/>
      <c r="K97" s="344"/>
      <c r="L97" s="344"/>
      <c r="M97" s="344"/>
      <c r="O97" s="2"/>
    </row>
    <row r="98" spans="2:15" ht="42" customHeight="1" x14ac:dyDescent="0.25">
      <c r="B98" s="2"/>
      <c r="D98" s="359" t="s">
        <v>36</v>
      </c>
      <c r="E98" s="359"/>
      <c r="F98" s="344" t="s">
        <v>801</v>
      </c>
      <c r="G98" s="344"/>
      <c r="H98" s="344"/>
      <c r="I98" s="344"/>
      <c r="J98" s="344"/>
      <c r="K98" s="344"/>
      <c r="L98" s="344"/>
      <c r="M98" s="344"/>
      <c r="O98" s="2"/>
    </row>
    <row r="99" spans="2:15" ht="3.95" customHeight="1" x14ac:dyDescent="0.25">
      <c r="B99" s="2"/>
      <c r="O99" s="2"/>
    </row>
    <row r="100" spans="2:15" ht="192.75" customHeight="1" x14ac:dyDescent="0.25">
      <c r="B100" s="2"/>
      <c r="D100" s="338" t="s">
        <v>62</v>
      </c>
      <c r="E100" s="339"/>
      <c r="F100" s="340" t="s">
        <v>720</v>
      </c>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1</v>
      </c>
      <c r="K102" s="20"/>
      <c r="O102" s="2"/>
    </row>
    <row r="103" spans="2:15" ht="19.5" customHeight="1" x14ac:dyDescent="0.25">
      <c r="B103" s="2"/>
      <c r="D103" s="331"/>
      <c r="E103" s="332"/>
      <c r="F103" s="19" t="s">
        <v>66</v>
      </c>
      <c r="G103" s="4" t="s">
        <v>226</v>
      </c>
      <c r="K103" s="21"/>
      <c r="O103" s="2"/>
    </row>
    <row r="104" spans="2:15" ht="27.75" customHeight="1" x14ac:dyDescent="0.25">
      <c r="B104" s="2"/>
      <c r="D104" s="331"/>
      <c r="E104" s="332"/>
      <c r="F104" s="19" t="s">
        <v>67</v>
      </c>
      <c r="G104" s="340" t="s">
        <v>1777</v>
      </c>
      <c r="H104" s="341"/>
      <c r="I104" s="341"/>
      <c r="J104" s="341"/>
      <c r="K104" s="341"/>
      <c r="L104" s="341"/>
      <c r="M104" s="342"/>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40" t="str">
        <f>+VLOOKUP(H10,tablero!$P$5:$R$201,3,FALSE)</f>
        <v xml:space="preserve">Subdirector(a) Restablecimiento de Derechos </v>
      </c>
      <c r="H108" s="341"/>
      <c r="I108" s="341"/>
      <c r="J108" s="341"/>
      <c r="K108" s="341"/>
      <c r="L108" s="341"/>
      <c r="M108" s="342"/>
      <c r="O108" s="2"/>
    </row>
    <row r="109" spans="2:15" ht="17.25" customHeight="1" x14ac:dyDescent="0.25">
      <c r="B109" s="2"/>
      <c r="D109" s="331"/>
      <c r="E109" s="332"/>
      <c r="F109" s="19" t="s">
        <v>2042</v>
      </c>
      <c r="G109" s="340" t="str">
        <f>+IF(M23="Si","Coordinador(a) Planeación y Sistemas","")</f>
        <v>Coordinador(a) Planeación y Sistemas</v>
      </c>
      <c r="H109" s="341"/>
      <c r="I109" s="341"/>
      <c r="J109" s="341"/>
      <c r="K109" s="341"/>
      <c r="L109" s="341"/>
      <c r="M109" s="342"/>
      <c r="O109" s="2"/>
    </row>
    <row r="110" spans="2:15" ht="17.25" customHeight="1" x14ac:dyDescent="0.25">
      <c r="B110" s="2"/>
      <c r="D110" s="331"/>
      <c r="E110" s="332"/>
      <c r="F110" s="19" t="s">
        <v>2043</v>
      </c>
      <c r="G110" s="340" t="str">
        <f>+IF(M24="Si","Coordinador(a) Centro Zonal","")</f>
        <v>Coordinador(a) Centro Zonal</v>
      </c>
      <c r="H110" s="341"/>
      <c r="I110" s="341"/>
      <c r="J110" s="341"/>
      <c r="K110" s="341"/>
      <c r="L110" s="341"/>
      <c r="M110" s="342"/>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354" priority="22">
      <formula>+IF($F$43="no",1,0)</formula>
    </cfRule>
  </conditionalFormatting>
  <conditionalFormatting sqref="F32:M33">
    <cfRule type="expression" dxfId="2353" priority="21">
      <formula>+IF($Q$30="NA",1,0)</formula>
    </cfRule>
  </conditionalFormatting>
  <conditionalFormatting sqref="F33:M33">
    <cfRule type="expression" dxfId="2352" priority="20">
      <formula>+IF($Q$33=0,1,0)</formula>
    </cfRule>
  </conditionalFormatting>
  <conditionalFormatting sqref="F47:M47">
    <cfRule type="expression" dxfId="2351" priority="19">
      <formula>+IF($Q$47=0,1,0)</formula>
    </cfRule>
  </conditionalFormatting>
  <conditionalFormatting sqref="F73:G73">
    <cfRule type="cellIs" dxfId="2350" priority="16" operator="equal">
      <formula>"optimo"</formula>
    </cfRule>
    <cfRule type="cellIs" dxfId="2349" priority="17" operator="equal">
      <formula>"critico"</formula>
    </cfRule>
  </conditionalFormatting>
  <conditionalFormatting sqref="H73:I73">
    <cfRule type="cellIs" dxfId="2348" priority="14" operator="equal">
      <formula>"Adecuado"</formula>
    </cfRule>
    <cfRule type="cellIs" dxfId="2347" priority="15" operator="equal">
      <formula>"en riesgo"</formula>
    </cfRule>
  </conditionalFormatting>
  <conditionalFormatting sqref="J73:K73">
    <cfRule type="cellIs" dxfId="2346" priority="12" operator="equal">
      <formula>"Adecuado"</formula>
    </cfRule>
    <cfRule type="cellIs" dxfId="2345" priority="13" operator="equal">
      <formula>"en riesgo"</formula>
    </cfRule>
  </conditionalFormatting>
  <conditionalFormatting sqref="L73:M73">
    <cfRule type="cellIs" dxfId="2344" priority="10" operator="equal">
      <formula>"optimo"</formula>
    </cfRule>
    <cfRule type="cellIs" dxfId="2343" priority="11" operator="equal">
      <formula>"critico"</formula>
    </cfRule>
  </conditionalFormatting>
  <conditionalFormatting sqref="F75:M86">
    <cfRule type="expression" dxfId="2342" priority="9">
      <formula>+IF($AK75=0,1)</formula>
    </cfRule>
  </conditionalFormatting>
  <conditionalFormatting sqref="F103:G104">
    <cfRule type="expression" dxfId="2341" priority="8">
      <formula>+IF($G$102="No",1,0)</formula>
    </cfRule>
  </conditionalFormatting>
  <conditionalFormatting sqref="F51">
    <cfRule type="expression" dxfId="2340" priority="7">
      <formula>+IF($F$43="no",1,0)</formula>
    </cfRule>
  </conditionalFormatting>
  <conditionalFormatting sqref="I51">
    <cfRule type="expression" dxfId="2339" priority="6">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8">
    <tabColor rgb="FF0070C0"/>
  </sheetPr>
  <dimension ref="B1:AV113"/>
  <sheetViews>
    <sheetView topLeftCell="A55" zoomScaleNormal="100" workbookViewId="0">
      <selection activeCell="A80" sqref="A80:XFD86"/>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228</v>
      </c>
      <c r="O10" s="2"/>
    </row>
    <row r="11" spans="2:24" ht="3.95" customHeight="1" x14ac:dyDescent="0.25">
      <c r="B11" s="2"/>
      <c r="D11" s="6"/>
      <c r="O11" s="2"/>
    </row>
    <row r="12" spans="2:24" ht="36" customHeight="1" x14ac:dyDescent="0.25">
      <c r="B12" s="2"/>
      <c r="D12" s="338" t="s">
        <v>5</v>
      </c>
      <c r="E12" s="339"/>
      <c r="F12" s="340" t="s">
        <v>227</v>
      </c>
      <c r="G12" s="341"/>
      <c r="H12" s="341"/>
      <c r="I12" s="341"/>
      <c r="J12" s="341"/>
      <c r="K12" s="341"/>
      <c r="L12" s="341"/>
      <c r="M12" s="342"/>
      <c r="O12" s="2"/>
      <c r="W12" s="3" t="str">
        <f>+F23</f>
        <v>Mensual</v>
      </c>
      <c r="X12" s="3" t="str">
        <f>+F71</f>
        <v>Enero</v>
      </c>
    </row>
    <row r="13" spans="2:24" ht="3.95" customHeight="1" x14ac:dyDescent="0.25">
      <c r="B13" s="2"/>
      <c r="O13" s="2"/>
    </row>
    <row r="14" spans="2:24" ht="38.25" customHeight="1" x14ac:dyDescent="0.25">
      <c r="B14" s="2"/>
      <c r="D14" s="338" t="s">
        <v>6</v>
      </c>
      <c r="E14" s="339"/>
      <c r="F14" s="340" t="s">
        <v>818</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17">
        <v>0</v>
      </c>
      <c r="G22" s="337" t="s">
        <v>9</v>
      </c>
      <c r="H22" s="337"/>
      <c r="I22" s="17">
        <v>1</v>
      </c>
      <c r="K22" s="337" t="s">
        <v>10</v>
      </c>
      <c r="L22" s="337"/>
      <c r="M22" s="9" t="s">
        <v>496</v>
      </c>
      <c r="O22" s="2"/>
    </row>
    <row r="23" spans="2:17" ht="19.5" customHeight="1" x14ac:dyDescent="0.25">
      <c r="B23" s="2"/>
      <c r="D23" s="337" t="s">
        <v>11</v>
      </c>
      <c r="E23" s="337"/>
      <c r="F23" s="4" t="s">
        <v>84</v>
      </c>
      <c r="G23" s="337" t="s">
        <v>12</v>
      </c>
      <c r="H23" s="337"/>
      <c r="I23" s="4" t="s">
        <v>497</v>
      </c>
      <c r="K23" s="337" t="s">
        <v>13</v>
      </c>
      <c r="L23" s="337"/>
      <c r="M23" s="9" t="s">
        <v>496</v>
      </c>
      <c r="O23" s="2"/>
    </row>
    <row r="24" spans="2:17" ht="20.100000000000001" customHeight="1" x14ac:dyDescent="0.25">
      <c r="B24" s="2"/>
      <c r="D24" s="337" t="s">
        <v>14</v>
      </c>
      <c r="E24" s="337"/>
      <c r="F24" s="4" t="s">
        <v>498</v>
      </c>
      <c r="G24" s="337" t="s">
        <v>15</v>
      </c>
      <c r="H24" s="337"/>
      <c r="I24" s="4" t="s">
        <v>533</v>
      </c>
      <c r="K24" s="337" t="s">
        <v>16</v>
      </c>
      <c r="L24" s="337"/>
      <c r="M24" s="9" t="s">
        <v>496</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716</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proteccion</v>
      </c>
    </row>
    <row r="31" spans="2:17" ht="24" customHeight="1" x14ac:dyDescent="0.25">
      <c r="B31" s="2"/>
      <c r="D31" s="347"/>
      <c r="E31" s="348"/>
      <c r="F31" s="4" t="s">
        <v>202</v>
      </c>
      <c r="G31" s="340" t="s">
        <v>203</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792</v>
      </c>
      <c r="G33" s="340" t="s">
        <v>719</v>
      </c>
      <c r="H33" s="341"/>
      <c r="I33" s="341"/>
      <c r="J33" s="341"/>
      <c r="K33" s="341"/>
      <c r="L33" s="341"/>
      <c r="M33" s="342"/>
      <c r="O33" s="2"/>
      <c r="Q33" s="3">
        <f>+IFERROR(IF(VLOOKUP(G33,base!$A$26:$C$40,3,FALSE)=F31,1,0),"")</f>
        <v>1</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1715</v>
      </c>
      <c r="G35" s="340" t="s">
        <v>1591</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2</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500</v>
      </c>
      <c r="G45" s="340" t="s">
        <v>512</v>
      </c>
      <c r="H45" s="341"/>
      <c r="I45" s="341"/>
      <c r="J45" s="341"/>
      <c r="K45" s="341"/>
      <c r="L45" s="341"/>
      <c r="M45" s="342"/>
      <c r="O45" s="2"/>
      <c r="Q45" s="3" t="str">
        <f>+IFERROR(VLOOKUP(G45,base!$A$41:$C$45,3,FALSE),"")</f>
        <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500</v>
      </c>
      <c r="G47" s="340" t="s">
        <v>512</v>
      </c>
      <c r="H47" s="341"/>
      <c r="I47" s="341"/>
      <c r="J47" s="341"/>
      <c r="K47" s="341"/>
      <c r="L47" s="341"/>
      <c r="M47" s="342"/>
      <c r="O47" s="2"/>
      <c r="Q47" s="3" t="e">
        <f>+IF(VLOOKUP(G47,base!$A$46:$C$66,3,FALSE)=F45,1,0)</f>
        <v>#N/A</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786</v>
      </c>
      <c r="G49" s="340" t="s">
        <v>717</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8"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47.25" customHeight="1" x14ac:dyDescent="0.25">
      <c r="B59" s="2"/>
      <c r="D59" s="337" t="s">
        <v>34</v>
      </c>
      <c r="E59" s="337"/>
      <c r="F59" s="344" t="s">
        <v>819</v>
      </c>
      <c r="G59" s="344"/>
      <c r="H59" s="344"/>
      <c r="I59" s="344"/>
      <c r="J59" s="344"/>
      <c r="K59" s="344"/>
      <c r="L59" s="344"/>
      <c r="M59" s="344"/>
      <c r="O59" s="2"/>
    </row>
    <row r="60" spans="2:15" ht="30" customHeight="1" x14ac:dyDescent="0.25">
      <c r="B60" s="2"/>
      <c r="D60" s="359" t="s">
        <v>35</v>
      </c>
      <c r="E60" s="359"/>
      <c r="F60" s="344" t="s">
        <v>820</v>
      </c>
      <c r="G60" s="344"/>
      <c r="H60" s="344"/>
      <c r="I60" s="344"/>
      <c r="J60" s="344"/>
      <c r="K60" s="344"/>
      <c r="L60" s="344"/>
      <c r="M60" s="344"/>
      <c r="O60" s="2"/>
    </row>
    <row r="61" spans="2:15" ht="29.25" customHeight="1" x14ac:dyDescent="0.25">
      <c r="B61" s="2"/>
      <c r="D61" s="359" t="s">
        <v>36</v>
      </c>
      <c r="E61" s="359"/>
      <c r="F61" s="344" t="s">
        <v>821</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43" t="s">
        <v>39</v>
      </c>
      <c r="E71" s="343"/>
      <c r="F71" s="4" t="s">
        <v>46</v>
      </c>
      <c r="G71" s="3">
        <v>1</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v>0.69899999999999995</v>
      </c>
      <c r="H75" s="16">
        <v>0.7</v>
      </c>
      <c r="I75" s="16">
        <v>0.89900000000000002</v>
      </c>
      <c r="J75" s="16">
        <v>0.9</v>
      </c>
      <c r="K75" s="16">
        <v>0.999</v>
      </c>
      <c r="L75" s="16" t="s">
        <v>500</v>
      </c>
      <c r="M75" s="16">
        <v>1</v>
      </c>
      <c r="O75" s="2"/>
      <c r="AE75" s="3" t="s">
        <v>46</v>
      </c>
      <c r="AF75" s="3">
        <v>1</v>
      </c>
      <c r="AG75" s="3">
        <f>+IF(AF75&gt;=$G$71,1,0)</f>
        <v>1</v>
      </c>
      <c r="AH75" s="3">
        <f>+IF(AG75=0,0,IF(AG75=1,(SUM($AG$75:AG75)-1),1))</f>
        <v>0</v>
      </c>
      <c r="AI75" s="3">
        <f>+IF(AH75=0,0,IF(MOD(AH75,$U$69)=0,1,0))</f>
        <v>0</v>
      </c>
      <c r="AJ75" s="3">
        <f>+IF(AE75=$F$71,1,0)</f>
        <v>1</v>
      </c>
      <c r="AK75" s="3">
        <f>+MAX(AI75:AJ75)</f>
        <v>1</v>
      </c>
    </row>
    <row r="76" spans="2:37" x14ac:dyDescent="0.25">
      <c r="B76" s="2"/>
      <c r="D76" s="360" t="s">
        <v>40</v>
      </c>
      <c r="E76" s="360"/>
      <c r="F76" s="16" t="s">
        <v>500</v>
      </c>
      <c r="G76" s="16">
        <v>0.69899999999999995</v>
      </c>
      <c r="H76" s="16">
        <v>0.7</v>
      </c>
      <c r="I76" s="16">
        <v>0.89900000000000002</v>
      </c>
      <c r="J76" s="16">
        <v>0.9</v>
      </c>
      <c r="K76" s="16">
        <v>0.999</v>
      </c>
      <c r="L76" s="16" t="s">
        <v>500</v>
      </c>
      <c r="M76" s="16">
        <v>1</v>
      </c>
      <c r="O76" s="2"/>
      <c r="AE76" s="3" t="s">
        <v>40</v>
      </c>
      <c r="AF76" s="3">
        <v>2</v>
      </c>
      <c r="AG76" s="3">
        <f t="shared" ref="AG76:AG86" si="0">+IF(AF76&gt;=$G$71,1,0)</f>
        <v>1</v>
      </c>
      <c r="AH76" s="3">
        <f>+IF(AG76=0,0,IF(AG76=1,(SUM($AG$75:AG76)-1),1))</f>
        <v>1</v>
      </c>
      <c r="AI76" s="3">
        <f t="shared" ref="AI76:AI86" si="1">+IF(AH76=0,0,IF(MOD(AH76,$U$69)=0,1,0))</f>
        <v>1</v>
      </c>
      <c r="AJ76" s="3">
        <f t="shared" ref="AJ76:AJ86" si="2">+IF(AE76=$F$71,1,0)</f>
        <v>0</v>
      </c>
      <c r="AK76" s="3">
        <f t="shared" ref="AK76:AK86" si="3">+MAX(AI76:AJ76)</f>
        <v>1</v>
      </c>
    </row>
    <row r="77" spans="2:37" x14ac:dyDescent="0.25">
      <c r="B77" s="2"/>
      <c r="D77" s="360" t="s">
        <v>47</v>
      </c>
      <c r="E77" s="360"/>
      <c r="F77" s="16" t="s">
        <v>500</v>
      </c>
      <c r="G77" s="16">
        <v>0.69899999999999995</v>
      </c>
      <c r="H77" s="16">
        <v>0.7</v>
      </c>
      <c r="I77" s="16">
        <v>0.89900000000000002</v>
      </c>
      <c r="J77" s="16">
        <v>0.9</v>
      </c>
      <c r="K77" s="16">
        <v>0.999</v>
      </c>
      <c r="L77" s="16" t="s">
        <v>500</v>
      </c>
      <c r="M77" s="16">
        <v>1</v>
      </c>
      <c r="O77" s="2"/>
      <c r="AE77" s="3" t="s">
        <v>47</v>
      </c>
      <c r="AF77" s="3">
        <v>3</v>
      </c>
      <c r="AG77" s="3">
        <f t="shared" si="0"/>
        <v>1</v>
      </c>
      <c r="AH77" s="3">
        <f>+IF(AG77=0,0,IF(AG77=1,(SUM($AG$75:AG77)-1),1))</f>
        <v>2</v>
      </c>
      <c r="AI77" s="3">
        <f t="shared" si="1"/>
        <v>1</v>
      </c>
      <c r="AJ77" s="3">
        <f t="shared" si="2"/>
        <v>0</v>
      </c>
      <c r="AK77" s="3">
        <f t="shared" si="3"/>
        <v>1</v>
      </c>
    </row>
    <row r="78" spans="2:37" x14ac:dyDescent="0.25">
      <c r="B78" s="2"/>
      <c r="D78" s="360" t="s">
        <v>48</v>
      </c>
      <c r="E78" s="360"/>
      <c r="F78" s="16" t="s">
        <v>500</v>
      </c>
      <c r="G78" s="16">
        <v>0.69899999999999995</v>
      </c>
      <c r="H78" s="16">
        <v>0.7</v>
      </c>
      <c r="I78" s="16">
        <v>0.89900000000000002</v>
      </c>
      <c r="J78" s="16">
        <v>0.9</v>
      </c>
      <c r="K78" s="16">
        <v>0.999</v>
      </c>
      <c r="L78" s="16" t="s">
        <v>500</v>
      </c>
      <c r="M78" s="16">
        <v>1</v>
      </c>
      <c r="O78" s="2"/>
      <c r="AE78" s="3" t="s">
        <v>48</v>
      </c>
      <c r="AF78" s="3">
        <v>4</v>
      </c>
      <c r="AG78" s="3">
        <f t="shared" si="0"/>
        <v>1</v>
      </c>
      <c r="AH78" s="3">
        <f>+IF(AG78=0,0,IF(AG78=1,(SUM($AG$75:AG78)-1),1))</f>
        <v>3</v>
      </c>
      <c r="AI78" s="3">
        <f t="shared" si="1"/>
        <v>1</v>
      </c>
      <c r="AJ78" s="3">
        <f t="shared" si="2"/>
        <v>0</v>
      </c>
      <c r="AK78" s="3">
        <f t="shared" si="3"/>
        <v>1</v>
      </c>
    </row>
    <row r="79" spans="2:37" x14ac:dyDescent="0.25">
      <c r="B79" s="2"/>
      <c r="D79" s="360" t="s">
        <v>49</v>
      </c>
      <c r="E79" s="360"/>
      <c r="F79" s="16" t="s">
        <v>500</v>
      </c>
      <c r="G79" s="16">
        <v>0.69899999999999995</v>
      </c>
      <c r="H79" s="16">
        <v>0.7</v>
      </c>
      <c r="I79" s="16">
        <v>0.89900000000000002</v>
      </c>
      <c r="J79" s="16">
        <v>0.9</v>
      </c>
      <c r="K79" s="16">
        <v>0.999</v>
      </c>
      <c r="L79" s="16" t="s">
        <v>500</v>
      </c>
      <c r="M79" s="16">
        <v>1</v>
      </c>
      <c r="O79" s="2"/>
      <c r="AE79" s="3" t="s">
        <v>49</v>
      </c>
      <c r="AF79" s="3">
        <v>5</v>
      </c>
      <c r="AG79" s="3">
        <f t="shared" si="0"/>
        <v>1</v>
      </c>
      <c r="AH79" s="3">
        <f>+IF(AG79=0,0,IF(AG79=1,(SUM($AG$75:AG79)-1),1))</f>
        <v>4</v>
      </c>
      <c r="AI79" s="3">
        <f t="shared" si="1"/>
        <v>1</v>
      </c>
      <c r="AJ79" s="3">
        <f t="shared" si="2"/>
        <v>0</v>
      </c>
      <c r="AK79" s="3">
        <f t="shared" si="3"/>
        <v>1</v>
      </c>
    </row>
    <row r="80" spans="2:37" x14ac:dyDescent="0.25">
      <c r="B80" s="2"/>
      <c r="D80" s="360" t="s">
        <v>50</v>
      </c>
      <c r="E80" s="360"/>
      <c r="F80" s="16" t="s">
        <v>500</v>
      </c>
      <c r="G80" s="16">
        <v>0.69899999999999995</v>
      </c>
      <c r="H80" s="16">
        <v>0.7</v>
      </c>
      <c r="I80" s="16">
        <v>0.89900000000000002</v>
      </c>
      <c r="J80" s="16">
        <v>0.9</v>
      </c>
      <c r="K80" s="16">
        <v>0.999</v>
      </c>
      <c r="L80" s="16" t="s">
        <v>500</v>
      </c>
      <c r="M80" s="16">
        <v>1</v>
      </c>
      <c r="O80" s="2"/>
      <c r="AE80" s="3" t="s">
        <v>50</v>
      </c>
      <c r="AF80" s="3">
        <v>6</v>
      </c>
      <c r="AG80" s="3">
        <f t="shared" si="0"/>
        <v>1</v>
      </c>
      <c r="AH80" s="3">
        <f>+IF(AG80=0,0,IF(AG80=1,(SUM($AG$75:AG80)-1),1))</f>
        <v>5</v>
      </c>
      <c r="AI80" s="3">
        <f t="shared" si="1"/>
        <v>1</v>
      </c>
      <c r="AJ80" s="3">
        <f t="shared" si="2"/>
        <v>0</v>
      </c>
      <c r="AK80" s="3">
        <f t="shared" si="3"/>
        <v>1</v>
      </c>
    </row>
    <row r="81" spans="2:37" x14ac:dyDescent="0.25">
      <c r="B81" s="2"/>
      <c r="D81" s="360" t="s">
        <v>53</v>
      </c>
      <c r="E81" s="360"/>
      <c r="F81" s="16" t="s">
        <v>500</v>
      </c>
      <c r="G81" s="16">
        <v>0.69899999999999995</v>
      </c>
      <c r="H81" s="16">
        <v>0.7</v>
      </c>
      <c r="I81" s="16">
        <v>0.89900000000000002</v>
      </c>
      <c r="J81" s="16">
        <v>0.9</v>
      </c>
      <c r="K81" s="16">
        <v>0.999</v>
      </c>
      <c r="L81" s="16" t="s">
        <v>500</v>
      </c>
      <c r="M81" s="16">
        <v>1</v>
      </c>
      <c r="O81" s="2"/>
      <c r="AE81" s="3" t="s">
        <v>53</v>
      </c>
      <c r="AF81" s="3">
        <v>7</v>
      </c>
      <c r="AG81" s="3">
        <f t="shared" si="0"/>
        <v>1</v>
      </c>
      <c r="AH81" s="3">
        <f>+IF(AG81=0,0,IF(AG81=1,(SUM($AG$75:AG81)-1),1))</f>
        <v>6</v>
      </c>
      <c r="AI81" s="3">
        <f t="shared" si="1"/>
        <v>1</v>
      </c>
      <c r="AJ81" s="3">
        <f t="shared" si="2"/>
        <v>0</v>
      </c>
      <c r="AK81" s="3">
        <f t="shared" si="3"/>
        <v>1</v>
      </c>
    </row>
    <row r="82" spans="2:37" x14ac:dyDescent="0.25">
      <c r="B82" s="2"/>
      <c r="D82" s="360" t="s">
        <v>54</v>
      </c>
      <c r="E82" s="360"/>
      <c r="F82" s="16" t="s">
        <v>500</v>
      </c>
      <c r="G82" s="16">
        <v>0.69899999999999995</v>
      </c>
      <c r="H82" s="16">
        <v>0.7</v>
      </c>
      <c r="I82" s="16">
        <v>0.89900000000000002</v>
      </c>
      <c r="J82" s="16">
        <v>0.9</v>
      </c>
      <c r="K82" s="16">
        <v>0.999</v>
      </c>
      <c r="L82" s="16" t="s">
        <v>500</v>
      </c>
      <c r="M82" s="16">
        <v>1</v>
      </c>
      <c r="O82" s="2"/>
      <c r="AE82" s="3" t="s">
        <v>54</v>
      </c>
      <c r="AF82" s="3">
        <v>8</v>
      </c>
      <c r="AG82" s="3">
        <f t="shared" si="0"/>
        <v>1</v>
      </c>
      <c r="AH82" s="3">
        <f>+IF(AG82=0,0,IF(AG82=1,(SUM($AG$75:AG82)-1),1))</f>
        <v>7</v>
      </c>
      <c r="AI82" s="3">
        <f t="shared" si="1"/>
        <v>1</v>
      </c>
      <c r="AJ82" s="3">
        <f t="shared" si="2"/>
        <v>0</v>
      </c>
      <c r="AK82" s="3">
        <f t="shared" si="3"/>
        <v>1</v>
      </c>
    </row>
    <row r="83" spans="2:37" x14ac:dyDescent="0.25">
      <c r="B83" s="2"/>
      <c r="D83" s="360" t="s">
        <v>55</v>
      </c>
      <c r="E83" s="360"/>
      <c r="F83" s="16" t="s">
        <v>500</v>
      </c>
      <c r="G83" s="16">
        <v>0.69899999999999995</v>
      </c>
      <c r="H83" s="16">
        <v>0.7</v>
      </c>
      <c r="I83" s="16">
        <v>0.89900000000000002</v>
      </c>
      <c r="J83" s="16">
        <v>0.9</v>
      </c>
      <c r="K83" s="16">
        <v>0.999</v>
      </c>
      <c r="L83" s="16" t="s">
        <v>500</v>
      </c>
      <c r="M83" s="16">
        <v>1</v>
      </c>
      <c r="O83" s="2"/>
      <c r="AE83" s="3" t="s">
        <v>55</v>
      </c>
      <c r="AF83" s="3">
        <v>9</v>
      </c>
      <c r="AG83" s="3">
        <f t="shared" si="0"/>
        <v>1</v>
      </c>
      <c r="AH83" s="3">
        <f>+IF(AG83=0,0,IF(AG83=1,(SUM($AG$75:AG83)-1),1))</f>
        <v>8</v>
      </c>
      <c r="AI83" s="3">
        <f t="shared" si="1"/>
        <v>1</v>
      </c>
      <c r="AJ83" s="3">
        <f t="shared" si="2"/>
        <v>0</v>
      </c>
      <c r="AK83" s="3">
        <f t="shared" si="3"/>
        <v>1</v>
      </c>
    </row>
    <row r="84" spans="2:37" x14ac:dyDescent="0.25">
      <c r="B84" s="2"/>
      <c r="D84" s="360" t="s">
        <v>56</v>
      </c>
      <c r="E84" s="360"/>
      <c r="F84" s="16" t="s">
        <v>500</v>
      </c>
      <c r="G84" s="16">
        <v>0.69899999999999995</v>
      </c>
      <c r="H84" s="16">
        <v>0.7</v>
      </c>
      <c r="I84" s="16">
        <v>0.89900000000000002</v>
      </c>
      <c r="J84" s="16">
        <v>0.9</v>
      </c>
      <c r="K84" s="16">
        <v>0.999</v>
      </c>
      <c r="L84" s="16" t="s">
        <v>500</v>
      </c>
      <c r="M84" s="16">
        <v>1</v>
      </c>
      <c r="O84" s="2"/>
      <c r="AE84" s="3" t="s">
        <v>56</v>
      </c>
      <c r="AF84" s="3">
        <v>10</v>
      </c>
      <c r="AG84" s="3">
        <f t="shared" si="0"/>
        <v>1</v>
      </c>
      <c r="AH84" s="3">
        <f>+IF(AG84=0,0,IF(AG84=1,(SUM($AG$75:AG84)-1),1))</f>
        <v>9</v>
      </c>
      <c r="AI84" s="3">
        <f t="shared" si="1"/>
        <v>1</v>
      </c>
      <c r="AJ84" s="3">
        <f t="shared" si="2"/>
        <v>0</v>
      </c>
      <c r="AK84" s="3">
        <f t="shared" si="3"/>
        <v>1</v>
      </c>
    </row>
    <row r="85" spans="2:37" x14ac:dyDescent="0.25">
      <c r="B85" s="2"/>
      <c r="D85" s="360" t="s">
        <v>57</v>
      </c>
      <c r="E85" s="360"/>
      <c r="F85" s="16" t="s">
        <v>500</v>
      </c>
      <c r="G85" s="16">
        <v>0.69899999999999995</v>
      </c>
      <c r="H85" s="16">
        <v>0.7</v>
      </c>
      <c r="I85" s="16">
        <v>0.89900000000000002</v>
      </c>
      <c r="J85" s="16">
        <v>0.9</v>
      </c>
      <c r="K85" s="16">
        <v>0.999</v>
      </c>
      <c r="L85" s="16" t="s">
        <v>500</v>
      </c>
      <c r="M85" s="16">
        <v>1</v>
      </c>
      <c r="O85" s="2"/>
      <c r="AE85" s="3" t="s">
        <v>57</v>
      </c>
      <c r="AF85" s="3">
        <v>11</v>
      </c>
      <c r="AG85" s="3">
        <f t="shared" si="0"/>
        <v>1</v>
      </c>
      <c r="AH85" s="3">
        <f>+IF(AG85=0,0,IF(AG85=1,(SUM($AG$75:AG85)-1),1))</f>
        <v>10</v>
      </c>
      <c r="AI85" s="3">
        <f t="shared" si="1"/>
        <v>1</v>
      </c>
      <c r="AJ85" s="3">
        <f t="shared" si="2"/>
        <v>0</v>
      </c>
      <c r="AK85" s="3">
        <f t="shared" si="3"/>
        <v>1</v>
      </c>
    </row>
    <row r="86" spans="2:37" x14ac:dyDescent="0.25">
      <c r="B86" s="2"/>
      <c r="D86" s="360" t="s">
        <v>58</v>
      </c>
      <c r="E86" s="360"/>
      <c r="F86" s="16" t="s">
        <v>500</v>
      </c>
      <c r="G86" s="16">
        <v>0.69899999999999995</v>
      </c>
      <c r="H86" s="16">
        <v>0.7</v>
      </c>
      <c r="I86" s="16">
        <v>0.89900000000000002</v>
      </c>
      <c r="J86" s="16">
        <v>0.9</v>
      </c>
      <c r="K86" s="16">
        <v>0.999</v>
      </c>
      <c r="L86" s="16" t="s">
        <v>500</v>
      </c>
      <c r="M86" s="16">
        <v>1</v>
      </c>
      <c r="O86" s="2"/>
      <c r="AE86" s="3" t="s">
        <v>58</v>
      </c>
      <c r="AF86" s="65">
        <v>12</v>
      </c>
      <c r="AG86" s="3">
        <f t="shared" si="0"/>
        <v>1</v>
      </c>
      <c r="AH86" s="3">
        <f>+IF(AG86=0,0,IF(AG86=1,(SUM($AG$75:AG86)-1),1))</f>
        <v>11</v>
      </c>
      <c r="AI86" s="3">
        <f t="shared" si="1"/>
        <v>1</v>
      </c>
      <c r="AJ86" s="3">
        <f t="shared" si="2"/>
        <v>0</v>
      </c>
      <c r="AK86" s="3">
        <f t="shared" si="3"/>
        <v>1</v>
      </c>
    </row>
    <row r="87" spans="2:37" ht="3.75" customHeight="1" x14ac:dyDescent="0.25">
      <c r="B87" s="2"/>
      <c r="O87" s="2"/>
    </row>
    <row r="88" spans="2:37" ht="81.75" customHeight="1" x14ac:dyDescent="0.25">
      <c r="B88" s="2"/>
      <c r="D88" s="338" t="s">
        <v>59</v>
      </c>
      <c r="E88" s="339"/>
      <c r="F88" s="340" t="s">
        <v>1778</v>
      </c>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2" customHeight="1" x14ac:dyDescent="0.25">
      <c r="B97" s="2"/>
      <c r="D97" s="359" t="s">
        <v>35</v>
      </c>
      <c r="E97" s="359"/>
      <c r="F97" s="344" t="s">
        <v>822</v>
      </c>
      <c r="G97" s="344"/>
      <c r="H97" s="344"/>
      <c r="I97" s="344"/>
      <c r="J97" s="344"/>
      <c r="K97" s="344"/>
      <c r="L97" s="344"/>
      <c r="M97" s="344"/>
      <c r="O97" s="2"/>
    </row>
    <row r="98" spans="2:15" ht="42" customHeight="1" x14ac:dyDescent="0.25">
      <c r="B98" s="2"/>
      <c r="D98" s="359" t="s">
        <v>36</v>
      </c>
      <c r="E98" s="359"/>
      <c r="F98" s="344" t="s">
        <v>822</v>
      </c>
      <c r="G98" s="344"/>
      <c r="H98" s="344"/>
      <c r="I98" s="344"/>
      <c r="J98" s="344"/>
      <c r="K98" s="344"/>
      <c r="L98" s="344"/>
      <c r="M98" s="344"/>
      <c r="O98" s="2"/>
    </row>
    <row r="99" spans="2:15" ht="3.95" customHeight="1" x14ac:dyDescent="0.25">
      <c r="B99" s="2"/>
      <c r="O99" s="2"/>
    </row>
    <row r="100" spans="2:15" ht="243.75" customHeight="1" x14ac:dyDescent="0.25">
      <c r="B100" s="2"/>
      <c r="D100" s="338" t="s">
        <v>62</v>
      </c>
      <c r="E100" s="339"/>
      <c r="F100" s="340" t="s">
        <v>727</v>
      </c>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1</v>
      </c>
      <c r="K102" s="20"/>
      <c r="O102" s="2"/>
    </row>
    <row r="103" spans="2:15" ht="19.5" customHeight="1" x14ac:dyDescent="0.25">
      <c r="B103" s="2"/>
      <c r="D103" s="331"/>
      <c r="E103" s="332"/>
      <c r="F103" s="19" t="s">
        <v>66</v>
      </c>
      <c r="G103" s="4" t="s">
        <v>228</v>
      </c>
      <c r="K103" s="21"/>
      <c r="O103" s="2"/>
    </row>
    <row r="104" spans="2:15" ht="27.75" customHeight="1" x14ac:dyDescent="0.25">
      <c r="B104" s="2"/>
      <c r="D104" s="331"/>
      <c r="E104" s="332"/>
      <c r="F104" s="19" t="s">
        <v>67</v>
      </c>
      <c r="G104" s="340" t="s">
        <v>227</v>
      </c>
      <c r="H104" s="341"/>
      <c r="I104" s="341"/>
      <c r="J104" s="341"/>
      <c r="K104" s="341"/>
      <c r="L104" s="341"/>
      <c r="M104" s="342"/>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40" t="str">
        <f>+VLOOKUP(H10,tablero!$P$5:$R$201,3,FALSE)</f>
        <v xml:space="preserve">Subdirector(a) Restablecimiento de Derechos </v>
      </c>
      <c r="H108" s="341"/>
      <c r="I108" s="341"/>
      <c r="J108" s="341"/>
      <c r="K108" s="341"/>
      <c r="L108" s="341"/>
      <c r="M108" s="342"/>
      <c r="O108" s="2"/>
    </row>
    <row r="109" spans="2:15" ht="17.25" customHeight="1" x14ac:dyDescent="0.25">
      <c r="B109" s="2"/>
      <c r="D109" s="331"/>
      <c r="E109" s="332"/>
      <c r="F109" s="19" t="s">
        <v>2042</v>
      </c>
      <c r="G109" s="340" t="str">
        <f>+IF(M23="Si","Coordinador(a) Planeación y Sistemas","")</f>
        <v>Coordinador(a) Planeación y Sistemas</v>
      </c>
      <c r="H109" s="341"/>
      <c r="I109" s="341"/>
      <c r="J109" s="341"/>
      <c r="K109" s="341"/>
      <c r="L109" s="341"/>
      <c r="M109" s="342"/>
      <c r="O109" s="2"/>
    </row>
    <row r="110" spans="2:15" ht="17.25" customHeight="1" x14ac:dyDescent="0.25">
      <c r="B110" s="2"/>
      <c r="D110" s="331"/>
      <c r="E110" s="332"/>
      <c r="F110" s="19" t="s">
        <v>2043</v>
      </c>
      <c r="G110" s="340" t="str">
        <f>+IF(M24="Si","Coordinador(a) Centro Zonal","")</f>
        <v>Coordinador(a) Centro Zonal</v>
      </c>
      <c r="H110" s="341"/>
      <c r="I110" s="341"/>
      <c r="J110" s="341"/>
      <c r="K110" s="341"/>
      <c r="L110" s="341"/>
      <c r="M110" s="342"/>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338" priority="22">
      <formula>+IF($F$43="no",1,0)</formula>
    </cfRule>
  </conditionalFormatting>
  <conditionalFormatting sqref="F32:M33">
    <cfRule type="expression" dxfId="2337" priority="21">
      <formula>+IF($Q$30="NA",1,0)</formula>
    </cfRule>
  </conditionalFormatting>
  <conditionalFormatting sqref="F33:M33">
    <cfRule type="expression" dxfId="2336" priority="20">
      <formula>+IF($Q$33=0,1,0)</formula>
    </cfRule>
  </conditionalFormatting>
  <conditionalFormatting sqref="F47:M47">
    <cfRule type="expression" dxfId="2335" priority="19">
      <formula>+IF($Q$47=0,1,0)</formula>
    </cfRule>
  </conditionalFormatting>
  <conditionalFormatting sqref="F73:G73">
    <cfRule type="cellIs" dxfId="2334" priority="16" operator="equal">
      <formula>"optimo"</formula>
    </cfRule>
    <cfRule type="cellIs" dxfId="2333" priority="17" operator="equal">
      <formula>"critico"</formula>
    </cfRule>
  </conditionalFormatting>
  <conditionalFormatting sqref="H73:I73">
    <cfRule type="cellIs" dxfId="2332" priority="14" operator="equal">
      <formula>"Adecuado"</formula>
    </cfRule>
    <cfRule type="cellIs" dxfId="2331" priority="15" operator="equal">
      <formula>"en riesgo"</formula>
    </cfRule>
  </conditionalFormatting>
  <conditionalFormatting sqref="J73:K73">
    <cfRule type="cellIs" dxfId="2330" priority="12" operator="equal">
      <formula>"Adecuado"</formula>
    </cfRule>
    <cfRule type="cellIs" dxfId="2329" priority="13" operator="equal">
      <formula>"en riesgo"</formula>
    </cfRule>
  </conditionalFormatting>
  <conditionalFormatting sqref="L73:M73">
    <cfRule type="cellIs" dxfId="2328" priority="10" operator="equal">
      <formula>"optimo"</formula>
    </cfRule>
    <cfRule type="cellIs" dxfId="2327" priority="11" operator="equal">
      <formula>"critico"</formula>
    </cfRule>
  </conditionalFormatting>
  <conditionalFormatting sqref="F75:M86">
    <cfRule type="expression" dxfId="2326" priority="9">
      <formula>+IF($AK75=0,1)</formula>
    </cfRule>
  </conditionalFormatting>
  <conditionalFormatting sqref="F103:G104">
    <cfRule type="expression" dxfId="2325" priority="8">
      <formula>+IF($G$102="No",1,0)</formula>
    </cfRule>
  </conditionalFormatting>
  <conditionalFormatting sqref="F51">
    <cfRule type="expression" dxfId="2324" priority="7">
      <formula>+IF($F$43="no",1,0)</formula>
    </cfRule>
  </conditionalFormatting>
  <conditionalFormatting sqref="I51">
    <cfRule type="expression" dxfId="2323" priority="6">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9">
    <tabColor rgb="FF0070C0"/>
  </sheetPr>
  <dimension ref="B1:AV113"/>
  <sheetViews>
    <sheetView topLeftCell="A55" zoomScaleNormal="100" workbookViewId="0">
      <selection activeCell="J86" sqref="J86:K86"/>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230</v>
      </c>
      <c r="O10" s="2"/>
    </row>
    <row r="11" spans="2:24" ht="3.95" customHeight="1" x14ac:dyDescent="0.25">
      <c r="B11" s="2"/>
      <c r="D11" s="6"/>
      <c r="O11" s="2"/>
    </row>
    <row r="12" spans="2:24" ht="36" customHeight="1" x14ac:dyDescent="0.25">
      <c r="B12" s="2"/>
      <c r="D12" s="338" t="s">
        <v>5</v>
      </c>
      <c r="E12" s="339"/>
      <c r="F12" s="340" t="s">
        <v>229</v>
      </c>
      <c r="G12" s="341"/>
      <c r="H12" s="341"/>
      <c r="I12" s="341"/>
      <c r="J12" s="341"/>
      <c r="K12" s="341"/>
      <c r="L12" s="341"/>
      <c r="M12" s="342"/>
      <c r="O12" s="2"/>
      <c r="W12" s="3" t="str">
        <f>+F23</f>
        <v>Mensual</v>
      </c>
      <c r="X12" s="3" t="str">
        <f>+F71</f>
        <v>Enero</v>
      </c>
    </row>
    <row r="13" spans="2:24" ht="3.95" customHeight="1" x14ac:dyDescent="0.25">
      <c r="B13" s="2"/>
      <c r="O13" s="2"/>
    </row>
    <row r="14" spans="2:24" ht="38.25" customHeight="1" x14ac:dyDescent="0.25">
      <c r="B14" s="2"/>
      <c r="D14" s="338" t="s">
        <v>6</v>
      </c>
      <c r="E14" s="339"/>
      <c r="F14" s="340" t="s">
        <v>813</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17">
        <v>0.7</v>
      </c>
      <c r="G22" s="337" t="s">
        <v>9</v>
      </c>
      <c r="H22" s="337"/>
      <c r="I22" s="17">
        <v>1</v>
      </c>
      <c r="K22" s="337" t="s">
        <v>10</v>
      </c>
      <c r="L22" s="337"/>
      <c r="M22" s="9" t="s">
        <v>496</v>
      </c>
      <c r="O22" s="2"/>
    </row>
    <row r="23" spans="2:17" ht="19.5" customHeight="1" x14ac:dyDescent="0.25">
      <c r="B23" s="2"/>
      <c r="D23" s="337" t="s">
        <v>11</v>
      </c>
      <c r="E23" s="337"/>
      <c r="F23" s="4" t="s">
        <v>84</v>
      </c>
      <c r="G23" s="337" t="s">
        <v>12</v>
      </c>
      <c r="H23" s="337"/>
      <c r="I23" s="4" t="s">
        <v>497</v>
      </c>
      <c r="K23" s="337" t="s">
        <v>13</v>
      </c>
      <c r="L23" s="337"/>
      <c r="M23" s="9" t="s">
        <v>496</v>
      </c>
      <c r="O23" s="2"/>
    </row>
    <row r="24" spans="2:17" ht="20.100000000000001" customHeight="1" x14ac:dyDescent="0.25">
      <c r="B24" s="2"/>
      <c r="D24" s="337" t="s">
        <v>14</v>
      </c>
      <c r="E24" s="337"/>
      <c r="F24" s="4" t="s">
        <v>498</v>
      </c>
      <c r="G24" s="337" t="s">
        <v>15</v>
      </c>
      <c r="H24" s="337"/>
      <c r="I24" s="4" t="s">
        <v>533</v>
      </c>
      <c r="K24" s="337" t="s">
        <v>16</v>
      </c>
      <c r="L24" s="337"/>
      <c r="M24" s="9" t="s">
        <v>2</v>
      </c>
      <c r="O24" s="2"/>
    </row>
    <row r="25" spans="2:17" ht="20.100000000000001" customHeight="1" x14ac:dyDescent="0.25">
      <c r="B25" s="2"/>
      <c r="D25" s="337" t="s">
        <v>17</v>
      </c>
      <c r="E25" s="337"/>
      <c r="F25" s="4" t="s">
        <v>683</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716</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proteccion</v>
      </c>
    </row>
    <row r="31" spans="2:17" ht="24" customHeight="1" x14ac:dyDescent="0.25">
      <c r="B31" s="2"/>
      <c r="D31" s="347"/>
      <c r="E31" s="348"/>
      <c r="F31" s="4" t="s">
        <v>202</v>
      </c>
      <c r="G31" s="340" t="s">
        <v>203</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792</v>
      </c>
      <c r="G33" s="340" t="s">
        <v>719</v>
      </c>
      <c r="H33" s="341"/>
      <c r="I33" s="341"/>
      <c r="J33" s="341"/>
      <c r="K33" s="341"/>
      <c r="L33" s="341"/>
      <c r="M33" s="342"/>
      <c r="O33" s="2"/>
      <c r="Q33" s="3">
        <f>+IFERROR(IF(VLOOKUP(G33,base!$A$26:$C$40,3,FALSE)=F31,1,0),"")</f>
        <v>1</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1715</v>
      </c>
      <c r="G35" s="340" t="s">
        <v>1591</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2</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500</v>
      </c>
      <c r="G45" s="340" t="s">
        <v>512</v>
      </c>
      <c r="H45" s="341"/>
      <c r="I45" s="341"/>
      <c r="J45" s="341"/>
      <c r="K45" s="341"/>
      <c r="L45" s="341"/>
      <c r="M45" s="342"/>
      <c r="O45" s="2"/>
      <c r="Q45" s="3" t="str">
        <f>+IFERROR(VLOOKUP(G45,base!$A$41:$C$45,3,FALSE),"")</f>
        <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500</v>
      </c>
      <c r="G47" s="340" t="s">
        <v>512</v>
      </c>
      <c r="H47" s="341"/>
      <c r="I47" s="341"/>
      <c r="J47" s="341"/>
      <c r="K47" s="341"/>
      <c r="L47" s="341"/>
      <c r="M47" s="342"/>
      <c r="O47" s="2"/>
      <c r="Q47" s="3" t="e">
        <f>+IF(VLOOKUP(G47,base!$A$46:$C$66,3,FALSE)=F45,1,0)</f>
        <v>#N/A</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786</v>
      </c>
      <c r="G49" s="340" t="s">
        <v>717</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8"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6.75" customHeight="1" x14ac:dyDescent="0.25">
      <c r="B59" s="2"/>
      <c r="D59" s="337" t="s">
        <v>34</v>
      </c>
      <c r="E59" s="337"/>
      <c r="F59" s="344" t="s">
        <v>814</v>
      </c>
      <c r="G59" s="344"/>
      <c r="H59" s="344"/>
      <c r="I59" s="344"/>
      <c r="J59" s="344"/>
      <c r="K59" s="344"/>
      <c r="L59" s="344"/>
      <c r="M59" s="344"/>
      <c r="O59" s="2"/>
    </row>
    <row r="60" spans="2:15" ht="30" customHeight="1" x14ac:dyDescent="0.25">
      <c r="B60" s="2"/>
      <c r="D60" s="359" t="s">
        <v>35</v>
      </c>
      <c r="E60" s="359"/>
      <c r="F60" s="344" t="s">
        <v>815</v>
      </c>
      <c r="G60" s="344"/>
      <c r="H60" s="344"/>
      <c r="I60" s="344"/>
      <c r="J60" s="344"/>
      <c r="K60" s="344"/>
      <c r="L60" s="344"/>
      <c r="M60" s="344"/>
      <c r="O60" s="2"/>
    </row>
    <row r="61" spans="2:15" ht="29.25" customHeight="1" x14ac:dyDescent="0.25">
      <c r="B61" s="2"/>
      <c r="D61" s="359" t="s">
        <v>36</v>
      </c>
      <c r="E61" s="359"/>
      <c r="F61" s="344" t="s">
        <v>816</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43" t="s">
        <v>39</v>
      </c>
      <c r="E71" s="343"/>
      <c r="F71" s="4" t="s">
        <v>46</v>
      </c>
      <c r="G71" s="3">
        <v>1</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v>1.9E-2</v>
      </c>
      <c r="H75" s="16">
        <v>0.02</v>
      </c>
      <c r="I75" s="16">
        <v>4.9000000000000002E-2</v>
      </c>
      <c r="J75" s="16">
        <v>0.05</v>
      </c>
      <c r="K75" s="16">
        <v>7.9000000000000001E-2</v>
      </c>
      <c r="L75" s="16">
        <v>0.08</v>
      </c>
      <c r="M75" s="16" t="s">
        <v>500</v>
      </c>
      <c r="O75" s="2"/>
      <c r="AE75" s="3" t="s">
        <v>46</v>
      </c>
      <c r="AF75" s="3">
        <v>1</v>
      </c>
      <c r="AG75" s="3">
        <f>+IF(AF75&gt;=$G$71,1,0)</f>
        <v>1</v>
      </c>
      <c r="AH75" s="3">
        <f>+IF(AG75=0,0,IF(AG75=1,(SUM($AG$75:AG75)-1),1))</f>
        <v>0</v>
      </c>
      <c r="AI75" s="3">
        <f>+IF(AH75=0,0,IF(MOD(AH75,$U$69)=0,1,0))</f>
        <v>0</v>
      </c>
      <c r="AJ75" s="3">
        <f>+IF(AE75=$F$71,1,0)</f>
        <v>1</v>
      </c>
      <c r="AK75" s="3">
        <f>+MAX(AI75:AJ75)</f>
        <v>1</v>
      </c>
    </row>
    <row r="76" spans="2:37" x14ac:dyDescent="0.25">
      <c r="B76" s="2"/>
      <c r="D76" s="360" t="s">
        <v>40</v>
      </c>
      <c r="E76" s="360"/>
      <c r="F76" s="16" t="s">
        <v>500</v>
      </c>
      <c r="G76" s="16">
        <v>8.8999999999999996E-2</v>
      </c>
      <c r="H76" s="16">
        <v>0.09</v>
      </c>
      <c r="I76" s="16">
        <v>0.129</v>
      </c>
      <c r="J76" s="16">
        <v>0.13</v>
      </c>
      <c r="K76" s="16">
        <v>0.159</v>
      </c>
      <c r="L76" s="16">
        <v>0.16</v>
      </c>
      <c r="M76" s="16" t="s">
        <v>500</v>
      </c>
      <c r="O76" s="2"/>
      <c r="AE76" s="3" t="s">
        <v>40</v>
      </c>
      <c r="AF76" s="3">
        <v>2</v>
      </c>
      <c r="AG76" s="3">
        <f t="shared" ref="AG76:AG86" si="0">+IF(AF76&gt;=$G$71,1,0)</f>
        <v>1</v>
      </c>
      <c r="AH76" s="3">
        <f>+IF(AG76=0,0,IF(AG76=1,(SUM($AG$75:AG76)-1),1))</f>
        <v>1</v>
      </c>
      <c r="AI76" s="3">
        <f t="shared" ref="AI76:AI86" si="1">+IF(AH76=0,0,IF(MOD(AH76,$U$69)=0,1,0))</f>
        <v>1</v>
      </c>
      <c r="AJ76" s="3">
        <f t="shared" ref="AJ76:AJ86" si="2">+IF(AE76=$F$71,1,0)</f>
        <v>0</v>
      </c>
      <c r="AK76" s="3">
        <f t="shared" ref="AK76:AK86" si="3">+MAX(AI76:AJ76)</f>
        <v>1</v>
      </c>
    </row>
    <row r="77" spans="2:37" x14ac:dyDescent="0.25">
      <c r="B77" s="2"/>
      <c r="D77" s="360" t="s">
        <v>47</v>
      </c>
      <c r="E77" s="360"/>
      <c r="F77" s="16" t="s">
        <v>500</v>
      </c>
      <c r="G77" s="16">
        <v>0.16900000000000001</v>
      </c>
      <c r="H77" s="16">
        <v>0.17</v>
      </c>
      <c r="I77" s="16">
        <v>0.20899999999999999</v>
      </c>
      <c r="J77" s="16">
        <v>0.21</v>
      </c>
      <c r="K77" s="16">
        <v>0.23899999999999999</v>
      </c>
      <c r="L77" s="16">
        <v>0.24</v>
      </c>
      <c r="M77" s="16" t="s">
        <v>500</v>
      </c>
      <c r="O77" s="2"/>
      <c r="AE77" s="3" t="s">
        <v>47</v>
      </c>
      <c r="AF77" s="3">
        <v>3</v>
      </c>
      <c r="AG77" s="3">
        <f t="shared" si="0"/>
        <v>1</v>
      </c>
      <c r="AH77" s="3">
        <f>+IF(AG77=0,0,IF(AG77=1,(SUM($AG$75:AG77)-1),1))</f>
        <v>2</v>
      </c>
      <c r="AI77" s="3">
        <f t="shared" si="1"/>
        <v>1</v>
      </c>
      <c r="AJ77" s="3">
        <f t="shared" si="2"/>
        <v>0</v>
      </c>
      <c r="AK77" s="3">
        <f t="shared" si="3"/>
        <v>1</v>
      </c>
    </row>
    <row r="78" spans="2:37" x14ac:dyDescent="0.25">
      <c r="B78" s="2"/>
      <c r="D78" s="360" t="s">
        <v>48</v>
      </c>
      <c r="E78" s="360"/>
      <c r="F78" s="16" t="s">
        <v>500</v>
      </c>
      <c r="G78" s="16">
        <v>0.249</v>
      </c>
      <c r="H78" s="16">
        <v>0.25</v>
      </c>
      <c r="I78" s="16">
        <v>0.28899999999999998</v>
      </c>
      <c r="J78" s="16">
        <v>0.28999999999999998</v>
      </c>
      <c r="K78" s="16">
        <v>0.31900000000000001</v>
      </c>
      <c r="L78" s="16">
        <v>0.32</v>
      </c>
      <c r="M78" s="16" t="s">
        <v>500</v>
      </c>
      <c r="O78" s="2"/>
      <c r="AE78" s="3" t="s">
        <v>48</v>
      </c>
      <c r="AF78" s="3">
        <v>4</v>
      </c>
      <c r="AG78" s="3">
        <f t="shared" si="0"/>
        <v>1</v>
      </c>
      <c r="AH78" s="3">
        <f>+IF(AG78=0,0,IF(AG78=1,(SUM($AG$75:AG78)-1),1))</f>
        <v>3</v>
      </c>
      <c r="AI78" s="3">
        <f t="shared" si="1"/>
        <v>1</v>
      </c>
      <c r="AJ78" s="3">
        <f t="shared" si="2"/>
        <v>0</v>
      </c>
      <c r="AK78" s="3">
        <f t="shared" si="3"/>
        <v>1</v>
      </c>
    </row>
    <row r="79" spans="2:37" x14ac:dyDescent="0.25">
      <c r="B79" s="2"/>
      <c r="D79" s="360" t="s">
        <v>49</v>
      </c>
      <c r="E79" s="360"/>
      <c r="F79" s="16" t="s">
        <v>500</v>
      </c>
      <c r="G79" s="16">
        <v>0.309</v>
      </c>
      <c r="H79" s="16">
        <v>0.31</v>
      </c>
      <c r="I79" s="16">
        <v>0.36899999999999999</v>
      </c>
      <c r="J79" s="16">
        <v>0.37</v>
      </c>
      <c r="K79" s="16">
        <v>0.39900000000000002</v>
      </c>
      <c r="L79" s="16">
        <v>0.4</v>
      </c>
      <c r="M79" s="16" t="s">
        <v>500</v>
      </c>
      <c r="O79" s="2"/>
      <c r="AE79" s="3" t="s">
        <v>49</v>
      </c>
      <c r="AF79" s="3">
        <v>5</v>
      </c>
      <c r="AG79" s="3">
        <f t="shared" si="0"/>
        <v>1</v>
      </c>
      <c r="AH79" s="3">
        <f>+IF(AG79=0,0,IF(AG79=1,(SUM($AG$75:AG79)-1),1))</f>
        <v>4</v>
      </c>
      <c r="AI79" s="3">
        <f t="shared" si="1"/>
        <v>1</v>
      </c>
      <c r="AJ79" s="3">
        <f t="shared" si="2"/>
        <v>0</v>
      </c>
      <c r="AK79" s="3">
        <f t="shared" si="3"/>
        <v>1</v>
      </c>
    </row>
    <row r="80" spans="2:37" x14ac:dyDescent="0.25">
      <c r="B80" s="2"/>
      <c r="D80" s="360" t="s">
        <v>50</v>
      </c>
      <c r="E80" s="360"/>
      <c r="F80" s="16" t="s">
        <v>500</v>
      </c>
      <c r="G80" s="16">
        <v>0.38900000000000001</v>
      </c>
      <c r="H80" s="16">
        <v>0.39</v>
      </c>
      <c r="I80" s="16">
        <v>0.44900000000000001</v>
      </c>
      <c r="J80" s="16">
        <v>0.45</v>
      </c>
      <c r="K80" s="16">
        <v>0.47899999999999998</v>
      </c>
      <c r="L80" s="16">
        <v>0.48</v>
      </c>
      <c r="M80" s="16" t="s">
        <v>500</v>
      </c>
      <c r="O80" s="2"/>
      <c r="AE80" s="3" t="s">
        <v>50</v>
      </c>
      <c r="AF80" s="3">
        <v>6</v>
      </c>
      <c r="AG80" s="3">
        <f t="shared" si="0"/>
        <v>1</v>
      </c>
      <c r="AH80" s="3">
        <f>+IF(AG80=0,0,IF(AG80=1,(SUM($AG$75:AG80)-1),1))</f>
        <v>5</v>
      </c>
      <c r="AI80" s="3">
        <f t="shared" si="1"/>
        <v>1</v>
      </c>
      <c r="AJ80" s="3">
        <f t="shared" si="2"/>
        <v>0</v>
      </c>
      <c r="AK80" s="3">
        <f t="shared" si="3"/>
        <v>1</v>
      </c>
    </row>
    <row r="81" spans="2:37" x14ac:dyDescent="0.25">
      <c r="B81" s="2"/>
      <c r="D81" s="360" t="s">
        <v>53</v>
      </c>
      <c r="E81" s="360"/>
      <c r="F81" s="16" t="s">
        <v>500</v>
      </c>
      <c r="G81" s="16">
        <v>0.499</v>
      </c>
      <c r="H81" s="16">
        <v>0.5</v>
      </c>
      <c r="I81" s="16">
        <v>0.52900000000000003</v>
      </c>
      <c r="J81" s="16">
        <v>0.53</v>
      </c>
      <c r="K81" s="16">
        <v>0.55900000000000005</v>
      </c>
      <c r="L81" s="16">
        <v>0.56000000000000005</v>
      </c>
      <c r="M81" s="16" t="s">
        <v>500</v>
      </c>
      <c r="O81" s="2"/>
      <c r="AE81" s="3" t="s">
        <v>53</v>
      </c>
      <c r="AF81" s="3">
        <v>7</v>
      </c>
      <c r="AG81" s="3">
        <f t="shared" si="0"/>
        <v>1</v>
      </c>
      <c r="AH81" s="3">
        <f>+IF(AG81=0,0,IF(AG81=1,(SUM($AG$75:AG81)-1),1))</f>
        <v>6</v>
      </c>
      <c r="AI81" s="3">
        <f t="shared" si="1"/>
        <v>1</v>
      </c>
      <c r="AJ81" s="3">
        <f t="shared" si="2"/>
        <v>0</v>
      </c>
      <c r="AK81" s="3">
        <f t="shared" si="3"/>
        <v>1</v>
      </c>
    </row>
    <row r="82" spans="2:37" x14ac:dyDescent="0.25">
      <c r="B82" s="2"/>
      <c r="D82" s="360" t="s">
        <v>54</v>
      </c>
      <c r="E82" s="360"/>
      <c r="F82" s="16" t="s">
        <v>500</v>
      </c>
      <c r="G82" s="16">
        <v>0.57899999999999996</v>
      </c>
      <c r="H82" s="16">
        <v>0.57999999999999996</v>
      </c>
      <c r="I82" s="16">
        <v>0.60899999999999999</v>
      </c>
      <c r="J82" s="16">
        <v>0.61</v>
      </c>
      <c r="K82" s="16">
        <v>0.63900000000000001</v>
      </c>
      <c r="L82" s="16">
        <v>0.64</v>
      </c>
      <c r="M82" s="16" t="s">
        <v>500</v>
      </c>
      <c r="O82" s="2"/>
      <c r="AE82" s="3" t="s">
        <v>54</v>
      </c>
      <c r="AF82" s="3">
        <v>8</v>
      </c>
      <c r="AG82" s="3">
        <f t="shared" si="0"/>
        <v>1</v>
      </c>
      <c r="AH82" s="3">
        <f>+IF(AG82=0,0,IF(AG82=1,(SUM($AG$75:AG82)-1),1))</f>
        <v>7</v>
      </c>
      <c r="AI82" s="3">
        <f t="shared" si="1"/>
        <v>1</v>
      </c>
      <c r="AJ82" s="3">
        <f t="shared" si="2"/>
        <v>0</v>
      </c>
      <c r="AK82" s="3">
        <f t="shared" si="3"/>
        <v>1</v>
      </c>
    </row>
    <row r="83" spans="2:37" x14ac:dyDescent="0.25">
      <c r="B83" s="2"/>
      <c r="D83" s="360" t="s">
        <v>55</v>
      </c>
      <c r="E83" s="360"/>
      <c r="F83" s="16" t="s">
        <v>500</v>
      </c>
      <c r="G83" s="16">
        <v>0.65900000000000003</v>
      </c>
      <c r="H83" s="16">
        <v>0.66</v>
      </c>
      <c r="I83" s="16">
        <v>0.68899999999999995</v>
      </c>
      <c r="J83" s="16">
        <v>0.69</v>
      </c>
      <c r="K83" s="16">
        <v>0.71899999999999997</v>
      </c>
      <c r="L83" s="16">
        <v>0.72</v>
      </c>
      <c r="M83" s="16" t="s">
        <v>500</v>
      </c>
      <c r="O83" s="2"/>
      <c r="AE83" s="3" t="s">
        <v>55</v>
      </c>
      <c r="AF83" s="3">
        <v>9</v>
      </c>
      <c r="AG83" s="3">
        <f t="shared" si="0"/>
        <v>1</v>
      </c>
      <c r="AH83" s="3">
        <f>+IF(AG83=0,0,IF(AG83=1,(SUM($AG$75:AG83)-1),1))</f>
        <v>8</v>
      </c>
      <c r="AI83" s="3">
        <f t="shared" si="1"/>
        <v>1</v>
      </c>
      <c r="AJ83" s="3">
        <f t="shared" si="2"/>
        <v>0</v>
      </c>
      <c r="AK83" s="3">
        <f t="shared" si="3"/>
        <v>1</v>
      </c>
    </row>
    <row r="84" spans="2:37" x14ac:dyDescent="0.25">
      <c r="B84" s="2"/>
      <c r="D84" s="360" t="s">
        <v>56</v>
      </c>
      <c r="E84" s="360"/>
      <c r="F84" s="16" t="s">
        <v>500</v>
      </c>
      <c r="G84" s="16">
        <v>0.71899999999999997</v>
      </c>
      <c r="H84" s="16">
        <v>0.72</v>
      </c>
      <c r="I84" s="16">
        <v>0.75900000000000001</v>
      </c>
      <c r="J84" s="16">
        <v>0.76</v>
      </c>
      <c r="K84" s="16">
        <v>0.79900000000000004</v>
      </c>
      <c r="L84" s="16">
        <v>0.8</v>
      </c>
      <c r="M84" s="16" t="s">
        <v>500</v>
      </c>
      <c r="O84" s="2"/>
      <c r="AE84" s="3" t="s">
        <v>56</v>
      </c>
      <c r="AF84" s="3">
        <v>10</v>
      </c>
      <c r="AG84" s="3">
        <f t="shared" si="0"/>
        <v>1</v>
      </c>
      <c r="AH84" s="3">
        <f>+IF(AG84=0,0,IF(AG84=1,(SUM($AG$75:AG84)-1),1))</f>
        <v>9</v>
      </c>
      <c r="AI84" s="3">
        <f t="shared" si="1"/>
        <v>1</v>
      </c>
      <c r="AJ84" s="3">
        <f t="shared" si="2"/>
        <v>0</v>
      </c>
      <c r="AK84" s="3">
        <f t="shared" si="3"/>
        <v>1</v>
      </c>
    </row>
    <row r="85" spans="2:37" x14ac:dyDescent="0.25">
      <c r="B85" s="2"/>
      <c r="D85" s="360" t="s">
        <v>57</v>
      </c>
      <c r="E85" s="360"/>
      <c r="F85" s="16" t="s">
        <v>500</v>
      </c>
      <c r="G85" s="16">
        <v>0.79900000000000004</v>
      </c>
      <c r="H85" s="16">
        <v>0.8</v>
      </c>
      <c r="I85" s="16">
        <v>0.83899999999999997</v>
      </c>
      <c r="J85" s="16">
        <v>0.84</v>
      </c>
      <c r="K85" s="16">
        <v>0.879</v>
      </c>
      <c r="L85" s="16">
        <v>0.88</v>
      </c>
      <c r="M85" s="16" t="s">
        <v>500</v>
      </c>
      <c r="O85" s="2"/>
      <c r="AE85" s="3" t="s">
        <v>57</v>
      </c>
      <c r="AF85" s="3">
        <v>11</v>
      </c>
      <c r="AG85" s="3">
        <f t="shared" si="0"/>
        <v>1</v>
      </c>
      <c r="AH85" s="3">
        <f>+IF(AG85=0,0,IF(AG85=1,(SUM($AG$75:AG85)-1),1))</f>
        <v>10</v>
      </c>
      <c r="AI85" s="3">
        <f t="shared" si="1"/>
        <v>1</v>
      </c>
      <c r="AJ85" s="3">
        <f t="shared" si="2"/>
        <v>0</v>
      </c>
      <c r="AK85" s="3">
        <f t="shared" si="3"/>
        <v>1</v>
      </c>
    </row>
    <row r="86" spans="2:37" x14ac:dyDescent="0.25">
      <c r="B86" s="2"/>
      <c r="D86" s="360" t="s">
        <v>58</v>
      </c>
      <c r="E86" s="360"/>
      <c r="F86" s="16" t="s">
        <v>500</v>
      </c>
      <c r="G86" s="16">
        <v>0.879</v>
      </c>
      <c r="H86" s="16">
        <v>0.88</v>
      </c>
      <c r="I86" s="16">
        <v>0.91900000000000004</v>
      </c>
      <c r="J86" s="16">
        <v>0.92</v>
      </c>
      <c r="K86" s="16">
        <v>0.999</v>
      </c>
      <c r="L86" s="16" t="s">
        <v>500</v>
      </c>
      <c r="M86" s="16">
        <v>1</v>
      </c>
      <c r="O86" s="2"/>
      <c r="AE86" s="3" t="s">
        <v>58</v>
      </c>
      <c r="AF86" s="65">
        <v>12</v>
      </c>
      <c r="AG86" s="3">
        <f t="shared" si="0"/>
        <v>1</v>
      </c>
      <c r="AH86" s="3">
        <f>+IF(AG86=0,0,IF(AG86=1,(SUM($AG$75:AG86)-1),1))</f>
        <v>11</v>
      </c>
      <c r="AI86" s="3">
        <f t="shared" si="1"/>
        <v>1</v>
      </c>
      <c r="AJ86" s="3">
        <f t="shared" si="2"/>
        <v>0</v>
      </c>
      <c r="AK86" s="3">
        <f t="shared" si="3"/>
        <v>1</v>
      </c>
    </row>
    <row r="87" spans="2:37" ht="3.75" customHeight="1" x14ac:dyDescent="0.25">
      <c r="B87" s="2"/>
      <c r="O87" s="2"/>
    </row>
    <row r="88" spans="2:37" ht="66" customHeight="1" x14ac:dyDescent="0.25">
      <c r="B88" s="2"/>
      <c r="D88" s="338" t="s">
        <v>59</v>
      </c>
      <c r="E88" s="339"/>
      <c r="F88" s="340"/>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2" customHeight="1" x14ac:dyDescent="0.25">
      <c r="B97" s="2"/>
      <c r="D97" s="359" t="s">
        <v>35</v>
      </c>
      <c r="E97" s="359"/>
      <c r="F97" s="344" t="s">
        <v>817</v>
      </c>
      <c r="G97" s="344"/>
      <c r="H97" s="344"/>
      <c r="I97" s="344"/>
      <c r="J97" s="344"/>
      <c r="K97" s="344"/>
      <c r="L97" s="344"/>
      <c r="M97" s="344"/>
      <c r="O97" s="2"/>
    </row>
    <row r="98" spans="2:15" ht="42" customHeight="1" x14ac:dyDescent="0.25">
      <c r="B98" s="2"/>
      <c r="D98" s="359" t="s">
        <v>36</v>
      </c>
      <c r="E98" s="359"/>
      <c r="F98" s="344" t="s">
        <v>817</v>
      </c>
      <c r="G98" s="344"/>
      <c r="H98" s="344"/>
      <c r="I98" s="344"/>
      <c r="J98" s="344"/>
      <c r="K98" s="344"/>
      <c r="L98" s="344"/>
      <c r="M98" s="344"/>
      <c r="O98" s="2"/>
    </row>
    <row r="99" spans="2:15" ht="3.95" customHeight="1" x14ac:dyDescent="0.25">
      <c r="B99" s="2"/>
      <c r="O99" s="2"/>
    </row>
    <row r="100" spans="2:15" ht="82.5" customHeight="1" x14ac:dyDescent="0.25">
      <c r="B100" s="2"/>
      <c r="D100" s="338" t="s">
        <v>62</v>
      </c>
      <c r="E100" s="339"/>
      <c r="F100" s="340" t="s">
        <v>731</v>
      </c>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1</v>
      </c>
      <c r="K102" s="20"/>
      <c r="O102" s="2"/>
    </row>
    <row r="103" spans="2:15" ht="19.5" customHeight="1" x14ac:dyDescent="0.25">
      <c r="B103" s="2"/>
      <c r="D103" s="331"/>
      <c r="E103" s="332"/>
      <c r="F103" s="19" t="s">
        <v>66</v>
      </c>
      <c r="G103" s="4" t="s">
        <v>232</v>
      </c>
      <c r="K103" s="21"/>
      <c r="O103" s="2"/>
    </row>
    <row r="104" spans="2:15" ht="27.75" customHeight="1" x14ac:dyDescent="0.25">
      <c r="B104" s="2"/>
      <c r="D104" s="331"/>
      <c r="E104" s="332"/>
      <c r="F104" s="19" t="s">
        <v>67</v>
      </c>
      <c r="G104" s="340" t="s">
        <v>1779</v>
      </c>
      <c r="H104" s="341"/>
      <c r="I104" s="341"/>
      <c r="J104" s="341"/>
      <c r="K104" s="341"/>
      <c r="L104" s="341"/>
      <c r="M104" s="342"/>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40" t="str">
        <f>+VLOOKUP(H10,tablero!$P$5:$R$201,3,FALSE)</f>
        <v xml:space="preserve">Subdirector(a) Restablecimiento de Derechos </v>
      </c>
      <c r="H108" s="341"/>
      <c r="I108" s="341"/>
      <c r="J108" s="341"/>
      <c r="K108" s="341"/>
      <c r="L108" s="341"/>
      <c r="M108" s="342"/>
      <c r="O108" s="2"/>
    </row>
    <row r="109" spans="2:15" ht="17.25" customHeight="1" x14ac:dyDescent="0.25">
      <c r="B109" s="2"/>
      <c r="D109" s="331"/>
      <c r="E109" s="332"/>
      <c r="F109" s="19" t="s">
        <v>2042</v>
      </c>
      <c r="G109" s="340" t="str">
        <f>+IF(M23="Si","Coordinador(a) Planeación y Sistemas","")</f>
        <v>Coordinador(a) Planeación y Sistemas</v>
      </c>
      <c r="H109" s="341"/>
      <c r="I109" s="341"/>
      <c r="J109" s="341"/>
      <c r="K109" s="341"/>
      <c r="L109" s="341"/>
      <c r="M109" s="342"/>
      <c r="O109" s="2"/>
    </row>
    <row r="110" spans="2:15" ht="17.25" customHeight="1" x14ac:dyDescent="0.25">
      <c r="B110" s="2"/>
      <c r="D110" s="331"/>
      <c r="E110" s="332"/>
      <c r="F110" s="19" t="s">
        <v>2043</v>
      </c>
      <c r="G110" s="340" t="str">
        <f>+IF(M24="Si","Coordinador(a) Centro Zonal","")</f>
        <v/>
      </c>
      <c r="H110" s="341"/>
      <c r="I110" s="341"/>
      <c r="J110" s="341"/>
      <c r="K110" s="341"/>
      <c r="L110" s="341"/>
      <c r="M110" s="342"/>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322" priority="31">
      <formula>+IF($F$43="no",1,0)</formula>
    </cfRule>
  </conditionalFormatting>
  <conditionalFormatting sqref="F32:M33">
    <cfRule type="expression" dxfId="2321" priority="30">
      <formula>+IF($Q$30="NA",1,0)</formula>
    </cfRule>
  </conditionalFormatting>
  <conditionalFormatting sqref="F33:M33">
    <cfRule type="expression" dxfId="2320" priority="29">
      <formula>+IF($Q$33=0,1,0)</formula>
    </cfRule>
  </conditionalFormatting>
  <conditionalFormatting sqref="F47:M47">
    <cfRule type="expression" dxfId="2319" priority="28">
      <formula>+IF($Q$47=0,1,0)</formula>
    </cfRule>
  </conditionalFormatting>
  <conditionalFormatting sqref="F73:G73">
    <cfRule type="cellIs" dxfId="2318" priority="14" operator="equal">
      <formula>"optimo"</formula>
    </cfRule>
    <cfRule type="cellIs" dxfId="2317" priority="15" operator="equal">
      <formula>"critico"</formula>
    </cfRule>
  </conditionalFormatting>
  <conditionalFormatting sqref="H73:I73">
    <cfRule type="cellIs" dxfId="2316" priority="12" operator="equal">
      <formula>"Adecuado"</formula>
    </cfRule>
    <cfRule type="cellIs" dxfId="2315" priority="13" operator="equal">
      <formula>"en riesgo"</formula>
    </cfRule>
  </conditionalFormatting>
  <conditionalFormatting sqref="J73:K73">
    <cfRule type="cellIs" dxfId="2314" priority="10" operator="equal">
      <formula>"Adecuado"</formula>
    </cfRule>
    <cfRule type="cellIs" dxfId="2313" priority="11" operator="equal">
      <formula>"en riesgo"</formula>
    </cfRule>
  </conditionalFormatting>
  <conditionalFormatting sqref="L73:M73">
    <cfRule type="cellIs" dxfId="2312" priority="8" operator="equal">
      <formula>"optimo"</formula>
    </cfRule>
    <cfRule type="cellIs" dxfId="2311" priority="9" operator="equal">
      <formula>"critico"</formula>
    </cfRule>
  </conditionalFormatting>
  <conditionalFormatting sqref="F75:M86">
    <cfRule type="expression" dxfId="2310" priority="7">
      <formula>+IF($AK75=0,1)</formula>
    </cfRule>
  </conditionalFormatting>
  <conditionalFormatting sqref="F103:G104">
    <cfRule type="expression" dxfId="2309" priority="6">
      <formula>+IF($G$102="No",1,0)</formula>
    </cfRule>
  </conditionalFormatting>
  <conditionalFormatting sqref="F51">
    <cfRule type="expression" dxfId="2308" priority="5">
      <formula>+IF($F$43="no",1,0)</formula>
    </cfRule>
  </conditionalFormatting>
  <conditionalFormatting sqref="I51">
    <cfRule type="expression" dxfId="2307"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0">
    <tabColor rgb="FF0070C0"/>
  </sheetPr>
  <dimension ref="B1:AV113"/>
  <sheetViews>
    <sheetView topLeftCell="A58" zoomScaleNormal="100" workbookViewId="0">
      <selection activeCell="J86" sqref="J86:K86"/>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232</v>
      </c>
      <c r="O10" s="2"/>
    </row>
    <row r="11" spans="2:24" ht="3.95" customHeight="1" x14ac:dyDescent="0.25">
      <c r="B11" s="2"/>
      <c r="D11" s="6"/>
      <c r="O11" s="2"/>
    </row>
    <row r="12" spans="2:24" ht="36" customHeight="1" x14ac:dyDescent="0.25">
      <c r="B12" s="2"/>
      <c r="D12" s="338" t="s">
        <v>5</v>
      </c>
      <c r="E12" s="339"/>
      <c r="F12" s="340" t="s">
        <v>231</v>
      </c>
      <c r="G12" s="341"/>
      <c r="H12" s="341"/>
      <c r="I12" s="341"/>
      <c r="J12" s="341"/>
      <c r="K12" s="341"/>
      <c r="L12" s="341"/>
      <c r="M12" s="342"/>
      <c r="O12" s="2"/>
      <c r="W12" s="3" t="str">
        <f>+F23</f>
        <v xml:space="preserve">Anual </v>
      </c>
      <c r="X12" s="3" t="str">
        <f>+F71</f>
        <v>Diciembre</v>
      </c>
    </row>
    <row r="13" spans="2:24" ht="3.95" customHeight="1" x14ac:dyDescent="0.25">
      <c r="B13" s="2"/>
      <c r="O13" s="2"/>
    </row>
    <row r="14" spans="2:24" ht="39.75" customHeight="1" x14ac:dyDescent="0.25">
      <c r="B14" s="2"/>
      <c r="D14" s="338" t="s">
        <v>6</v>
      </c>
      <c r="E14" s="339"/>
      <c r="F14" s="340" t="s">
        <v>807</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17">
        <v>0.96</v>
      </c>
      <c r="G22" s="337" t="s">
        <v>9</v>
      </c>
      <c r="H22" s="337"/>
      <c r="I22" s="17">
        <v>0.94</v>
      </c>
      <c r="K22" s="337" t="s">
        <v>10</v>
      </c>
      <c r="L22" s="337"/>
      <c r="M22" s="9" t="s">
        <v>496</v>
      </c>
      <c r="O22" s="2"/>
    </row>
    <row r="23" spans="2:17" ht="19.5" customHeight="1" x14ac:dyDescent="0.25">
      <c r="B23" s="2"/>
      <c r="D23" s="337" t="s">
        <v>11</v>
      </c>
      <c r="E23" s="337"/>
      <c r="F23" s="4" t="s">
        <v>808</v>
      </c>
      <c r="G23" s="337" t="s">
        <v>12</v>
      </c>
      <c r="H23" s="337"/>
      <c r="I23" s="4" t="s">
        <v>497</v>
      </c>
      <c r="K23" s="337" t="s">
        <v>13</v>
      </c>
      <c r="L23" s="337"/>
      <c r="M23" s="9" t="s">
        <v>496</v>
      </c>
      <c r="O23" s="2"/>
    </row>
    <row r="24" spans="2:17" ht="20.100000000000001" customHeight="1" x14ac:dyDescent="0.25">
      <c r="B24" s="2"/>
      <c r="D24" s="337" t="s">
        <v>14</v>
      </c>
      <c r="E24" s="337"/>
      <c r="F24" s="4" t="s">
        <v>498</v>
      </c>
      <c r="G24" s="337" t="s">
        <v>15</v>
      </c>
      <c r="H24" s="337"/>
      <c r="I24" s="4" t="s">
        <v>103</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716</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proteccion</v>
      </c>
    </row>
    <row r="31" spans="2:17" ht="24" customHeight="1" x14ac:dyDescent="0.25">
      <c r="B31" s="2"/>
      <c r="D31" s="347"/>
      <c r="E31" s="348"/>
      <c r="F31" s="4" t="s">
        <v>202</v>
      </c>
      <c r="G31" s="340" t="s">
        <v>203</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792</v>
      </c>
      <c r="G33" s="340" t="s">
        <v>719</v>
      </c>
      <c r="H33" s="341"/>
      <c r="I33" s="341"/>
      <c r="J33" s="341"/>
      <c r="K33" s="341"/>
      <c r="L33" s="341"/>
      <c r="M33" s="342"/>
      <c r="O33" s="2"/>
      <c r="Q33" s="3">
        <f>+IFERROR(IF(VLOOKUP(G33,base!$A$26:$C$40,3,FALSE)=F31,1,0),"")</f>
        <v>1</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1715</v>
      </c>
      <c r="G35" s="340" t="s">
        <v>1591</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2</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500</v>
      </c>
      <c r="G45" s="340" t="s">
        <v>512</v>
      </c>
      <c r="H45" s="341"/>
      <c r="I45" s="341"/>
      <c r="J45" s="341"/>
      <c r="K45" s="341"/>
      <c r="L45" s="341"/>
      <c r="M45" s="342"/>
      <c r="O45" s="2"/>
      <c r="Q45" s="3" t="str">
        <f>+IFERROR(VLOOKUP(G45,base!$A$41:$C$45,3,FALSE),"")</f>
        <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500</v>
      </c>
      <c r="G47" s="340" t="s">
        <v>512</v>
      </c>
      <c r="H47" s="341"/>
      <c r="I47" s="341"/>
      <c r="J47" s="341"/>
      <c r="K47" s="341"/>
      <c r="L47" s="341"/>
      <c r="M47" s="342"/>
      <c r="O47" s="2"/>
      <c r="Q47" s="3" t="e">
        <f>+IF(VLOOKUP(G47,base!$A$46:$C$66,3,FALSE)=F45,1,0)</f>
        <v>#N/A</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786</v>
      </c>
      <c r="G49" s="340" t="s">
        <v>717</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8"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3.25" customHeight="1" x14ac:dyDescent="0.25">
      <c r="B59" s="2"/>
      <c r="D59" s="337" t="s">
        <v>34</v>
      </c>
      <c r="E59" s="337"/>
      <c r="F59" s="344" t="s">
        <v>809</v>
      </c>
      <c r="G59" s="344"/>
      <c r="H59" s="344"/>
      <c r="I59" s="344"/>
      <c r="J59" s="344"/>
      <c r="K59" s="344"/>
      <c r="L59" s="344"/>
      <c r="M59" s="344"/>
      <c r="O59" s="2"/>
    </row>
    <row r="60" spans="2:15" ht="40.5" customHeight="1" x14ac:dyDescent="0.25">
      <c r="B60" s="2"/>
      <c r="D60" s="359" t="s">
        <v>35</v>
      </c>
      <c r="E60" s="359"/>
      <c r="F60" s="344" t="s">
        <v>810</v>
      </c>
      <c r="G60" s="344"/>
      <c r="H60" s="344"/>
      <c r="I60" s="344"/>
      <c r="J60" s="344"/>
      <c r="K60" s="344"/>
      <c r="L60" s="344"/>
      <c r="M60" s="344"/>
      <c r="O60" s="2"/>
    </row>
    <row r="61" spans="2:15" ht="24" customHeight="1" x14ac:dyDescent="0.25">
      <c r="B61" s="2"/>
      <c r="D61" s="359" t="s">
        <v>36</v>
      </c>
      <c r="E61" s="359"/>
      <c r="F61" s="344" t="s">
        <v>811</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t="str">
        <f>+IFERROR(VLOOKUP(F23,base!$A$1:$B$8,2,FALSE),"")</f>
        <v/>
      </c>
    </row>
    <row r="70" spans="2:37" ht="3.95" customHeight="1" x14ac:dyDescent="0.25">
      <c r="B70" s="2"/>
      <c r="D70" s="7"/>
      <c r="E70" s="7"/>
      <c r="O70" s="2"/>
    </row>
    <row r="71" spans="2:37" ht="18.75" customHeight="1" x14ac:dyDescent="0.25">
      <c r="B71" s="2"/>
      <c r="D71" s="343" t="s">
        <v>39</v>
      </c>
      <c r="E71" s="343"/>
      <c r="F71" s="4" t="s">
        <v>58</v>
      </c>
      <c r="G71" s="3">
        <v>12</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60" t="s">
        <v>50</v>
      </c>
      <c r="E80" s="360"/>
      <c r="F80" s="16" t="s">
        <v>500</v>
      </c>
      <c r="G80" s="16" t="s">
        <v>500</v>
      </c>
      <c r="H80" s="16" t="s">
        <v>500</v>
      </c>
      <c r="I80" s="16" t="s">
        <v>500</v>
      </c>
      <c r="J80" s="16" t="s">
        <v>500</v>
      </c>
      <c r="K80" s="16" t="s">
        <v>500</v>
      </c>
      <c r="L80" s="16" t="s">
        <v>500</v>
      </c>
      <c r="M80" s="16" t="s">
        <v>500</v>
      </c>
      <c r="O80" s="2"/>
      <c r="AE80" s="3" t="s">
        <v>50</v>
      </c>
      <c r="AF80" s="3">
        <v>6</v>
      </c>
      <c r="AG80" s="3">
        <f t="shared" si="0"/>
        <v>0</v>
      </c>
      <c r="AH80" s="3">
        <f>+IF(AG80=0,0,IF(AG80=1,(SUM($AG$75:AG80)-1),1))</f>
        <v>0</v>
      </c>
      <c r="AI80" s="3">
        <f t="shared" si="1"/>
        <v>0</v>
      </c>
      <c r="AJ80" s="3">
        <f t="shared" si="2"/>
        <v>0</v>
      </c>
      <c r="AK80" s="3">
        <f t="shared" si="3"/>
        <v>0</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0</v>
      </c>
      <c r="AH81" s="3">
        <f>+IF(AG81=0,0,IF(AG81=1,(SUM($AG$75:AG81)-1),1))</f>
        <v>0</v>
      </c>
      <c r="AI81" s="3">
        <f t="shared" si="1"/>
        <v>0</v>
      </c>
      <c r="AJ81" s="3">
        <f t="shared" si="2"/>
        <v>0</v>
      </c>
      <c r="AK81" s="3">
        <f t="shared" si="3"/>
        <v>0</v>
      </c>
    </row>
    <row r="82" spans="2:37" x14ac:dyDescent="0.25">
      <c r="B82" s="2"/>
      <c r="D82" s="360" t="s">
        <v>54</v>
      </c>
      <c r="E82" s="360"/>
      <c r="F82" s="16" t="s">
        <v>500</v>
      </c>
      <c r="G82" s="16" t="s">
        <v>500</v>
      </c>
      <c r="H82" s="16" t="s">
        <v>500</v>
      </c>
      <c r="I82" s="16" t="s">
        <v>500</v>
      </c>
      <c r="J82" s="16" t="s">
        <v>500</v>
      </c>
      <c r="K82" s="16" t="s">
        <v>500</v>
      </c>
      <c r="L82" s="16" t="s">
        <v>500</v>
      </c>
      <c r="M82" s="16" t="s">
        <v>500</v>
      </c>
      <c r="O82" s="2"/>
      <c r="AE82" s="3" t="s">
        <v>54</v>
      </c>
      <c r="AF82" s="3">
        <v>8</v>
      </c>
      <c r="AG82" s="3">
        <f t="shared" si="0"/>
        <v>0</v>
      </c>
      <c r="AH82" s="3">
        <f>+IF(AG82=0,0,IF(AG82=1,(SUM($AG$75:AG82)-1),1))</f>
        <v>0</v>
      </c>
      <c r="AI82" s="3">
        <f t="shared" si="1"/>
        <v>0</v>
      </c>
      <c r="AJ82" s="3">
        <f t="shared" si="2"/>
        <v>0</v>
      </c>
      <c r="AK82" s="3">
        <f t="shared" si="3"/>
        <v>0</v>
      </c>
    </row>
    <row r="83" spans="2:37" x14ac:dyDescent="0.25">
      <c r="B83" s="2"/>
      <c r="D83" s="360" t="s">
        <v>55</v>
      </c>
      <c r="E83" s="360"/>
      <c r="F83" s="16" t="s">
        <v>500</v>
      </c>
      <c r="G83" s="16" t="s">
        <v>500</v>
      </c>
      <c r="H83" s="16" t="s">
        <v>500</v>
      </c>
      <c r="I83" s="16" t="s">
        <v>500</v>
      </c>
      <c r="J83" s="16" t="s">
        <v>500</v>
      </c>
      <c r="K83" s="16" t="s">
        <v>500</v>
      </c>
      <c r="L83" s="16" t="s">
        <v>500</v>
      </c>
      <c r="M83" s="16" t="s">
        <v>500</v>
      </c>
      <c r="O83" s="2"/>
      <c r="AE83" s="3" t="s">
        <v>55</v>
      </c>
      <c r="AF83" s="3">
        <v>9</v>
      </c>
      <c r="AG83" s="3">
        <f t="shared" si="0"/>
        <v>0</v>
      </c>
      <c r="AH83" s="3">
        <f>+IF(AG83=0,0,IF(AG83=1,(SUM($AG$75:AG83)-1),1))</f>
        <v>0</v>
      </c>
      <c r="AI83" s="3">
        <f t="shared" si="1"/>
        <v>0</v>
      </c>
      <c r="AJ83" s="3">
        <f t="shared" si="2"/>
        <v>0</v>
      </c>
      <c r="AK83" s="3">
        <f t="shared" si="3"/>
        <v>0</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0</v>
      </c>
      <c r="AH84" s="3">
        <f>+IF(AG84=0,0,IF(AG84=1,(SUM($AG$75:AG84)-1),1))</f>
        <v>0</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0</v>
      </c>
      <c r="AH85" s="3">
        <f>+IF(AG85=0,0,IF(AG85=1,(SUM($AG$75:AG85)-1),1))</f>
        <v>0</v>
      </c>
      <c r="AI85" s="3">
        <f t="shared" si="1"/>
        <v>0</v>
      </c>
      <c r="AJ85" s="3">
        <f t="shared" si="2"/>
        <v>0</v>
      </c>
      <c r="AK85" s="3">
        <f t="shared" si="3"/>
        <v>0</v>
      </c>
    </row>
    <row r="86" spans="2:37" x14ac:dyDescent="0.25">
      <c r="B86" s="2"/>
      <c r="D86" s="360" t="s">
        <v>58</v>
      </c>
      <c r="E86" s="360"/>
      <c r="F86" s="16" t="s">
        <v>500</v>
      </c>
      <c r="G86" s="16">
        <v>0.89900000000000002</v>
      </c>
      <c r="H86" s="16">
        <v>0.9</v>
      </c>
      <c r="I86" s="16">
        <v>0.91900000000000004</v>
      </c>
      <c r="J86" s="16">
        <v>0.92</v>
      </c>
      <c r="K86" s="16">
        <v>0.93899999999999995</v>
      </c>
      <c r="L86" s="16">
        <v>0.94</v>
      </c>
      <c r="M86" s="16" t="s">
        <v>500</v>
      </c>
      <c r="O86" s="2"/>
      <c r="AE86" s="3" t="s">
        <v>58</v>
      </c>
      <c r="AF86" s="65">
        <v>12</v>
      </c>
      <c r="AG86" s="3">
        <f t="shared" si="0"/>
        <v>1</v>
      </c>
      <c r="AH86" s="3">
        <f>+IF(AG86=0,0,IF(AG86=1,(SUM($AG$75:AG86)-1),1))</f>
        <v>0</v>
      </c>
      <c r="AI86" s="3">
        <f t="shared" si="1"/>
        <v>0</v>
      </c>
      <c r="AJ86" s="3">
        <f t="shared" si="2"/>
        <v>1</v>
      </c>
      <c r="AK86" s="3">
        <f t="shared" si="3"/>
        <v>1</v>
      </c>
    </row>
    <row r="87" spans="2:37" ht="3.75" customHeight="1" x14ac:dyDescent="0.25">
      <c r="B87" s="2"/>
      <c r="O87" s="2"/>
    </row>
    <row r="88" spans="2:37" ht="66" customHeight="1" x14ac:dyDescent="0.25">
      <c r="B88" s="2"/>
      <c r="D88" s="338" t="s">
        <v>59</v>
      </c>
      <c r="E88" s="339"/>
      <c r="F88" s="340"/>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2" customHeight="1" x14ac:dyDescent="0.25">
      <c r="B97" s="2"/>
      <c r="D97" s="359" t="s">
        <v>35</v>
      </c>
      <c r="E97" s="359"/>
      <c r="F97" s="344" t="s">
        <v>812</v>
      </c>
      <c r="G97" s="344"/>
      <c r="H97" s="344"/>
      <c r="I97" s="344"/>
      <c r="J97" s="344"/>
      <c r="K97" s="344"/>
      <c r="L97" s="344"/>
      <c r="M97" s="344"/>
      <c r="O97" s="2"/>
    </row>
    <row r="98" spans="2:15" ht="42" customHeight="1" x14ac:dyDescent="0.25">
      <c r="B98" s="2"/>
      <c r="D98" s="359" t="s">
        <v>36</v>
      </c>
      <c r="E98" s="359"/>
      <c r="F98" s="344" t="s">
        <v>812</v>
      </c>
      <c r="G98" s="344"/>
      <c r="H98" s="344"/>
      <c r="I98" s="344"/>
      <c r="J98" s="344"/>
      <c r="K98" s="344"/>
      <c r="L98" s="344"/>
      <c r="M98" s="344"/>
      <c r="O98" s="2"/>
    </row>
    <row r="99" spans="2:15" ht="3.95" customHeight="1" x14ac:dyDescent="0.25">
      <c r="B99" s="2"/>
      <c r="O99" s="2"/>
    </row>
    <row r="100" spans="2:15" ht="118.5" customHeight="1" x14ac:dyDescent="0.25">
      <c r="B100" s="2"/>
      <c r="D100" s="338" t="s">
        <v>62</v>
      </c>
      <c r="E100" s="339"/>
      <c r="F100" s="340" t="s">
        <v>728</v>
      </c>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1</v>
      </c>
      <c r="K102" s="20"/>
      <c r="O102" s="2"/>
    </row>
    <row r="103" spans="2:15" ht="19.5" customHeight="1" x14ac:dyDescent="0.25">
      <c r="B103" s="2"/>
      <c r="D103" s="331"/>
      <c r="E103" s="332"/>
      <c r="F103" s="19" t="s">
        <v>66</v>
      </c>
      <c r="G103" s="4" t="s">
        <v>1780</v>
      </c>
      <c r="K103" s="21"/>
      <c r="O103" s="2"/>
    </row>
    <row r="104" spans="2:15" ht="40.5" customHeight="1" x14ac:dyDescent="0.25">
      <c r="B104" s="2"/>
      <c r="D104" s="331"/>
      <c r="E104" s="332"/>
      <c r="F104" s="19" t="s">
        <v>67</v>
      </c>
      <c r="G104" s="340" t="s">
        <v>231</v>
      </c>
      <c r="H104" s="341"/>
      <c r="I104" s="341"/>
      <c r="J104" s="341"/>
      <c r="K104" s="341"/>
      <c r="L104" s="341"/>
      <c r="M104" s="342"/>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40" t="str">
        <f>+VLOOKUP(H10,tablero!$P$5:$R$201,3,FALSE)</f>
        <v xml:space="preserve">Subdirector(a) Restablecimiento de Derechos </v>
      </c>
      <c r="H108" s="341"/>
      <c r="I108" s="341"/>
      <c r="J108" s="341"/>
      <c r="K108" s="341"/>
      <c r="L108" s="341"/>
      <c r="M108" s="342"/>
      <c r="O108" s="2"/>
    </row>
    <row r="109" spans="2:15" ht="17.25" customHeight="1" x14ac:dyDescent="0.25">
      <c r="B109" s="2"/>
      <c r="D109" s="331"/>
      <c r="E109" s="332"/>
      <c r="F109" s="19" t="s">
        <v>2042</v>
      </c>
      <c r="G109" s="340" t="str">
        <f>+IF(M23="Si","Coordinador(a) Planeación y Sistemas","")</f>
        <v>Coordinador(a) Planeación y Sistemas</v>
      </c>
      <c r="H109" s="341"/>
      <c r="I109" s="341"/>
      <c r="J109" s="341"/>
      <c r="K109" s="341"/>
      <c r="L109" s="341"/>
      <c r="M109" s="342"/>
      <c r="O109" s="2"/>
    </row>
    <row r="110" spans="2:15" ht="17.25" customHeight="1" x14ac:dyDescent="0.25">
      <c r="B110" s="2"/>
      <c r="D110" s="331"/>
      <c r="E110" s="332"/>
      <c r="F110" s="19" t="s">
        <v>2043</v>
      </c>
      <c r="G110" s="340" t="str">
        <f>+IF(M24="Si","Coordinador(a) Centro Zonal","")</f>
        <v/>
      </c>
      <c r="H110" s="341"/>
      <c r="I110" s="341"/>
      <c r="J110" s="341"/>
      <c r="K110" s="341"/>
      <c r="L110" s="341"/>
      <c r="M110" s="342"/>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306" priority="31">
      <formula>+IF($F$43="no",1,0)</formula>
    </cfRule>
  </conditionalFormatting>
  <conditionalFormatting sqref="F32:M33">
    <cfRule type="expression" dxfId="2305" priority="30">
      <formula>+IF($Q$30="NA",1,0)</formula>
    </cfRule>
  </conditionalFormatting>
  <conditionalFormatting sqref="F33:M33">
    <cfRule type="expression" dxfId="2304" priority="29">
      <formula>+IF($Q$33=0,1,0)</formula>
    </cfRule>
  </conditionalFormatting>
  <conditionalFormatting sqref="F47:M47">
    <cfRule type="expression" dxfId="2303" priority="28">
      <formula>+IF($Q$47=0,1,0)</formula>
    </cfRule>
  </conditionalFormatting>
  <conditionalFormatting sqref="F73:G73">
    <cfRule type="cellIs" dxfId="2302" priority="14" operator="equal">
      <formula>"optimo"</formula>
    </cfRule>
    <cfRule type="cellIs" dxfId="2301" priority="15" operator="equal">
      <formula>"critico"</formula>
    </cfRule>
  </conditionalFormatting>
  <conditionalFormatting sqref="H73:I73">
    <cfRule type="cellIs" dxfId="2300" priority="12" operator="equal">
      <formula>"Adecuado"</formula>
    </cfRule>
    <cfRule type="cellIs" dxfId="2299" priority="13" operator="equal">
      <formula>"en riesgo"</formula>
    </cfRule>
  </conditionalFormatting>
  <conditionalFormatting sqref="J73:K73">
    <cfRule type="cellIs" dxfId="2298" priority="10" operator="equal">
      <formula>"Adecuado"</formula>
    </cfRule>
    <cfRule type="cellIs" dxfId="2297" priority="11" operator="equal">
      <formula>"en riesgo"</formula>
    </cfRule>
  </conditionalFormatting>
  <conditionalFormatting sqref="L73:M73">
    <cfRule type="cellIs" dxfId="2296" priority="8" operator="equal">
      <formula>"optimo"</formula>
    </cfRule>
    <cfRule type="cellIs" dxfId="2295" priority="9" operator="equal">
      <formula>"critico"</formula>
    </cfRule>
  </conditionalFormatting>
  <conditionalFormatting sqref="F75:M86">
    <cfRule type="expression" dxfId="2294" priority="7">
      <formula>+IF($AK75=0,1)</formula>
    </cfRule>
  </conditionalFormatting>
  <conditionalFormatting sqref="F103:G104">
    <cfRule type="expression" dxfId="2293" priority="6">
      <formula>+IF($G$102="No",1,0)</formula>
    </cfRule>
  </conditionalFormatting>
  <conditionalFormatting sqref="F51">
    <cfRule type="expression" dxfId="2292" priority="5">
      <formula>+IF($F$43="no",1,0)</formula>
    </cfRule>
  </conditionalFormatting>
  <conditionalFormatting sqref="I51">
    <cfRule type="expression" dxfId="2291"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1">
    <tabColor rgb="FF0070C0"/>
  </sheetPr>
  <dimension ref="B1:AV113"/>
  <sheetViews>
    <sheetView topLeftCell="A52" zoomScaleNormal="100" workbookViewId="0">
      <selection activeCell="J80" sqref="J80:K8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234</v>
      </c>
      <c r="O10" s="2"/>
    </row>
    <row r="11" spans="2:24" ht="3.95" customHeight="1" x14ac:dyDescent="0.25">
      <c r="B11" s="2"/>
      <c r="D11" s="6"/>
      <c r="O11" s="2"/>
    </row>
    <row r="12" spans="2:24" ht="36" customHeight="1" x14ac:dyDescent="0.25">
      <c r="B12" s="2"/>
      <c r="D12" s="338" t="s">
        <v>5</v>
      </c>
      <c r="E12" s="339"/>
      <c r="F12" s="340" t="s">
        <v>233</v>
      </c>
      <c r="G12" s="341"/>
      <c r="H12" s="341"/>
      <c r="I12" s="341"/>
      <c r="J12" s="341"/>
      <c r="K12" s="341"/>
      <c r="L12" s="341"/>
      <c r="M12" s="342"/>
      <c r="O12" s="2"/>
      <c r="W12" s="3" t="str">
        <f>+F23</f>
        <v>Trimestral</v>
      </c>
      <c r="X12" s="3" t="str">
        <f>+F71</f>
        <v>Marzo</v>
      </c>
    </row>
    <row r="13" spans="2:24" ht="3.95" customHeight="1" x14ac:dyDescent="0.25">
      <c r="B13" s="2"/>
      <c r="O13" s="2"/>
    </row>
    <row r="14" spans="2:24" ht="41.25" customHeight="1" x14ac:dyDescent="0.25">
      <c r="B14" s="2"/>
      <c r="D14" s="338" t="s">
        <v>6</v>
      </c>
      <c r="E14" s="339"/>
      <c r="F14" s="340" t="s">
        <v>802</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17">
        <v>0.96</v>
      </c>
      <c r="G22" s="337" t="s">
        <v>9</v>
      </c>
      <c r="H22" s="337"/>
      <c r="I22" s="17">
        <v>1</v>
      </c>
      <c r="K22" s="337" t="s">
        <v>10</v>
      </c>
      <c r="L22" s="337"/>
      <c r="M22" s="9" t="s">
        <v>496</v>
      </c>
      <c r="O22" s="2"/>
    </row>
    <row r="23" spans="2:17" ht="19.5" customHeight="1" x14ac:dyDescent="0.25">
      <c r="B23" s="2"/>
      <c r="D23" s="337" t="s">
        <v>11</v>
      </c>
      <c r="E23" s="337"/>
      <c r="F23" s="4" t="s">
        <v>71</v>
      </c>
      <c r="G23" s="337" t="s">
        <v>12</v>
      </c>
      <c r="H23" s="337"/>
      <c r="I23" s="4" t="s">
        <v>497</v>
      </c>
      <c r="K23" s="337" t="s">
        <v>13</v>
      </c>
      <c r="L23" s="337"/>
      <c r="M23" s="9" t="s">
        <v>496</v>
      </c>
      <c r="O23" s="2"/>
    </row>
    <row r="24" spans="2:17" ht="20.100000000000001" customHeight="1" x14ac:dyDescent="0.25">
      <c r="B24" s="2"/>
      <c r="D24" s="337" t="s">
        <v>14</v>
      </c>
      <c r="E24" s="337"/>
      <c r="F24" s="4" t="s">
        <v>498</v>
      </c>
      <c r="G24" s="337" t="s">
        <v>15</v>
      </c>
      <c r="H24" s="337"/>
      <c r="I24" s="4" t="s">
        <v>103</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716</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proteccion</v>
      </c>
    </row>
    <row r="31" spans="2:17" ht="24" customHeight="1" x14ac:dyDescent="0.25">
      <c r="B31" s="2"/>
      <c r="D31" s="347"/>
      <c r="E31" s="348"/>
      <c r="F31" s="4" t="s">
        <v>202</v>
      </c>
      <c r="G31" s="340" t="s">
        <v>203</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792</v>
      </c>
      <c r="G33" s="340" t="s">
        <v>719</v>
      </c>
      <c r="H33" s="341"/>
      <c r="I33" s="341"/>
      <c r="J33" s="341"/>
      <c r="K33" s="341"/>
      <c r="L33" s="341"/>
      <c r="M33" s="342"/>
      <c r="O33" s="2"/>
      <c r="Q33" s="3">
        <f>+IFERROR(IF(VLOOKUP(G33,base!$A$26:$C$40,3,FALSE)=F31,1,0),"")</f>
        <v>1</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1715</v>
      </c>
      <c r="G35" s="340" t="s">
        <v>1591</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2</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500</v>
      </c>
      <c r="G45" s="340" t="s">
        <v>512</v>
      </c>
      <c r="H45" s="341"/>
      <c r="I45" s="341"/>
      <c r="J45" s="341"/>
      <c r="K45" s="341"/>
      <c r="L45" s="341"/>
      <c r="M45" s="342"/>
      <c r="O45" s="2"/>
      <c r="Q45" s="3" t="str">
        <f>+IFERROR(VLOOKUP(G45,base!$A$41:$C$45,3,FALSE),"")</f>
        <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500</v>
      </c>
      <c r="G47" s="340" t="s">
        <v>512</v>
      </c>
      <c r="H47" s="341"/>
      <c r="I47" s="341"/>
      <c r="J47" s="341"/>
      <c r="K47" s="341"/>
      <c r="L47" s="341"/>
      <c r="M47" s="342"/>
      <c r="O47" s="2"/>
      <c r="Q47" s="3" t="e">
        <f>+IF(VLOOKUP(G47,base!$A$46:$C$66,3,FALSE)=F45,1,0)</f>
        <v>#N/A</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786</v>
      </c>
      <c r="G49" s="340" t="s">
        <v>717</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8"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1.75" customHeight="1" x14ac:dyDescent="0.25">
      <c r="B59" s="2"/>
      <c r="D59" s="337" t="s">
        <v>34</v>
      </c>
      <c r="E59" s="337"/>
      <c r="F59" s="344" t="s">
        <v>803</v>
      </c>
      <c r="G59" s="344"/>
      <c r="H59" s="344"/>
      <c r="I59" s="344"/>
      <c r="J59" s="344"/>
      <c r="K59" s="344"/>
      <c r="L59" s="344"/>
      <c r="M59" s="344"/>
      <c r="O59" s="2"/>
    </row>
    <row r="60" spans="2:15" ht="30" customHeight="1" x14ac:dyDescent="0.25">
      <c r="B60" s="2"/>
      <c r="D60" s="359" t="s">
        <v>35</v>
      </c>
      <c r="E60" s="359"/>
      <c r="F60" s="344" t="s">
        <v>804</v>
      </c>
      <c r="G60" s="344"/>
      <c r="H60" s="344"/>
      <c r="I60" s="344"/>
      <c r="J60" s="344"/>
      <c r="K60" s="344"/>
      <c r="L60" s="344"/>
      <c r="M60" s="344"/>
      <c r="O60" s="2"/>
    </row>
    <row r="61" spans="2:15" ht="29.25" customHeight="1" x14ac:dyDescent="0.25">
      <c r="B61" s="2"/>
      <c r="D61" s="359" t="s">
        <v>36</v>
      </c>
      <c r="E61" s="359"/>
      <c r="F61" s="344" t="s">
        <v>805</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43" t="s">
        <v>39</v>
      </c>
      <c r="E71" s="343"/>
      <c r="F71" s="4" t="s">
        <v>47</v>
      </c>
      <c r="G71" s="3">
        <v>3</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v>0.79900000000000004</v>
      </c>
      <c r="H77" s="16">
        <v>0.8</v>
      </c>
      <c r="I77" s="16">
        <v>0.89900000000000002</v>
      </c>
      <c r="J77" s="16">
        <v>0.9</v>
      </c>
      <c r="K77" s="16">
        <v>0.999</v>
      </c>
      <c r="L77" s="16" t="s">
        <v>500</v>
      </c>
      <c r="M77" s="16">
        <v>1</v>
      </c>
      <c r="O77" s="2"/>
      <c r="AE77" s="3" t="s">
        <v>47</v>
      </c>
      <c r="AF77" s="3">
        <v>3</v>
      </c>
      <c r="AG77" s="3">
        <f t="shared" si="0"/>
        <v>1</v>
      </c>
      <c r="AH77" s="3">
        <f>+IF(AG77=0,0,IF(AG77=1,(SUM($AG$75:AG77)-1),1))</f>
        <v>0</v>
      </c>
      <c r="AI77" s="3">
        <f t="shared" si="1"/>
        <v>0</v>
      </c>
      <c r="AJ77" s="3">
        <f t="shared" si="2"/>
        <v>1</v>
      </c>
      <c r="AK77" s="3">
        <f t="shared" si="3"/>
        <v>1</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2</v>
      </c>
      <c r="AI79" s="3">
        <f t="shared" si="1"/>
        <v>0</v>
      </c>
      <c r="AJ79" s="3">
        <f t="shared" si="2"/>
        <v>0</v>
      </c>
      <c r="AK79" s="3">
        <f t="shared" si="3"/>
        <v>0</v>
      </c>
    </row>
    <row r="80" spans="2:37" x14ac:dyDescent="0.25">
      <c r="B80" s="2"/>
      <c r="D80" s="360" t="s">
        <v>50</v>
      </c>
      <c r="E80" s="360"/>
      <c r="F80" s="16" t="s">
        <v>500</v>
      </c>
      <c r="G80" s="16">
        <v>0.79900000000000004</v>
      </c>
      <c r="H80" s="16">
        <v>0.8</v>
      </c>
      <c r="I80" s="16">
        <v>0.89900000000000002</v>
      </c>
      <c r="J80" s="16">
        <v>0.9</v>
      </c>
      <c r="K80" s="16">
        <v>0.999</v>
      </c>
      <c r="L80" s="16" t="s">
        <v>500</v>
      </c>
      <c r="M80" s="16">
        <v>1</v>
      </c>
      <c r="O80" s="2"/>
      <c r="AE80" s="3" t="s">
        <v>50</v>
      </c>
      <c r="AF80" s="3">
        <v>6</v>
      </c>
      <c r="AG80" s="3">
        <f t="shared" si="0"/>
        <v>1</v>
      </c>
      <c r="AH80" s="3">
        <f>+IF(AG80=0,0,IF(AG80=1,(SUM($AG$75:AG80)-1),1))</f>
        <v>3</v>
      </c>
      <c r="AI80" s="3">
        <f t="shared" si="1"/>
        <v>1</v>
      </c>
      <c r="AJ80" s="3">
        <f t="shared" si="2"/>
        <v>0</v>
      </c>
      <c r="AK80" s="3">
        <f t="shared" si="3"/>
        <v>1</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4</v>
      </c>
      <c r="AI81" s="3">
        <f t="shared" si="1"/>
        <v>0</v>
      </c>
      <c r="AJ81" s="3">
        <f t="shared" si="2"/>
        <v>0</v>
      </c>
      <c r="AK81" s="3">
        <f t="shared" si="3"/>
        <v>0</v>
      </c>
    </row>
    <row r="82" spans="2:37" x14ac:dyDescent="0.25">
      <c r="B82" s="2"/>
      <c r="D82" s="360" t="s">
        <v>54</v>
      </c>
      <c r="E82" s="360"/>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60" t="s">
        <v>55</v>
      </c>
      <c r="E83" s="360"/>
      <c r="F83" s="16" t="s">
        <v>500</v>
      </c>
      <c r="G83" s="16">
        <v>0.79900000000000004</v>
      </c>
      <c r="H83" s="16">
        <v>0.8</v>
      </c>
      <c r="I83" s="16">
        <v>0.89900000000000002</v>
      </c>
      <c r="J83" s="16">
        <v>0.9</v>
      </c>
      <c r="K83" s="16">
        <v>0.999</v>
      </c>
      <c r="L83" s="16" t="s">
        <v>500</v>
      </c>
      <c r="M83" s="16">
        <v>1</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60" t="s">
        <v>58</v>
      </c>
      <c r="E86" s="360"/>
      <c r="F86" s="16" t="s">
        <v>500</v>
      </c>
      <c r="G86" s="16">
        <v>0.79900000000000004</v>
      </c>
      <c r="H86" s="16">
        <v>0.8</v>
      </c>
      <c r="I86" s="16">
        <v>0.89900000000000002</v>
      </c>
      <c r="J86" s="16">
        <v>0.9</v>
      </c>
      <c r="K86" s="16">
        <v>0.999</v>
      </c>
      <c r="L86" s="16" t="s">
        <v>500</v>
      </c>
      <c r="M86" s="16">
        <v>1</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66" customHeight="1" x14ac:dyDescent="0.25">
      <c r="B88" s="2"/>
      <c r="D88" s="338" t="s">
        <v>59</v>
      </c>
      <c r="E88" s="339"/>
      <c r="F88" s="340"/>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2" customHeight="1" x14ac:dyDescent="0.25">
      <c r="B97" s="2"/>
      <c r="D97" s="359" t="s">
        <v>35</v>
      </c>
      <c r="E97" s="359"/>
      <c r="F97" s="344" t="s">
        <v>806</v>
      </c>
      <c r="G97" s="344"/>
      <c r="H97" s="344"/>
      <c r="I97" s="344"/>
      <c r="J97" s="344"/>
      <c r="K97" s="344"/>
      <c r="L97" s="344"/>
      <c r="M97" s="344"/>
      <c r="O97" s="2"/>
    </row>
    <row r="98" spans="2:15" ht="42" customHeight="1" x14ac:dyDescent="0.25">
      <c r="B98" s="2"/>
      <c r="D98" s="359" t="s">
        <v>36</v>
      </c>
      <c r="E98" s="359"/>
      <c r="F98" s="344" t="s">
        <v>806</v>
      </c>
      <c r="G98" s="344"/>
      <c r="H98" s="344"/>
      <c r="I98" s="344"/>
      <c r="J98" s="344"/>
      <c r="K98" s="344"/>
      <c r="L98" s="344"/>
      <c r="M98" s="344"/>
      <c r="O98" s="2"/>
    </row>
    <row r="99" spans="2:15" ht="3.95" customHeight="1" x14ac:dyDescent="0.25">
      <c r="B99" s="2"/>
      <c r="O99" s="2"/>
    </row>
    <row r="100" spans="2:15" ht="129.75" customHeight="1" x14ac:dyDescent="0.25">
      <c r="B100" s="2"/>
      <c r="D100" s="338" t="s">
        <v>62</v>
      </c>
      <c r="E100" s="339"/>
      <c r="F100" s="340" t="s">
        <v>729</v>
      </c>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1</v>
      </c>
      <c r="K102" s="20"/>
      <c r="O102" s="2"/>
    </row>
    <row r="103" spans="2:15" ht="19.5" customHeight="1" x14ac:dyDescent="0.25">
      <c r="B103" s="2"/>
      <c r="D103" s="331"/>
      <c r="E103" s="332"/>
      <c r="F103" s="19" t="s">
        <v>66</v>
      </c>
      <c r="G103" s="4" t="s">
        <v>1781</v>
      </c>
      <c r="K103" s="21"/>
      <c r="O103" s="2"/>
    </row>
    <row r="104" spans="2:15" ht="27.75" customHeight="1" x14ac:dyDescent="0.25">
      <c r="B104" s="2"/>
      <c r="D104" s="331"/>
      <c r="E104" s="332"/>
      <c r="F104" s="19" t="s">
        <v>67</v>
      </c>
      <c r="G104" s="340" t="s">
        <v>233</v>
      </c>
      <c r="H104" s="341"/>
      <c r="I104" s="341"/>
      <c r="J104" s="341"/>
      <c r="K104" s="341"/>
      <c r="L104" s="341"/>
      <c r="M104" s="342"/>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40" t="str">
        <f>+VLOOKUP(H10,tablero!$P$5:$R$201,3,FALSE)</f>
        <v xml:space="preserve">Subdirector(a) Restablecimiento de Derechos </v>
      </c>
      <c r="H108" s="341"/>
      <c r="I108" s="341"/>
      <c r="J108" s="341"/>
      <c r="K108" s="341"/>
      <c r="L108" s="341"/>
      <c r="M108" s="342"/>
      <c r="O108" s="2"/>
    </row>
    <row r="109" spans="2:15" ht="17.25" customHeight="1" x14ac:dyDescent="0.25">
      <c r="B109" s="2"/>
      <c r="D109" s="331"/>
      <c r="E109" s="332"/>
      <c r="F109" s="19" t="s">
        <v>2042</v>
      </c>
      <c r="G109" s="340" t="str">
        <f>+IF(M23="Si","Coordinador(a) Planeación y Sistemas","")</f>
        <v>Coordinador(a) Planeación y Sistemas</v>
      </c>
      <c r="H109" s="341"/>
      <c r="I109" s="341"/>
      <c r="J109" s="341"/>
      <c r="K109" s="341"/>
      <c r="L109" s="341"/>
      <c r="M109" s="342"/>
      <c r="O109" s="2"/>
    </row>
    <row r="110" spans="2:15" ht="17.25" customHeight="1" x14ac:dyDescent="0.25">
      <c r="B110" s="2"/>
      <c r="D110" s="331"/>
      <c r="E110" s="332"/>
      <c r="F110" s="19" t="s">
        <v>2043</v>
      </c>
      <c r="G110" s="340" t="str">
        <f>+IF(M24="Si","Coordinador(a) Centro Zonal","")</f>
        <v/>
      </c>
      <c r="H110" s="341"/>
      <c r="I110" s="341"/>
      <c r="J110" s="341"/>
      <c r="K110" s="341"/>
      <c r="L110" s="341"/>
      <c r="M110" s="342"/>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290" priority="31">
      <formula>+IF($F$43="no",1,0)</formula>
    </cfRule>
  </conditionalFormatting>
  <conditionalFormatting sqref="F32:M33">
    <cfRule type="expression" dxfId="2289" priority="30">
      <formula>+IF($Q$30="NA",1,0)</formula>
    </cfRule>
  </conditionalFormatting>
  <conditionalFormatting sqref="F33:M33">
    <cfRule type="expression" dxfId="2288" priority="29">
      <formula>+IF($Q$33=0,1,0)</formula>
    </cfRule>
  </conditionalFormatting>
  <conditionalFormatting sqref="F47:M47">
    <cfRule type="expression" dxfId="2287" priority="28">
      <formula>+IF($Q$47=0,1,0)</formula>
    </cfRule>
  </conditionalFormatting>
  <conditionalFormatting sqref="F73:G73">
    <cfRule type="cellIs" dxfId="2286" priority="17" operator="equal">
      <formula>"optimo"</formula>
    </cfRule>
    <cfRule type="cellIs" dxfId="2285" priority="18" operator="equal">
      <formula>"critico"</formula>
    </cfRule>
  </conditionalFormatting>
  <conditionalFormatting sqref="H73:I73">
    <cfRule type="cellIs" dxfId="2284" priority="15" operator="equal">
      <formula>"Adecuado"</formula>
    </cfRule>
    <cfRule type="cellIs" dxfId="2283" priority="16" operator="equal">
      <formula>"en riesgo"</formula>
    </cfRule>
  </conditionalFormatting>
  <conditionalFormatting sqref="J73:K73">
    <cfRule type="cellIs" dxfId="2282" priority="13" operator="equal">
      <formula>"Adecuado"</formula>
    </cfRule>
    <cfRule type="cellIs" dxfId="2281" priority="14" operator="equal">
      <formula>"en riesgo"</formula>
    </cfRule>
  </conditionalFormatting>
  <conditionalFormatting sqref="L73:M73">
    <cfRule type="cellIs" dxfId="2280" priority="11" operator="equal">
      <formula>"optimo"</formula>
    </cfRule>
    <cfRule type="cellIs" dxfId="2279" priority="12" operator="equal">
      <formula>"critico"</formula>
    </cfRule>
  </conditionalFormatting>
  <conditionalFormatting sqref="F75:M86">
    <cfRule type="expression" dxfId="2278" priority="10">
      <formula>+IF($AK75=0,1)</formula>
    </cfRule>
  </conditionalFormatting>
  <conditionalFormatting sqref="F103:G104">
    <cfRule type="expression" dxfId="2277" priority="9">
      <formula>+IF($G$102="No",1,0)</formula>
    </cfRule>
  </conditionalFormatting>
  <conditionalFormatting sqref="F51">
    <cfRule type="expression" dxfId="2276" priority="8">
      <formula>+IF($F$43="no",1,0)</formula>
    </cfRule>
  </conditionalFormatting>
  <conditionalFormatting sqref="I51">
    <cfRule type="expression" dxfId="2275" priority="7">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2">
    <tabColor rgb="FF0070C0"/>
  </sheetPr>
  <dimension ref="B1:AV113"/>
  <sheetViews>
    <sheetView topLeftCell="A58" zoomScaleNormal="100" workbookViewId="0">
      <selection activeCell="J80" sqref="J80:K8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236</v>
      </c>
      <c r="O10" s="2"/>
    </row>
    <row r="11" spans="2:24" ht="3.95" customHeight="1" x14ac:dyDescent="0.25">
      <c r="B11" s="2"/>
      <c r="D11" s="6"/>
      <c r="O11" s="2"/>
    </row>
    <row r="12" spans="2:24" ht="36" customHeight="1" x14ac:dyDescent="0.25">
      <c r="B12" s="2"/>
      <c r="D12" s="338" t="s">
        <v>5</v>
      </c>
      <c r="E12" s="339"/>
      <c r="F12" s="340" t="s">
        <v>235</v>
      </c>
      <c r="G12" s="341"/>
      <c r="H12" s="341"/>
      <c r="I12" s="341"/>
      <c r="J12" s="341"/>
      <c r="K12" s="341"/>
      <c r="L12" s="341"/>
      <c r="M12" s="342"/>
      <c r="O12" s="2"/>
      <c r="W12" s="3" t="str">
        <f>+F23</f>
        <v>Trimestral</v>
      </c>
      <c r="X12" s="3" t="str">
        <f>+F71</f>
        <v>Marzo</v>
      </c>
    </row>
    <row r="13" spans="2:24" ht="3.95" customHeight="1" x14ac:dyDescent="0.25">
      <c r="B13" s="2"/>
      <c r="O13" s="2"/>
    </row>
    <row r="14" spans="2:24" ht="37.5" customHeight="1" x14ac:dyDescent="0.25">
      <c r="B14" s="2"/>
      <c r="D14" s="338" t="s">
        <v>6</v>
      </c>
      <c r="E14" s="339"/>
      <c r="F14" s="340" t="s">
        <v>797</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17">
        <v>0.23</v>
      </c>
      <c r="G22" s="337" t="s">
        <v>9</v>
      </c>
      <c r="H22" s="337"/>
      <c r="I22" s="17">
        <v>0.8</v>
      </c>
      <c r="K22" s="337" t="s">
        <v>10</v>
      </c>
      <c r="L22" s="337"/>
      <c r="M22" s="9" t="s">
        <v>496</v>
      </c>
      <c r="O22" s="2"/>
    </row>
    <row r="23" spans="2:17" ht="19.5" customHeight="1" x14ac:dyDescent="0.25">
      <c r="B23" s="2"/>
      <c r="D23" s="337" t="s">
        <v>11</v>
      </c>
      <c r="E23" s="337"/>
      <c r="F23" s="4" t="s">
        <v>71</v>
      </c>
      <c r="G23" s="337" t="s">
        <v>12</v>
      </c>
      <c r="H23" s="337"/>
      <c r="I23" s="4" t="s">
        <v>497</v>
      </c>
      <c r="K23" s="337" t="s">
        <v>13</v>
      </c>
      <c r="L23" s="337"/>
      <c r="M23" s="9" t="s">
        <v>496</v>
      </c>
      <c r="O23" s="2"/>
    </row>
    <row r="24" spans="2:17" ht="20.100000000000001" customHeight="1" x14ac:dyDescent="0.25">
      <c r="B24" s="2"/>
      <c r="D24" s="337" t="s">
        <v>14</v>
      </c>
      <c r="E24" s="337"/>
      <c r="F24" s="4" t="s">
        <v>498</v>
      </c>
      <c r="G24" s="337" t="s">
        <v>15</v>
      </c>
      <c r="H24" s="337"/>
      <c r="I24" s="4" t="s">
        <v>103</v>
      </c>
      <c r="K24" s="337" t="s">
        <v>16</v>
      </c>
      <c r="L24" s="337"/>
      <c r="M24" s="9" t="s">
        <v>496</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716</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proteccion</v>
      </c>
    </row>
    <row r="31" spans="2:17" ht="24" customHeight="1" x14ac:dyDescent="0.25">
      <c r="B31" s="2"/>
      <c r="D31" s="347"/>
      <c r="E31" s="348"/>
      <c r="F31" s="4" t="s">
        <v>202</v>
      </c>
      <c r="G31" s="340" t="s">
        <v>203</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792</v>
      </c>
      <c r="G33" s="340" t="s">
        <v>719</v>
      </c>
      <c r="H33" s="341"/>
      <c r="I33" s="341"/>
      <c r="J33" s="341"/>
      <c r="K33" s="341"/>
      <c r="L33" s="341"/>
      <c r="M33" s="342"/>
      <c r="O33" s="2"/>
      <c r="Q33" s="3">
        <f>+IFERROR(IF(VLOOKUP(G33,base!$A$26:$C$40,3,FALSE)=F31,1,0),"")</f>
        <v>1</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1715</v>
      </c>
      <c r="G35" s="340" t="s">
        <v>1591</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2</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500</v>
      </c>
      <c r="G45" s="340" t="s">
        <v>512</v>
      </c>
      <c r="H45" s="341"/>
      <c r="I45" s="341"/>
      <c r="J45" s="341"/>
      <c r="K45" s="341"/>
      <c r="L45" s="341"/>
      <c r="M45" s="342"/>
      <c r="O45" s="2"/>
      <c r="Q45" s="3" t="str">
        <f>+IFERROR(VLOOKUP(G45,base!$A$41:$C$45,3,FALSE),"")</f>
        <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500</v>
      </c>
      <c r="G47" s="340" t="s">
        <v>512</v>
      </c>
      <c r="H47" s="341"/>
      <c r="I47" s="341"/>
      <c r="J47" s="341"/>
      <c r="K47" s="341"/>
      <c r="L47" s="341"/>
      <c r="M47" s="342"/>
      <c r="O47" s="2"/>
      <c r="Q47" s="3" t="e">
        <f>+IF(VLOOKUP(G47,base!$A$46:$C$66,3,FALSE)=F45,1,0)</f>
        <v>#N/A</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786</v>
      </c>
      <c r="G49" s="340" t="s">
        <v>717</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8"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47.25" customHeight="1" x14ac:dyDescent="0.25">
      <c r="B59" s="2"/>
      <c r="D59" s="337" t="s">
        <v>34</v>
      </c>
      <c r="E59" s="337"/>
      <c r="F59" s="344" t="s">
        <v>798</v>
      </c>
      <c r="G59" s="344"/>
      <c r="H59" s="344"/>
      <c r="I59" s="344"/>
      <c r="J59" s="344"/>
      <c r="K59" s="344"/>
      <c r="L59" s="344"/>
      <c r="M59" s="344"/>
      <c r="O59" s="2"/>
    </row>
    <row r="60" spans="2:15" ht="30" customHeight="1" x14ac:dyDescent="0.25">
      <c r="B60" s="2"/>
      <c r="D60" s="359" t="s">
        <v>35</v>
      </c>
      <c r="E60" s="359"/>
      <c r="F60" s="344" t="s">
        <v>799</v>
      </c>
      <c r="G60" s="344"/>
      <c r="H60" s="344"/>
      <c r="I60" s="344"/>
      <c r="J60" s="344"/>
      <c r="K60" s="344"/>
      <c r="L60" s="344"/>
      <c r="M60" s="344"/>
      <c r="O60" s="2"/>
    </row>
    <row r="61" spans="2:15" ht="29.25" customHeight="1" x14ac:dyDescent="0.25">
      <c r="B61" s="2"/>
      <c r="D61" s="359" t="s">
        <v>36</v>
      </c>
      <c r="E61" s="359"/>
      <c r="F61" s="344" t="s">
        <v>800</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43" t="s">
        <v>39</v>
      </c>
      <c r="E71" s="343"/>
      <c r="F71" s="4" t="s">
        <v>47</v>
      </c>
      <c r="G71" s="3">
        <v>3</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v>0.499</v>
      </c>
      <c r="H77" s="16">
        <v>0.5</v>
      </c>
      <c r="I77" s="16">
        <v>0.59899999999999998</v>
      </c>
      <c r="J77" s="16">
        <v>0.6</v>
      </c>
      <c r="K77" s="16">
        <v>0.79900000000000004</v>
      </c>
      <c r="L77" s="16">
        <v>0.8</v>
      </c>
      <c r="M77" s="16" t="s">
        <v>500</v>
      </c>
      <c r="O77" s="2"/>
      <c r="AE77" s="3" t="s">
        <v>47</v>
      </c>
      <c r="AF77" s="3">
        <v>3</v>
      </c>
      <c r="AG77" s="3">
        <f t="shared" si="0"/>
        <v>1</v>
      </c>
      <c r="AH77" s="3">
        <f>+IF(AG77=0,0,IF(AG77=1,(SUM($AG$75:AG77)-1),1))</f>
        <v>0</v>
      </c>
      <c r="AI77" s="3">
        <f t="shared" si="1"/>
        <v>0</v>
      </c>
      <c r="AJ77" s="3">
        <f t="shared" si="2"/>
        <v>1</v>
      </c>
      <c r="AK77" s="3">
        <f t="shared" si="3"/>
        <v>1</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2</v>
      </c>
      <c r="AI79" s="3">
        <f t="shared" si="1"/>
        <v>0</v>
      </c>
      <c r="AJ79" s="3">
        <f t="shared" si="2"/>
        <v>0</v>
      </c>
      <c r="AK79" s="3">
        <f t="shared" si="3"/>
        <v>0</v>
      </c>
    </row>
    <row r="80" spans="2:37" x14ac:dyDescent="0.25">
      <c r="B80" s="2"/>
      <c r="D80" s="360" t="s">
        <v>50</v>
      </c>
      <c r="E80" s="360"/>
      <c r="F80" s="16" t="s">
        <v>500</v>
      </c>
      <c r="G80" s="16">
        <v>0.499</v>
      </c>
      <c r="H80" s="16">
        <v>0.5</v>
      </c>
      <c r="I80" s="16">
        <v>0.59899999999999998</v>
      </c>
      <c r="J80" s="16">
        <v>0.6</v>
      </c>
      <c r="K80" s="16">
        <v>0.79900000000000004</v>
      </c>
      <c r="L80" s="16">
        <v>0.8</v>
      </c>
      <c r="M80" s="16" t="s">
        <v>500</v>
      </c>
      <c r="O80" s="2"/>
      <c r="AE80" s="3" t="s">
        <v>50</v>
      </c>
      <c r="AF80" s="3">
        <v>6</v>
      </c>
      <c r="AG80" s="3">
        <f t="shared" si="0"/>
        <v>1</v>
      </c>
      <c r="AH80" s="3">
        <f>+IF(AG80=0,0,IF(AG80=1,(SUM($AG$75:AG80)-1),1))</f>
        <v>3</v>
      </c>
      <c r="AI80" s="3">
        <f t="shared" si="1"/>
        <v>1</v>
      </c>
      <c r="AJ80" s="3">
        <f t="shared" si="2"/>
        <v>0</v>
      </c>
      <c r="AK80" s="3">
        <f t="shared" si="3"/>
        <v>1</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4</v>
      </c>
      <c r="AI81" s="3">
        <f t="shared" si="1"/>
        <v>0</v>
      </c>
      <c r="AJ81" s="3">
        <f t="shared" si="2"/>
        <v>0</v>
      </c>
      <c r="AK81" s="3">
        <f t="shared" si="3"/>
        <v>0</v>
      </c>
    </row>
    <row r="82" spans="2:37" x14ac:dyDescent="0.25">
      <c r="B82" s="2"/>
      <c r="D82" s="360" t="s">
        <v>54</v>
      </c>
      <c r="E82" s="360"/>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60" t="s">
        <v>55</v>
      </c>
      <c r="E83" s="360"/>
      <c r="F83" s="16" t="s">
        <v>500</v>
      </c>
      <c r="G83" s="16">
        <v>0.499</v>
      </c>
      <c r="H83" s="16">
        <v>0.5</v>
      </c>
      <c r="I83" s="16">
        <v>0.59899999999999998</v>
      </c>
      <c r="J83" s="16">
        <v>0.6</v>
      </c>
      <c r="K83" s="16">
        <v>0.79900000000000004</v>
      </c>
      <c r="L83" s="16">
        <v>0.8</v>
      </c>
      <c r="M83" s="16" t="s">
        <v>500</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60" t="s">
        <v>58</v>
      </c>
      <c r="E86" s="360"/>
      <c r="F86" s="16" t="s">
        <v>500</v>
      </c>
      <c r="G86" s="16">
        <v>0.499</v>
      </c>
      <c r="H86" s="16">
        <v>0.5</v>
      </c>
      <c r="I86" s="16">
        <v>0.59899999999999998</v>
      </c>
      <c r="J86" s="16">
        <v>0.6</v>
      </c>
      <c r="K86" s="16">
        <v>0.79900000000000004</v>
      </c>
      <c r="L86" s="16">
        <v>0.8</v>
      </c>
      <c r="M86" s="16" t="s">
        <v>500</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132" customHeight="1" x14ac:dyDescent="0.25">
      <c r="B88" s="2"/>
      <c r="D88" s="338" t="s">
        <v>59</v>
      </c>
      <c r="E88" s="339"/>
      <c r="F88" s="420" t="s">
        <v>777</v>
      </c>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2" customHeight="1" x14ac:dyDescent="0.25">
      <c r="B97" s="2"/>
      <c r="D97" s="359" t="s">
        <v>35</v>
      </c>
      <c r="E97" s="359"/>
      <c r="F97" s="344" t="s">
        <v>801</v>
      </c>
      <c r="G97" s="344"/>
      <c r="H97" s="344"/>
      <c r="I97" s="344"/>
      <c r="J97" s="344"/>
      <c r="K97" s="344"/>
      <c r="L97" s="344"/>
      <c r="M97" s="344"/>
      <c r="O97" s="2"/>
    </row>
    <row r="98" spans="2:15" ht="42" customHeight="1" x14ac:dyDescent="0.25">
      <c r="B98" s="2"/>
      <c r="D98" s="359" t="s">
        <v>36</v>
      </c>
      <c r="E98" s="359"/>
      <c r="F98" s="344" t="s">
        <v>801</v>
      </c>
      <c r="G98" s="344"/>
      <c r="H98" s="344"/>
      <c r="I98" s="344"/>
      <c r="J98" s="344"/>
      <c r="K98" s="344"/>
      <c r="L98" s="344"/>
      <c r="M98" s="344"/>
      <c r="O98" s="2"/>
    </row>
    <row r="99" spans="2:15" ht="3.95" customHeight="1" x14ac:dyDescent="0.25">
      <c r="B99" s="2"/>
      <c r="O99" s="2"/>
    </row>
    <row r="100" spans="2:15" ht="63" customHeight="1" x14ac:dyDescent="0.25">
      <c r="B100" s="2"/>
      <c r="D100" s="338" t="s">
        <v>62</v>
      </c>
      <c r="E100" s="339"/>
      <c r="F100" s="340" t="s">
        <v>730</v>
      </c>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1</v>
      </c>
      <c r="K102" s="20"/>
      <c r="O102" s="2"/>
    </row>
    <row r="103" spans="2:15" ht="19.5" customHeight="1" x14ac:dyDescent="0.25">
      <c r="B103" s="2"/>
      <c r="D103" s="331"/>
      <c r="E103" s="332"/>
      <c r="F103" s="19" t="s">
        <v>66</v>
      </c>
      <c r="G103" s="4" t="s">
        <v>1782</v>
      </c>
      <c r="K103" s="21"/>
      <c r="O103" s="2"/>
    </row>
    <row r="104" spans="2:15" ht="27.75" customHeight="1" x14ac:dyDescent="0.25">
      <c r="B104" s="2"/>
      <c r="D104" s="331"/>
      <c r="E104" s="332"/>
      <c r="F104" s="19" t="s">
        <v>67</v>
      </c>
      <c r="G104" s="340" t="s">
        <v>1783</v>
      </c>
      <c r="H104" s="341"/>
      <c r="I104" s="341"/>
      <c r="J104" s="341"/>
      <c r="K104" s="341"/>
      <c r="L104" s="341"/>
      <c r="M104" s="342"/>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40" t="str">
        <f>+VLOOKUP(H10,tablero!$P$5:$R$201,3,FALSE)</f>
        <v xml:space="preserve">Subdirector(a) Restablecimiento de Derechos </v>
      </c>
      <c r="H108" s="341"/>
      <c r="I108" s="341"/>
      <c r="J108" s="341"/>
      <c r="K108" s="341"/>
      <c r="L108" s="341"/>
      <c r="M108" s="342"/>
      <c r="O108" s="2"/>
    </row>
    <row r="109" spans="2:15" ht="17.25" customHeight="1" x14ac:dyDescent="0.25">
      <c r="B109" s="2"/>
      <c r="D109" s="331"/>
      <c r="E109" s="332"/>
      <c r="F109" s="19" t="s">
        <v>2042</v>
      </c>
      <c r="G109" s="340" t="str">
        <f>+IF(M23="Si","Coordinador(a) Planeación y Sistemas","")</f>
        <v>Coordinador(a) Planeación y Sistemas</v>
      </c>
      <c r="H109" s="341"/>
      <c r="I109" s="341"/>
      <c r="J109" s="341"/>
      <c r="K109" s="341"/>
      <c r="L109" s="341"/>
      <c r="M109" s="342"/>
      <c r="O109" s="2"/>
    </row>
    <row r="110" spans="2:15" ht="17.25" customHeight="1" x14ac:dyDescent="0.25">
      <c r="B110" s="2"/>
      <c r="D110" s="331"/>
      <c r="E110" s="332"/>
      <c r="F110" s="19" t="s">
        <v>2043</v>
      </c>
      <c r="G110" s="340" t="str">
        <f>+IF(M24="Si","Coordinador(a) Centro Zonal","")</f>
        <v>Coordinador(a) Centro Zonal</v>
      </c>
      <c r="H110" s="341"/>
      <c r="I110" s="341"/>
      <c r="J110" s="341"/>
      <c r="K110" s="341"/>
      <c r="L110" s="341"/>
      <c r="M110" s="342"/>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274" priority="31">
      <formula>+IF($F$43="no",1,0)</formula>
    </cfRule>
  </conditionalFormatting>
  <conditionalFormatting sqref="F32:M33">
    <cfRule type="expression" dxfId="2273" priority="30">
      <formula>+IF($Q$30="NA",1,0)</formula>
    </cfRule>
  </conditionalFormatting>
  <conditionalFormatting sqref="F33:M33">
    <cfRule type="expression" dxfId="2272" priority="29">
      <formula>+IF($Q$33=0,1,0)</formula>
    </cfRule>
  </conditionalFormatting>
  <conditionalFormatting sqref="F47:M47">
    <cfRule type="expression" dxfId="2271" priority="28">
      <formula>+IF($Q$47=0,1,0)</formula>
    </cfRule>
  </conditionalFormatting>
  <conditionalFormatting sqref="F73:G73">
    <cfRule type="cellIs" dxfId="2270" priority="17" operator="equal">
      <formula>"optimo"</formula>
    </cfRule>
    <cfRule type="cellIs" dxfId="2269" priority="18" operator="equal">
      <formula>"critico"</formula>
    </cfRule>
  </conditionalFormatting>
  <conditionalFormatting sqref="H73:I73">
    <cfRule type="cellIs" dxfId="2268" priority="15" operator="equal">
      <formula>"Adecuado"</formula>
    </cfRule>
    <cfRule type="cellIs" dxfId="2267" priority="16" operator="equal">
      <formula>"en riesgo"</formula>
    </cfRule>
  </conditionalFormatting>
  <conditionalFormatting sqref="J73:K73">
    <cfRule type="cellIs" dxfId="2266" priority="13" operator="equal">
      <formula>"Adecuado"</formula>
    </cfRule>
    <cfRule type="cellIs" dxfId="2265" priority="14" operator="equal">
      <formula>"en riesgo"</formula>
    </cfRule>
  </conditionalFormatting>
  <conditionalFormatting sqref="L73:M73">
    <cfRule type="cellIs" dxfId="2264" priority="11" operator="equal">
      <formula>"optimo"</formula>
    </cfRule>
    <cfRule type="cellIs" dxfId="2263" priority="12" operator="equal">
      <formula>"critico"</formula>
    </cfRule>
  </conditionalFormatting>
  <conditionalFormatting sqref="F75:M86">
    <cfRule type="expression" dxfId="2262" priority="10">
      <formula>+IF($AK75=0,1)</formula>
    </cfRule>
  </conditionalFormatting>
  <conditionalFormatting sqref="F103:G104">
    <cfRule type="expression" dxfId="2261" priority="9">
      <formula>+IF($G$102="No",1,0)</formula>
    </cfRule>
  </conditionalFormatting>
  <conditionalFormatting sqref="F51">
    <cfRule type="expression" dxfId="2260" priority="8">
      <formula>+IF($F$43="no",1,0)</formula>
    </cfRule>
  </conditionalFormatting>
  <conditionalFormatting sqref="I51">
    <cfRule type="expression" dxfId="2259" priority="7">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4">
    <tabColor rgb="FF0070C0"/>
  </sheetPr>
  <dimension ref="B1:AV113"/>
  <sheetViews>
    <sheetView zoomScaleNormal="100" workbookViewId="0">
      <selection activeCell="P1" sqref="P1"/>
    </sheetView>
  </sheetViews>
  <sheetFormatPr baseColWidth="10" defaultRowHeight="12.75" x14ac:dyDescent="0.25"/>
  <cols>
    <col min="1" max="1" width="1.140625" style="104" customWidth="1"/>
    <col min="2" max="2" width="0.5703125" style="104" customWidth="1"/>
    <col min="3" max="3" width="1.42578125" style="104" customWidth="1"/>
    <col min="4" max="4" width="11" style="104" customWidth="1"/>
    <col min="5" max="13" width="11.42578125" style="104" customWidth="1"/>
    <col min="14" max="14" width="1.42578125" style="104" customWidth="1"/>
    <col min="15" max="15" width="0.5703125" style="104" customWidth="1"/>
    <col min="16" max="16" width="11.42578125" style="105"/>
    <col min="17" max="18" width="11.42578125" style="105" customWidth="1"/>
    <col min="19" max="19" width="11.42578125" style="105"/>
    <col min="20" max="20" width="2.7109375" style="105" customWidth="1"/>
    <col min="21" max="21" width="11.42578125" style="105"/>
    <col min="22" max="22" width="2.7109375" style="105" customWidth="1"/>
    <col min="23" max="23" width="11.42578125" style="105"/>
    <col min="24" max="24" width="2.7109375" style="105" customWidth="1"/>
    <col min="25" max="25" width="11.42578125" style="105"/>
    <col min="26" max="26" width="2.7109375" style="105" customWidth="1"/>
    <col min="27" max="27" width="11.42578125" style="105"/>
    <col min="28" max="28" width="2.7109375" style="105" customWidth="1"/>
    <col min="29" max="31" width="11.42578125" style="105"/>
    <col min="32" max="37" width="3.140625" style="105" customWidth="1"/>
    <col min="38" max="45" width="7.42578125" style="105" customWidth="1"/>
    <col min="46" max="48" width="11.42578125" style="105"/>
    <col min="49" max="16384" width="11.42578125" style="104"/>
  </cols>
  <sheetData>
    <row r="1" spans="2:19" ht="3.95" customHeight="1" x14ac:dyDescent="0.25"/>
    <row r="2" spans="2:19" ht="3.95" customHeight="1" x14ac:dyDescent="0.25">
      <c r="B2" s="106"/>
      <c r="C2" s="106"/>
      <c r="D2" s="106"/>
      <c r="E2" s="106"/>
      <c r="F2" s="106"/>
      <c r="G2" s="106"/>
      <c r="H2" s="106"/>
      <c r="I2" s="106"/>
      <c r="J2" s="106"/>
      <c r="K2" s="106"/>
      <c r="L2" s="106"/>
      <c r="M2" s="106"/>
      <c r="N2" s="106"/>
      <c r="O2" s="106"/>
    </row>
    <row r="3" spans="2:19" ht="20.25" customHeight="1" x14ac:dyDescent="0.25">
      <c r="B3" s="106"/>
      <c r="C3" s="411" t="s">
        <v>0</v>
      </c>
      <c r="D3" s="411"/>
      <c r="E3" s="411"/>
      <c r="F3" s="411"/>
      <c r="G3" s="411"/>
      <c r="H3" s="411"/>
      <c r="I3" s="411"/>
      <c r="J3" s="411"/>
      <c r="K3" s="411"/>
      <c r="L3" s="411"/>
      <c r="M3" s="411"/>
      <c r="N3" s="411"/>
      <c r="O3" s="106"/>
    </row>
    <row r="4" spans="2:19" ht="20.25" customHeight="1" x14ac:dyDescent="0.25">
      <c r="B4" s="106"/>
      <c r="C4" s="411"/>
      <c r="D4" s="411"/>
      <c r="E4" s="411"/>
      <c r="F4" s="411"/>
      <c r="G4" s="411"/>
      <c r="H4" s="411"/>
      <c r="I4" s="411"/>
      <c r="J4" s="411"/>
      <c r="K4" s="411"/>
      <c r="L4" s="411"/>
      <c r="M4" s="411"/>
      <c r="N4" s="411"/>
      <c r="O4" s="106"/>
      <c r="Q4" s="3"/>
      <c r="R4" s="3"/>
      <c r="S4" s="105" t="s">
        <v>1</v>
      </c>
    </row>
    <row r="5" spans="2:19" ht="20.25" customHeight="1" x14ac:dyDescent="0.25">
      <c r="B5" s="106"/>
      <c r="C5" s="411"/>
      <c r="D5" s="411"/>
      <c r="E5" s="411"/>
      <c r="F5" s="411"/>
      <c r="G5" s="411"/>
      <c r="H5" s="411"/>
      <c r="I5" s="411"/>
      <c r="J5" s="411"/>
      <c r="K5" s="411"/>
      <c r="L5" s="411"/>
      <c r="M5" s="411"/>
      <c r="N5" s="411"/>
      <c r="O5" s="106"/>
      <c r="S5" s="105" t="s">
        <v>2</v>
      </c>
    </row>
    <row r="6" spans="2:19" ht="3" customHeight="1" x14ac:dyDescent="0.25">
      <c r="B6" s="106"/>
      <c r="C6" s="106"/>
      <c r="D6" s="106"/>
      <c r="E6" s="106"/>
      <c r="F6" s="106"/>
      <c r="G6" s="106"/>
      <c r="H6" s="106"/>
      <c r="I6" s="106"/>
      <c r="J6" s="106"/>
      <c r="K6" s="106"/>
      <c r="L6" s="106"/>
      <c r="M6" s="106"/>
      <c r="N6" s="106"/>
      <c r="O6" s="106"/>
    </row>
    <row r="7" spans="2:19" ht="3" customHeight="1" x14ac:dyDescent="0.25"/>
    <row r="8" spans="2:19" ht="3.95" customHeight="1" x14ac:dyDescent="0.25">
      <c r="B8" s="106"/>
      <c r="C8" s="106"/>
      <c r="D8" s="106"/>
      <c r="E8" s="106"/>
      <c r="F8" s="106"/>
      <c r="G8" s="106"/>
      <c r="H8" s="106"/>
      <c r="I8" s="106"/>
      <c r="J8" s="106"/>
      <c r="K8" s="106"/>
      <c r="L8" s="106"/>
      <c r="M8" s="106"/>
      <c r="N8" s="106"/>
      <c r="O8" s="106"/>
    </row>
    <row r="9" spans="2:19" ht="3.95" customHeight="1" x14ac:dyDescent="0.25">
      <c r="B9" s="106"/>
      <c r="O9" s="106"/>
    </row>
    <row r="10" spans="2:19" ht="15.75" customHeight="1" x14ac:dyDescent="0.25">
      <c r="B10" s="106"/>
      <c r="D10" s="387" t="s">
        <v>3</v>
      </c>
      <c r="E10" s="387"/>
      <c r="F10" s="107">
        <v>2015</v>
      </c>
      <c r="G10" s="108" t="s">
        <v>4</v>
      </c>
      <c r="H10" s="107" t="s">
        <v>1359</v>
      </c>
      <c r="O10" s="106"/>
    </row>
    <row r="11" spans="2:19" ht="3.95" customHeight="1" x14ac:dyDescent="0.25">
      <c r="B11" s="106"/>
      <c r="D11" s="109"/>
      <c r="O11" s="106"/>
    </row>
    <row r="12" spans="2:19" ht="36" customHeight="1" x14ac:dyDescent="0.25">
      <c r="B12" s="106"/>
      <c r="D12" s="378" t="s">
        <v>5</v>
      </c>
      <c r="E12" s="379"/>
      <c r="F12" s="389" t="s">
        <v>1355</v>
      </c>
      <c r="G12" s="390"/>
      <c r="H12" s="390"/>
      <c r="I12" s="390"/>
      <c r="J12" s="390"/>
      <c r="K12" s="390"/>
      <c r="L12" s="390"/>
      <c r="M12" s="391"/>
      <c r="O12" s="106"/>
      <c r="Q12" s="110" t="s">
        <v>1977</v>
      </c>
      <c r="S12" s="111">
        <v>154</v>
      </c>
    </row>
    <row r="13" spans="2:19" ht="3.95" customHeight="1" x14ac:dyDescent="0.25">
      <c r="B13" s="106"/>
      <c r="O13" s="106"/>
    </row>
    <row r="14" spans="2:19" ht="38.25" customHeight="1" x14ac:dyDescent="0.25">
      <c r="B14" s="106"/>
      <c r="D14" s="378" t="s">
        <v>6</v>
      </c>
      <c r="E14" s="379"/>
      <c r="F14" s="389" t="s">
        <v>1327</v>
      </c>
      <c r="G14" s="390"/>
      <c r="H14" s="390"/>
      <c r="I14" s="390"/>
      <c r="J14" s="390"/>
      <c r="K14" s="390"/>
      <c r="L14" s="390"/>
      <c r="M14" s="391"/>
      <c r="O14" s="106"/>
    </row>
    <row r="15" spans="2:19" ht="3.95" customHeight="1" x14ac:dyDescent="0.25">
      <c r="B15" s="106"/>
      <c r="O15" s="106"/>
    </row>
    <row r="16" spans="2:19" ht="3" customHeight="1" x14ac:dyDescent="0.25">
      <c r="B16" s="106"/>
      <c r="C16" s="106"/>
      <c r="D16" s="106"/>
      <c r="E16" s="106"/>
      <c r="F16" s="106"/>
      <c r="G16" s="106"/>
      <c r="H16" s="106"/>
      <c r="I16" s="106"/>
      <c r="J16" s="106"/>
      <c r="K16" s="106"/>
      <c r="L16" s="106"/>
      <c r="M16" s="106"/>
      <c r="N16" s="106"/>
      <c r="O16" s="106"/>
    </row>
    <row r="17" spans="2:17" ht="3" customHeight="1" x14ac:dyDescent="0.25"/>
    <row r="18" spans="2:17" ht="3" customHeight="1" x14ac:dyDescent="0.25">
      <c r="B18" s="106"/>
      <c r="C18" s="106"/>
      <c r="D18" s="106"/>
      <c r="E18" s="106"/>
      <c r="F18" s="106"/>
      <c r="G18" s="106"/>
      <c r="H18" s="106"/>
      <c r="I18" s="106"/>
      <c r="J18" s="106"/>
      <c r="K18" s="106"/>
      <c r="L18" s="106"/>
      <c r="M18" s="106"/>
      <c r="N18" s="106"/>
      <c r="O18" s="106"/>
    </row>
    <row r="19" spans="2:17" ht="3.95" customHeight="1" x14ac:dyDescent="0.25">
      <c r="B19" s="106"/>
      <c r="O19" s="106"/>
    </row>
    <row r="20" spans="2:17" x14ac:dyDescent="0.25">
      <c r="B20" s="106"/>
      <c r="D20" s="112" t="s">
        <v>7</v>
      </c>
      <c r="O20" s="106"/>
    </row>
    <row r="21" spans="2:17" ht="3.95" customHeight="1" x14ac:dyDescent="0.25">
      <c r="B21" s="106"/>
      <c r="O21" s="106"/>
    </row>
    <row r="22" spans="2:17" ht="18.75" customHeight="1" x14ac:dyDescent="0.25">
      <c r="B22" s="106"/>
      <c r="D22" s="387" t="s">
        <v>8</v>
      </c>
      <c r="E22" s="387"/>
      <c r="F22" s="113" t="s">
        <v>1978</v>
      </c>
      <c r="G22" s="387" t="s">
        <v>9</v>
      </c>
      <c r="H22" s="387"/>
      <c r="I22" s="114">
        <f>+IFERROR(VLOOKUP($S$12,[1]Hoja1!$B$5:$AT$190,19,FALSE),"")</f>
        <v>1</v>
      </c>
      <c r="K22" s="387" t="s">
        <v>10</v>
      </c>
      <c r="L22" s="387"/>
      <c r="M22" s="115" t="str">
        <f>+IFERROR(VLOOKUP($S$12,[1]Hoja1!$B$5:$AT$190,22,FALSE),"")</f>
        <v>Si</v>
      </c>
      <c r="O22" s="106"/>
    </row>
    <row r="23" spans="2:17" ht="19.5" customHeight="1" x14ac:dyDescent="0.25">
      <c r="B23" s="106"/>
      <c r="D23" s="387" t="s">
        <v>11</v>
      </c>
      <c r="E23" s="387"/>
      <c r="F23" s="107" t="str">
        <f>+IFERROR(VLOOKUP($S$12,[1]Hoja1!$B$5:$AT$190,33,FALSE),"")</f>
        <v>Mensual</v>
      </c>
      <c r="G23" s="387" t="s">
        <v>12</v>
      </c>
      <c r="H23" s="387"/>
      <c r="I23" s="107" t="str">
        <f>+IFERROR(VLOOKUP($S$12,[1]Hoja1!$B$5:$AT$190,21,FALSE),"")</f>
        <v>Porcentaje</v>
      </c>
      <c r="K23" s="387" t="s">
        <v>13</v>
      </c>
      <c r="L23" s="387"/>
      <c r="M23" s="115" t="str">
        <f>+IFERROR(VLOOKUP($S$12,[1]Hoja1!$B$5:$AT$190,23,FALSE),"")</f>
        <v>No</v>
      </c>
      <c r="O23" s="106"/>
    </row>
    <row r="24" spans="2:17" ht="20.100000000000001" customHeight="1" x14ac:dyDescent="0.25">
      <c r="B24" s="106"/>
      <c r="D24" s="387" t="s">
        <v>14</v>
      </c>
      <c r="E24" s="387"/>
      <c r="F24" s="107" t="s">
        <v>498</v>
      </c>
      <c r="G24" s="387" t="s">
        <v>15</v>
      </c>
      <c r="H24" s="387"/>
      <c r="I24" s="107" t="s">
        <v>103</v>
      </c>
      <c r="K24" s="387" t="s">
        <v>16</v>
      </c>
      <c r="L24" s="387"/>
      <c r="M24" s="115" t="str">
        <f>+IFERROR(VLOOKUP($S$12,[1]Hoja1!$B$5:$AT$190,24,FALSE),"")</f>
        <v>No</v>
      </c>
      <c r="O24" s="106"/>
    </row>
    <row r="25" spans="2:17" ht="20.100000000000001" customHeight="1" x14ac:dyDescent="0.25">
      <c r="B25" s="106"/>
      <c r="D25" s="387" t="s">
        <v>17</v>
      </c>
      <c r="E25" s="387"/>
      <c r="F25" s="107" t="str">
        <f>+IFERROR(VLOOKUP($S$12,[1]Hoja1!$B$5:$AT$190,18,FALSE),"")</f>
        <v>Eficiencia</v>
      </c>
      <c r="O25" s="106"/>
    </row>
    <row r="26" spans="2:17" ht="3.95" customHeight="1" x14ac:dyDescent="0.25">
      <c r="B26" s="106"/>
      <c r="O26" s="106"/>
    </row>
    <row r="27" spans="2:17" x14ac:dyDescent="0.25">
      <c r="B27" s="106"/>
      <c r="D27" s="112" t="s">
        <v>18</v>
      </c>
      <c r="O27" s="106"/>
    </row>
    <row r="28" spans="2:17" ht="3.95" customHeight="1" x14ac:dyDescent="0.25">
      <c r="B28" s="106"/>
      <c r="O28" s="106"/>
    </row>
    <row r="29" spans="2:17" ht="36" customHeight="1" x14ac:dyDescent="0.25">
      <c r="B29" s="106"/>
      <c r="D29" s="393" t="s">
        <v>19</v>
      </c>
      <c r="E29" s="393"/>
      <c r="F29" s="344" t="s">
        <v>716</v>
      </c>
      <c r="G29" s="344"/>
      <c r="H29" s="344"/>
      <c r="I29" s="344"/>
      <c r="J29" s="344"/>
      <c r="K29" s="344"/>
      <c r="L29" s="344"/>
      <c r="M29" s="344"/>
      <c r="O29" s="106"/>
      <c r="P29" s="105" t="s">
        <v>1684</v>
      </c>
    </row>
    <row r="30" spans="2:17" ht="18" customHeight="1" x14ac:dyDescent="0.25">
      <c r="B30" s="106"/>
      <c r="D30" s="404" t="s">
        <v>21</v>
      </c>
      <c r="E30" s="405"/>
      <c r="F30" s="10" t="s">
        <v>22</v>
      </c>
      <c r="G30" s="349" t="s">
        <v>5</v>
      </c>
      <c r="H30" s="350"/>
      <c r="I30" s="350"/>
      <c r="J30" s="350"/>
      <c r="K30" s="350"/>
      <c r="L30" s="350"/>
      <c r="M30" s="351"/>
      <c r="O30" s="106"/>
      <c r="Q30" s="105" t="str">
        <f>+IFERROR(VLOOKUP(G31,[1]base!$A$9:$C$25,3,FALSE),"")</f>
        <v>proteccion</v>
      </c>
    </row>
    <row r="31" spans="2:17" ht="24" customHeight="1" x14ac:dyDescent="0.25">
      <c r="B31" s="106"/>
      <c r="D31" s="406"/>
      <c r="E31" s="407"/>
      <c r="F31" s="4" t="s">
        <v>202</v>
      </c>
      <c r="G31" s="340" t="s">
        <v>203</v>
      </c>
      <c r="H31" s="341"/>
      <c r="I31" s="341"/>
      <c r="J31" s="341"/>
      <c r="K31" s="341"/>
      <c r="L31" s="341"/>
      <c r="M31" s="342"/>
      <c r="O31" s="106"/>
    </row>
    <row r="32" spans="2:17" ht="18" customHeight="1" x14ac:dyDescent="0.25">
      <c r="B32" s="106"/>
      <c r="D32" s="404" t="s">
        <v>23</v>
      </c>
      <c r="E32" s="405"/>
      <c r="F32" s="10" t="s">
        <v>22</v>
      </c>
      <c r="G32" s="349" t="s">
        <v>5</v>
      </c>
      <c r="H32" s="350"/>
      <c r="I32" s="350"/>
      <c r="J32" s="350"/>
      <c r="K32" s="350"/>
      <c r="L32" s="350"/>
      <c r="M32" s="351"/>
      <c r="O32" s="106"/>
    </row>
    <row r="33" spans="2:17" ht="24" customHeight="1" x14ac:dyDescent="0.25">
      <c r="B33" s="106"/>
      <c r="D33" s="406"/>
      <c r="E33" s="407"/>
      <c r="F33" s="11" t="s">
        <v>792</v>
      </c>
      <c r="G33" s="340" t="s">
        <v>719</v>
      </c>
      <c r="H33" s="341"/>
      <c r="I33" s="341"/>
      <c r="J33" s="341"/>
      <c r="K33" s="341"/>
      <c r="L33" s="341"/>
      <c r="M33" s="342"/>
      <c r="O33" s="106"/>
      <c r="Q33" s="105">
        <f>+IFERROR(IF(VLOOKUP(G33,[1]base!$A$26:$C$40,3,FALSE)=F31,1,0),"")</f>
        <v>1</v>
      </c>
    </row>
    <row r="34" spans="2:17" ht="18" customHeight="1" x14ac:dyDescent="0.25">
      <c r="B34" s="106"/>
      <c r="D34" s="404" t="s">
        <v>24</v>
      </c>
      <c r="E34" s="405"/>
      <c r="F34" s="116" t="s">
        <v>22</v>
      </c>
      <c r="G34" s="408" t="s">
        <v>5</v>
      </c>
      <c r="H34" s="409"/>
      <c r="I34" s="409"/>
      <c r="J34" s="409"/>
      <c r="K34" s="409"/>
      <c r="L34" s="409"/>
      <c r="M34" s="410"/>
      <c r="O34" s="106"/>
    </row>
    <row r="35" spans="2:17" ht="24" customHeight="1" x14ac:dyDescent="0.25">
      <c r="B35" s="106"/>
      <c r="D35" s="406"/>
      <c r="E35" s="407"/>
      <c r="F35" s="4" t="s">
        <v>1715</v>
      </c>
      <c r="G35" s="340" t="s">
        <v>1591</v>
      </c>
      <c r="H35" s="341"/>
      <c r="I35" s="341"/>
      <c r="J35" s="341"/>
      <c r="K35" s="341"/>
      <c r="L35" s="341"/>
      <c r="M35" s="342"/>
      <c r="O35" s="106"/>
    </row>
    <row r="36" spans="2:17" ht="3.95" customHeight="1" x14ac:dyDescent="0.25">
      <c r="B36" s="106"/>
      <c r="O36" s="106"/>
    </row>
    <row r="37" spans="2:17" ht="3" customHeight="1" x14ac:dyDescent="0.25">
      <c r="B37" s="106"/>
      <c r="C37" s="106"/>
      <c r="D37" s="106"/>
      <c r="E37" s="106"/>
      <c r="F37" s="106"/>
      <c r="G37" s="106"/>
      <c r="H37" s="106"/>
      <c r="I37" s="106"/>
      <c r="J37" s="106"/>
      <c r="K37" s="106"/>
      <c r="L37" s="106"/>
      <c r="M37" s="106"/>
      <c r="N37" s="106"/>
      <c r="O37" s="106"/>
    </row>
    <row r="38" spans="2:17" ht="3" customHeight="1" x14ac:dyDescent="0.25"/>
    <row r="39" spans="2:17" ht="3" customHeight="1" x14ac:dyDescent="0.25">
      <c r="B39" s="106"/>
      <c r="C39" s="106"/>
      <c r="D39" s="106"/>
      <c r="E39" s="106"/>
      <c r="F39" s="106"/>
      <c r="G39" s="106"/>
      <c r="H39" s="106"/>
      <c r="I39" s="106"/>
      <c r="J39" s="106"/>
      <c r="K39" s="106"/>
      <c r="L39" s="106"/>
      <c r="M39" s="106"/>
      <c r="N39" s="106"/>
      <c r="O39" s="106"/>
    </row>
    <row r="40" spans="2:17" ht="3.95" customHeight="1" x14ac:dyDescent="0.25">
      <c r="B40" s="106"/>
      <c r="D40" s="112"/>
      <c r="O40" s="106"/>
    </row>
    <row r="41" spans="2:17" x14ac:dyDescent="0.25">
      <c r="B41" s="106"/>
      <c r="D41" s="112" t="s">
        <v>25</v>
      </c>
      <c r="O41" s="106"/>
    </row>
    <row r="42" spans="2:17" ht="3.95" customHeight="1" x14ac:dyDescent="0.25">
      <c r="B42" s="106"/>
      <c r="O42" s="106"/>
    </row>
    <row r="43" spans="2:17" ht="20.100000000000001" customHeight="1" x14ac:dyDescent="0.25">
      <c r="B43" s="106"/>
      <c r="D43" s="387" t="s">
        <v>26</v>
      </c>
      <c r="E43" s="387"/>
      <c r="F43" s="107" t="s">
        <v>2</v>
      </c>
      <c r="O43" s="106"/>
    </row>
    <row r="44" spans="2:17" ht="18" customHeight="1" x14ac:dyDescent="0.25">
      <c r="B44" s="106"/>
      <c r="D44" s="397" t="s">
        <v>27</v>
      </c>
      <c r="E44" s="398"/>
      <c r="F44" s="118" t="s">
        <v>22</v>
      </c>
      <c r="G44" s="401" t="s">
        <v>5</v>
      </c>
      <c r="H44" s="402"/>
      <c r="I44" s="402"/>
      <c r="J44" s="402"/>
      <c r="K44" s="402"/>
      <c r="L44" s="402"/>
      <c r="M44" s="403"/>
      <c r="O44" s="106"/>
    </row>
    <row r="45" spans="2:17" ht="18" customHeight="1" x14ac:dyDescent="0.25">
      <c r="B45" s="106"/>
      <c r="D45" s="399"/>
      <c r="E45" s="400"/>
      <c r="F45" s="107" t="str">
        <f>+IFERROR(VLOOKUP(G45,[1]base!$A$41:$B$45,2,FALSE),"")</f>
        <v>LP5</v>
      </c>
      <c r="G45" s="389" t="str">
        <f>+IFERROR(VLOOKUP($S$12,[1]Hoja1!$B$5:$AT$190,6,FALSE),"")</f>
        <v>Gestión Financiera</v>
      </c>
      <c r="H45" s="390"/>
      <c r="I45" s="390"/>
      <c r="J45" s="390"/>
      <c r="K45" s="390"/>
      <c r="L45" s="390"/>
      <c r="M45" s="391"/>
      <c r="O45" s="106"/>
      <c r="Q45" s="105" t="str">
        <f>+IFERROR(VLOOKUP(G45,[1]base!$A$41:$C$45,3,FALSE),"")</f>
        <v>financiera</v>
      </c>
    </row>
    <row r="46" spans="2:17" ht="18" customHeight="1" x14ac:dyDescent="0.25">
      <c r="B46" s="106"/>
      <c r="D46" s="397" t="s">
        <v>28</v>
      </c>
      <c r="E46" s="398"/>
      <c r="F46" s="118" t="s">
        <v>22</v>
      </c>
      <c r="G46" s="401" t="s">
        <v>5</v>
      </c>
      <c r="H46" s="402"/>
      <c r="I46" s="402"/>
      <c r="J46" s="402"/>
      <c r="K46" s="402"/>
      <c r="L46" s="402"/>
      <c r="M46" s="403"/>
      <c r="O46" s="106"/>
    </row>
    <row r="47" spans="2:17" ht="18" customHeight="1" x14ac:dyDescent="0.25">
      <c r="B47" s="106"/>
      <c r="D47" s="399"/>
      <c r="E47" s="400"/>
      <c r="F47" s="107" t="str">
        <f>+IFERROR(VLOOKUP(G47,[1]base!$A$46:$B$66,2,FALSE),"")</f>
        <v/>
      </c>
      <c r="G47" s="389"/>
      <c r="H47" s="390"/>
      <c r="I47" s="390"/>
      <c r="J47" s="390"/>
      <c r="K47" s="390"/>
      <c r="L47" s="390"/>
      <c r="M47" s="391"/>
      <c r="O47" s="106"/>
      <c r="Q47" s="105" t="e">
        <f>+IF(VLOOKUP(G47,[1]base!$A$46:$C$66,3,FALSE)=F45,1,0)</f>
        <v>#N/A</v>
      </c>
    </row>
    <row r="48" spans="2:17" ht="18" customHeight="1" x14ac:dyDescent="0.25">
      <c r="B48" s="106"/>
      <c r="D48" s="397" t="s">
        <v>29</v>
      </c>
      <c r="E48" s="398"/>
      <c r="F48" s="118" t="s">
        <v>22</v>
      </c>
      <c r="G48" s="401" t="s">
        <v>5</v>
      </c>
      <c r="H48" s="402"/>
      <c r="I48" s="402"/>
      <c r="J48" s="402"/>
      <c r="K48" s="402"/>
      <c r="L48" s="402"/>
      <c r="M48" s="403"/>
      <c r="O48" s="106"/>
    </row>
    <row r="49" spans="2:15" ht="29.25" customHeight="1" x14ac:dyDescent="0.25">
      <c r="B49" s="106"/>
      <c r="D49" s="399"/>
      <c r="E49" s="400"/>
      <c r="F49" s="119" t="str">
        <f>+IFERROR(VLOOKUP(G49,[1]base!$G$37:$H$47,2,FALSE),"")</f>
        <v>C-310-300-2</v>
      </c>
      <c r="G49" s="389" t="s">
        <v>899</v>
      </c>
      <c r="H49" s="390"/>
      <c r="I49" s="390"/>
      <c r="J49" s="390"/>
      <c r="K49" s="390"/>
      <c r="L49" s="390"/>
      <c r="M49" s="391"/>
      <c r="O49" s="106"/>
    </row>
    <row r="50" spans="2:15" ht="3.95" customHeight="1" x14ac:dyDescent="0.25">
      <c r="B50" s="106"/>
      <c r="O50" s="106"/>
    </row>
    <row r="51" spans="2:15" ht="20.100000000000001" customHeight="1" x14ac:dyDescent="0.25">
      <c r="B51" s="106"/>
      <c r="D51" s="387" t="s">
        <v>31</v>
      </c>
      <c r="E51" s="387"/>
      <c r="F51" s="107" t="str">
        <f>+IFERROR(VLOOKUP($S$12,[1]Hoja1!$B$5:$AT$190,26,FALSE),"")</f>
        <v>No</v>
      </c>
      <c r="G51" s="387" t="s">
        <v>32</v>
      </c>
      <c r="H51" s="387"/>
      <c r="I51" s="120" t="str">
        <f>+IFERROR(IF(F51="No","",VLOOKUP($S$12,[1]Hoja1!$B$5:$AT$190,20,FALSE)),"")</f>
        <v/>
      </c>
      <c r="O51" s="106"/>
    </row>
    <row r="52" spans="2:15" ht="3.95" customHeight="1" x14ac:dyDescent="0.25">
      <c r="B52" s="106"/>
      <c r="O52" s="106"/>
    </row>
    <row r="53" spans="2:15" ht="3" customHeight="1" x14ac:dyDescent="0.25">
      <c r="B53" s="106"/>
      <c r="C53" s="106"/>
      <c r="D53" s="106"/>
      <c r="E53" s="106"/>
      <c r="F53" s="106"/>
      <c r="G53" s="106"/>
      <c r="H53" s="106"/>
      <c r="I53" s="106"/>
      <c r="J53" s="106"/>
      <c r="K53" s="106"/>
      <c r="L53" s="106"/>
      <c r="M53" s="106"/>
      <c r="N53" s="106"/>
      <c r="O53" s="106"/>
    </row>
    <row r="54" spans="2:15" ht="3" customHeight="1" x14ac:dyDescent="0.25"/>
    <row r="55" spans="2:15" ht="3.95" customHeight="1" x14ac:dyDescent="0.25">
      <c r="B55" s="106"/>
      <c r="C55" s="106"/>
      <c r="D55" s="106"/>
      <c r="E55" s="106"/>
      <c r="F55" s="106"/>
      <c r="G55" s="106"/>
      <c r="H55" s="106"/>
      <c r="I55" s="106"/>
      <c r="J55" s="106"/>
      <c r="K55" s="106"/>
      <c r="L55" s="106"/>
      <c r="M55" s="106"/>
      <c r="N55" s="106"/>
      <c r="O55" s="106"/>
    </row>
    <row r="56" spans="2:15" ht="3.95" customHeight="1" x14ac:dyDescent="0.25">
      <c r="B56" s="106"/>
      <c r="O56" s="106"/>
    </row>
    <row r="57" spans="2:15" x14ac:dyDescent="0.25">
      <c r="B57" s="106"/>
      <c r="D57" s="112" t="s">
        <v>33</v>
      </c>
      <c r="O57" s="106"/>
    </row>
    <row r="58" spans="2:15" ht="3.95" customHeight="1" x14ac:dyDescent="0.25">
      <c r="B58" s="106"/>
      <c r="O58" s="106"/>
    </row>
    <row r="59" spans="2:15" ht="30" customHeight="1" x14ac:dyDescent="0.25">
      <c r="B59" s="106"/>
      <c r="D59" s="387" t="s">
        <v>34</v>
      </c>
      <c r="E59" s="387"/>
      <c r="F59" s="370" t="str">
        <f>+IF(F60="","",F60&amp;" / "&amp;F61)</f>
        <v>Recursos Comprometidos / Meta Mensual de Compromisos</v>
      </c>
      <c r="G59" s="370"/>
      <c r="H59" s="370"/>
      <c r="I59" s="370"/>
      <c r="J59" s="370"/>
      <c r="K59" s="370"/>
      <c r="L59" s="370"/>
      <c r="M59" s="370"/>
      <c r="O59" s="106"/>
    </row>
    <row r="60" spans="2:15" ht="30" customHeight="1" x14ac:dyDescent="0.25">
      <c r="B60" s="106"/>
      <c r="D60" s="369" t="s">
        <v>35</v>
      </c>
      <c r="E60" s="369"/>
      <c r="F60" s="370" t="str">
        <f>+IFERROR(VLOOKUP($S$12,[1]Hoja1!$B$5:$AT$190,28,FALSE),"")</f>
        <v>Recursos Comprometidos</v>
      </c>
      <c r="G60" s="370"/>
      <c r="H60" s="370"/>
      <c r="I60" s="370"/>
      <c r="J60" s="370"/>
      <c r="K60" s="370"/>
      <c r="L60" s="370"/>
      <c r="M60" s="370"/>
      <c r="O60" s="106"/>
    </row>
    <row r="61" spans="2:15" ht="30" customHeight="1" x14ac:dyDescent="0.25">
      <c r="B61" s="106"/>
      <c r="D61" s="369" t="s">
        <v>36</v>
      </c>
      <c r="E61" s="369"/>
      <c r="F61" s="389" t="str">
        <f>+IFERROR(VLOOKUP($S$12,[1]Hoja1!$B$5:$AT$190,30,FALSE),"")</f>
        <v>Meta Mensual de Compromisos</v>
      </c>
      <c r="G61" s="390"/>
      <c r="H61" s="390"/>
      <c r="I61" s="390"/>
      <c r="J61" s="390"/>
      <c r="K61" s="390"/>
      <c r="L61" s="390"/>
      <c r="M61" s="391"/>
      <c r="O61" s="106"/>
    </row>
    <row r="62" spans="2:15" ht="3.95" customHeight="1" x14ac:dyDescent="0.25">
      <c r="B62" s="106"/>
      <c r="O62" s="106"/>
    </row>
    <row r="63" spans="2:15" ht="3" customHeight="1" x14ac:dyDescent="0.25">
      <c r="B63" s="106"/>
      <c r="C63" s="106"/>
      <c r="D63" s="106"/>
      <c r="E63" s="106"/>
      <c r="F63" s="106"/>
      <c r="G63" s="106"/>
      <c r="H63" s="106"/>
      <c r="I63" s="106"/>
      <c r="J63" s="106"/>
      <c r="K63" s="106"/>
      <c r="L63" s="106"/>
      <c r="M63" s="106"/>
      <c r="N63" s="106"/>
      <c r="O63" s="106"/>
    </row>
    <row r="64" spans="2:15" x14ac:dyDescent="0.25">
      <c r="M64" s="121" t="s">
        <v>37</v>
      </c>
    </row>
    <row r="65" spans="2:45" ht="3" customHeight="1" x14ac:dyDescent="0.25">
      <c r="B65" s="106"/>
      <c r="C65" s="106"/>
      <c r="D65" s="106"/>
      <c r="E65" s="106"/>
      <c r="F65" s="106"/>
      <c r="G65" s="106"/>
      <c r="H65" s="106"/>
      <c r="I65" s="106"/>
      <c r="J65" s="106"/>
      <c r="K65" s="106"/>
      <c r="L65" s="106"/>
      <c r="M65" s="106"/>
      <c r="N65" s="106"/>
      <c r="O65" s="106"/>
    </row>
    <row r="66" spans="2:45" ht="3.95" customHeight="1" x14ac:dyDescent="0.25">
      <c r="B66" s="106"/>
      <c r="O66" s="106"/>
    </row>
    <row r="67" spans="2:45" x14ac:dyDescent="0.25">
      <c r="B67" s="106"/>
      <c r="D67" s="392" t="s">
        <v>38</v>
      </c>
      <c r="E67" s="392"/>
      <c r="O67" s="106"/>
    </row>
    <row r="68" spans="2:45" ht="3.95" customHeight="1" x14ac:dyDescent="0.25">
      <c r="B68" s="106"/>
      <c r="D68" s="112"/>
      <c r="E68" s="112"/>
      <c r="O68" s="106"/>
    </row>
    <row r="69" spans="2:45" ht="18.75" customHeight="1" x14ac:dyDescent="0.25">
      <c r="B69" s="106"/>
      <c r="O69" s="106"/>
      <c r="Q69" s="122" t="s">
        <v>11</v>
      </c>
      <c r="S69" s="105" t="str">
        <f>+IF(F23=0,"",F23)</f>
        <v>Mensual</v>
      </c>
      <c r="U69" s="105">
        <f>+IFERROR(VLOOKUP(S69,[1]base!$H$23:$I$28,2,FALSE),"")</f>
        <v>1</v>
      </c>
    </row>
    <row r="70" spans="2:45" ht="3.95" customHeight="1" x14ac:dyDescent="0.25">
      <c r="B70" s="106"/>
      <c r="D70" s="112"/>
      <c r="E70" s="112"/>
      <c r="O70" s="106"/>
    </row>
    <row r="71" spans="2:45" ht="18.75" customHeight="1" x14ac:dyDescent="0.25">
      <c r="B71" s="106"/>
      <c r="D71" s="393" t="s">
        <v>39</v>
      </c>
      <c r="E71" s="393"/>
      <c r="F71" s="107" t="s">
        <v>47</v>
      </c>
      <c r="G71" s="105">
        <f>+IFERROR(VLOOKUP(F71,$AE$75:$AF$86,2,FALSE),"")</f>
        <v>3</v>
      </c>
      <c r="O71" s="106"/>
      <c r="Q71" s="122" t="s">
        <v>14</v>
      </c>
      <c r="S71" s="105" t="str">
        <f>+IF(F24=0,"",F24)</f>
        <v>Creciente</v>
      </c>
    </row>
    <row r="72" spans="2:45" ht="3.95" customHeight="1" x14ac:dyDescent="0.25">
      <c r="B72" s="106"/>
      <c r="D72" s="112"/>
      <c r="E72" s="112"/>
      <c r="O72" s="106"/>
    </row>
    <row r="73" spans="2:45" x14ac:dyDescent="0.25">
      <c r="B73" s="106"/>
      <c r="D73" s="394" t="s">
        <v>41</v>
      </c>
      <c r="E73" s="394"/>
      <c r="F73" s="395" t="s">
        <v>42</v>
      </c>
      <c r="G73" s="396"/>
      <c r="H73" s="395" t="s">
        <v>43</v>
      </c>
      <c r="I73" s="396"/>
      <c r="J73" s="395" t="s">
        <v>44</v>
      </c>
      <c r="K73" s="396"/>
      <c r="L73" s="395" t="s">
        <v>45</v>
      </c>
      <c r="M73" s="396"/>
      <c r="O73" s="106"/>
      <c r="S73" s="111">
        <f>+IFERROR(VLOOKUP(S74,$AE$75:$AK$86,7,FALSE),"")</f>
        <v>0</v>
      </c>
      <c r="U73" s="111">
        <f>+IFERROR(VLOOKUP(U74,$AE$75:$AK$86,7,FALSE),"")</f>
        <v>0</v>
      </c>
      <c r="W73" s="111">
        <f>+IFERROR(VLOOKUP(W74,$AE$75:$AK$86,7,FALSE),"")</f>
        <v>1</v>
      </c>
      <c r="Y73" s="111">
        <f>+IFERROR(VLOOKUP(Y74,$AE$75:$AK$86,7,FALSE),"")</f>
        <v>1</v>
      </c>
      <c r="AA73" s="111">
        <f>+IFERROR(VLOOKUP(AA74,$AE$75:$AK$86,7,FALSE),"")</f>
        <v>1</v>
      </c>
      <c r="AC73" s="111">
        <f>+IFERROR(VLOOKUP(AC74,$AE$75:$AK$86,7,FALSE),"")</f>
        <v>1</v>
      </c>
      <c r="AL73" s="388" t="s">
        <v>42</v>
      </c>
      <c r="AM73" s="388"/>
      <c r="AN73" s="388" t="s">
        <v>43</v>
      </c>
      <c r="AO73" s="388"/>
      <c r="AP73" s="388" t="s">
        <v>44</v>
      </c>
      <c r="AQ73" s="388"/>
      <c r="AR73" s="388" t="s">
        <v>45</v>
      </c>
      <c r="AS73" s="388"/>
    </row>
    <row r="74" spans="2:45" x14ac:dyDescent="0.25">
      <c r="B74" s="106"/>
      <c r="D74" s="394"/>
      <c r="E74" s="394"/>
      <c r="F74" s="123" t="str">
        <f>+IF($F$24="Decreciente","Max","Min")</f>
        <v>Min</v>
      </c>
      <c r="G74" s="123" t="str">
        <f>+IF($F$24="Decreciente","MIn","Max")</f>
        <v>Max</v>
      </c>
      <c r="H74" s="123" t="str">
        <f>+IF($F$24="Decreciente","Max","Min")</f>
        <v>Min</v>
      </c>
      <c r="I74" s="123" t="str">
        <f>+IF($F$24="Decreciente","MIn","Max")</f>
        <v>Max</v>
      </c>
      <c r="J74" s="123" t="str">
        <f>+IF($F$24="Decreciente","Max","Min")</f>
        <v>Min</v>
      </c>
      <c r="K74" s="123" t="str">
        <f>+IF($F$24="Decreciente","MIn","Max")</f>
        <v>Max</v>
      </c>
      <c r="L74" s="123" t="str">
        <f>+IF($F$24="Decreciente","Max","Min")</f>
        <v>Min</v>
      </c>
      <c r="M74" s="123" t="str">
        <f>+IF($F$24="Decreciente","MIn","Max")</f>
        <v>Max</v>
      </c>
      <c r="O74" s="106"/>
      <c r="S74" s="124" t="s">
        <v>46</v>
      </c>
      <c r="T74" s="124"/>
      <c r="U74" s="124" t="s">
        <v>40</v>
      </c>
      <c r="V74" s="124"/>
      <c r="W74" s="124" t="s">
        <v>47</v>
      </c>
      <c r="X74" s="124"/>
      <c r="Y74" s="124" t="s">
        <v>48</v>
      </c>
      <c r="Z74" s="124"/>
      <c r="AA74" s="124" t="s">
        <v>49</v>
      </c>
      <c r="AB74" s="124"/>
      <c r="AC74" s="124" t="s">
        <v>50</v>
      </c>
      <c r="AL74" s="125" t="s">
        <v>51</v>
      </c>
      <c r="AM74" s="125" t="s">
        <v>52</v>
      </c>
      <c r="AN74" s="125" t="s">
        <v>51</v>
      </c>
      <c r="AO74" s="125" t="s">
        <v>52</v>
      </c>
      <c r="AP74" s="125" t="s">
        <v>51</v>
      </c>
      <c r="AQ74" s="125" t="s">
        <v>52</v>
      </c>
      <c r="AR74" s="125" t="s">
        <v>51</v>
      </c>
      <c r="AS74" s="125" t="s">
        <v>52</v>
      </c>
    </row>
    <row r="75" spans="2:45" x14ac:dyDescent="0.25">
      <c r="B75" s="106"/>
      <c r="D75" s="386" t="s">
        <v>46</v>
      </c>
      <c r="E75" s="386"/>
      <c r="F75" s="126"/>
      <c r="G75" s="126"/>
      <c r="H75" s="126"/>
      <c r="I75" s="126"/>
      <c r="J75" s="126"/>
      <c r="K75" s="126"/>
      <c r="L75" s="126"/>
      <c r="M75" s="126"/>
      <c r="O75" s="106"/>
      <c r="Q75" s="122" t="s">
        <v>1980</v>
      </c>
      <c r="R75" s="111"/>
      <c r="S75" s="127"/>
      <c r="T75" s="111"/>
      <c r="U75" s="127"/>
      <c r="V75" s="111"/>
      <c r="W75" s="127"/>
      <c r="X75" s="111"/>
      <c r="Y75" s="127"/>
      <c r="Z75" s="111"/>
      <c r="AA75" s="127"/>
      <c r="AB75" s="111"/>
      <c r="AC75" s="127"/>
      <c r="AE75" s="105" t="s">
        <v>46</v>
      </c>
      <c r="AF75" s="105">
        <v>1</v>
      </c>
      <c r="AG75" s="105">
        <f>+IF(AF75&gt;=$G$71,1,0)</f>
        <v>0</v>
      </c>
      <c r="AH75" s="105">
        <f>+IF(AG75=0,0,IF(AG75=1,(SUM($AG$75:AG75)-1),1))</f>
        <v>0</v>
      </c>
      <c r="AI75" s="105">
        <f>+IF(AH75=0,0,IF(MOD(AH75,$U$69)=0,1,0))</f>
        <v>0</v>
      </c>
      <c r="AJ75" s="105">
        <f>+IF(AE75=$F$71,1,0)</f>
        <v>0</v>
      </c>
      <c r="AK75" s="105">
        <f>+MAX(AI75:AJ75)</f>
        <v>0</v>
      </c>
      <c r="AL75" s="128" t="str">
        <f>+""</f>
        <v/>
      </c>
      <c r="AM75" s="128" t="str">
        <f>+IF(AK75=0,"",IF(R78="&gt;",S78+0.001,IF(R78="&lt;",S78-0.001,S78)))</f>
        <v/>
      </c>
      <c r="AN75" s="128" t="str">
        <f>+IF(R77="NA","",IF(AK75=0,"",IF(R78="≥",S78-0.001,IF(R78="≤",S78+0.001,S78))))</f>
        <v/>
      </c>
      <c r="AO75" s="128" t="str">
        <f>IF(R77="NA","",IF(AK75=0,"",IF(R77="&gt;",S77+0.001,IF(R77="&lt;",S77-0.001,S77))))</f>
        <v/>
      </c>
      <c r="AP75" s="128" t="str">
        <f>+IF(R76="NA","",IF(AK75=0,"",IF(R77="≥",S77-0.001,IF(R77="≤",S77+0.001,S77))))</f>
        <v/>
      </c>
      <c r="AQ75" s="128" t="str">
        <f>+IF(R76="NA","",IF(AK75=0,"",IF(R76="&gt;",S76+0.001,IF(R76="&lt;",S76-0.001,S76))))</f>
        <v/>
      </c>
      <c r="AR75" s="128" t="str">
        <f>IF(AK75=0,"",IF(R76="≥",S75-0.001,IF(R76="≤",S75+0.001,"")))</f>
        <v/>
      </c>
      <c r="AS75" s="128" t="str">
        <f>+IF(AK75=0,"",IF(R75="=",S75,""))</f>
        <v/>
      </c>
    </row>
    <row r="76" spans="2:45" x14ac:dyDescent="0.25">
      <c r="B76" s="106"/>
      <c r="D76" s="386" t="s">
        <v>40</v>
      </c>
      <c r="E76" s="386"/>
      <c r="F76" s="126"/>
      <c r="G76" s="126"/>
      <c r="H76" s="126"/>
      <c r="I76" s="126"/>
      <c r="J76" s="126"/>
      <c r="K76" s="126"/>
      <c r="L76" s="126"/>
      <c r="M76" s="126"/>
      <c r="O76" s="106"/>
      <c r="Q76" s="122" t="s">
        <v>1981</v>
      </c>
      <c r="R76" s="111"/>
      <c r="S76" s="127"/>
      <c r="T76" s="111"/>
      <c r="U76" s="127"/>
      <c r="V76" s="111"/>
      <c r="W76" s="127"/>
      <c r="X76" s="111"/>
      <c r="Y76" s="127"/>
      <c r="Z76" s="111"/>
      <c r="AA76" s="127"/>
      <c r="AB76" s="111"/>
      <c r="AC76" s="127"/>
      <c r="AE76" s="105" t="s">
        <v>40</v>
      </c>
      <c r="AF76" s="105">
        <v>2</v>
      </c>
      <c r="AG76" s="105">
        <f t="shared" ref="AG76:AG86" si="0">+IF(AF76&gt;=$G$71,1,0)</f>
        <v>0</v>
      </c>
      <c r="AH76" s="105">
        <f>+IF(AG76=0,0,IF(AG76=1,(SUM($AG$75:AG76)-1),1))</f>
        <v>0</v>
      </c>
      <c r="AI76" s="105">
        <f t="shared" ref="AI76:AI86" si="1">+IF(AH76=0,0,IF(MOD(AH76,$U$69)=0,1,0))</f>
        <v>0</v>
      </c>
      <c r="AJ76" s="105">
        <f t="shared" ref="AJ76:AJ86" si="2">+IF(AE76=$F$71,1,0)</f>
        <v>0</v>
      </c>
      <c r="AK76" s="105">
        <f t="shared" ref="AK76:AK86" si="3">+MAX(AI76:AJ76)</f>
        <v>0</v>
      </c>
      <c r="AL76" s="128" t="str">
        <f>+""</f>
        <v/>
      </c>
      <c r="AM76" s="128" t="str">
        <f>+IF(AK76=0,"",IF(T78="&gt;",U78+0.001,IF(T78="&lt;",U78-0.001,U78)))</f>
        <v/>
      </c>
      <c r="AN76" s="128" t="str">
        <f>+IF(T77="NA","",IF(AK76=0,"",IF(T78="≥",U78-0.001,IF(T78="≤",U78+0.001,U78))))</f>
        <v/>
      </c>
      <c r="AO76" s="128" t="str">
        <f>IF(T77="NA","",IF(AK76=0,"",IF(T77="&gt;",U77+0.001,IF(T77="&lt;",U77-0.001,U77))))</f>
        <v/>
      </c>
      <c r="AP76" s="128" t="str">
        <f>+IF(T76="NA","",IF(AK76=0,"",IF(T77="≥",U77-0.001,IF(T77="≤",U77+0.001,U77))))</f>
        <v/>
      </c>
      <c r="AQ76" s="128" t="str">
        <f>+IF(T76="NA","",IF(AK76=0,"",IF(T76="&gt;",U76+0.001,IF(T76="&lt;",U76-0.001,U76))))</f>
        <v/>
      </c>
      <c r="AR76" s="128" t="str">
        <f>IF(AK76=0,"",IF(T76="≥",U75-0.001,IF(T76="≤",U75+0.001,"")))</f>
        <v/>
      </c>
      <c r="AS76" s="128" t="str">
        <f>+IF(AK76=0,"",IF(T75="=",U75,""))</f>
        <v/>
      </c>
    </row>
    <row r="77" spans="2:45" x14ac:dyDescent="0.25">
      <c r="B77" s="106"/>
      <c r="D77" s="386" t="s">
        <v>47</v>
      </c>
      <c r="E77" s="386"/>
      <c r="F77" s="126"/>
      <c r="G77" s="126">
        <v>0.94</v>
      </c>
      <c r="H77" s="126">
        <v>0.94099999999999995</v>
      </c>
      <c r="I77" s="126">
        <v>0.96899999999999997</v>
      </c>
      <c r="J77" s="126">
        <v>0.97</v>
      </c>
      <c r="K77" s="126">
        <v>0.999</v>
      </c>
      <c r="L77" s="126">
        <v>1</v>
      </c>
      <c r="M77" s="126"/>
      <c r="O77" s="106"/>
      <c r="Q77" s="122" t="s">
        <v>1982</v>
      </c>
      <c r="R77" s="111"/>
      <c r="S77" s="127"/>
      <c r="T77" s="111"/>
      <c r="U77" s="127"/>
      <c r="V77" s="111"/>
      <c r="W77" s="127"/>
      <c r="X77" s="111"/>
      <c r="Y77" s="127"/>
      <c r="Z77" s="111"/>
      <c r="AA77" s="127"/>
      <c r="AB77" s="111"/>
      <c r="AC77" s="127"/>
      <c r="AE77" s="105" t="s">
        <v>47</v>
      </c>
      <c r="AF77" s="105">
        <v>3</v>
      </c>
      <c r="AG77" s="105">
        <f t="shared" si="0"/>
        <v>1</v>
      </c>
      <c r="AH77" s="105">
        <f>+IF(AG77=0,0,IF(AG77=1,(SUM($AG$75:AG77)-1),1))</f>
        <v>0</v>
      </c>
      <c r="AI77" s="105">
        <f t="shared" si="1"/>
        <v>0</v>
      </c>
      <c r="AJ77" s="105">
        <f t="shared" si="2"/>
        <v>1</v>
      </c>
      <c r="AK77" s="105">
        <f t="shared" si="3"/>
        <v>1</v>
      </c>
      <c r="AL77" s="128" t="str">
        <f>+""</f>
        <v/>
      </c>
      <c r="AM77" s="128">
        <f>+IF(AK77=0,"",IF(V78="&gt;",W78+0.001,IF(V78="&lt;",W78-0.001,W78)))</f>
        <v>0</v>
      </c>
      <c r="AN77" s="128">
        <f>+IF(V77="NA","",IF(AK77=0,"",IF(V78="≥",W78-0.001,IF(V78="≤",W78+0.001,W78))))</f>
        <v>0</v>
      </c>
      <c r="AO77" s="128">
        <f>IF(V77="NA","",IF(AK77=0,"",IF(V77="&gt;",W77+0.001,IF(V77="&lt;",W77-0.001,W77))))</f>
        <v>0</v>
      </c>
      <c r="AP77" s="128">
        <f>+IF(V76="NA","",IF(AK77=0,"",IF(V77="≥",W77-0.001,IF(V77="≤",W77+0.001,W77))))</f>
        <v>0</v>
      </c>
      <c r="AQ77" s="128">
        <f>+IF(V76="NA","",IF(AK77=0,"",IF(V76="&gt;",W76+0.001,IF(V76="&lt;",W76-0.001,W76))))</f>
        <v>0</v>
      </c>
      <c r="AR77" s="128" t="str">
        <f>IF(AK77=0,"",IF(V76="≥",W75-0.001,IF(V76="≤",W75+0.001,"")))</f>
        <v/>
      </c>
      <c r="AS77" s="128" t="str">
        <f>+IF(AK77=0,"",IF(V75="=",W75,""))</f>
        <v/>
      </c>
    </row>
    <row r="78" spans="2:45" x14ac:dyDescent="0.25">
      <c r="B78" s="106"/>
      <c r="D78" s="386" t="s">
        <v>48</v>
      </c>
      <c r="E78" s="386"/>
      <c r="F78" s="126"/>
      <c r="G78" s="126">
        <v>0.94</v>
      </c>
      <c r="H78" s="126">
        <v>0.94099999999999995</v>
      </c>
      <c r="I78" s="126">
        <v>0.96899999999999997</v>
      </c>
      <c r="J78" s="126">
        <v>0.97</v>
      </c>
      <c r="K78" s="126">
        <v>0.999</v>
      </c>
      <c r="L78" s="126">
        <v>1</v>
      </c>
      <c r="M78" s="126"/>
      <c r="O78" s="106"/>
      <c r="Q78" s="122" t="s">
        <v>1983</v>
      </c>
      <c r="R78" s="111"/>
      <c r="S78" s="127"/>
      <c r="T78" s="111"/>
      <c r="U78" s="127"/>
      <c r="V78" s="111"/>
      <c r="W78" s="127"/>
      <c r="X78" s="111"/>
      <c r="Y78" s="127"/>
      <c r="Z78" s="111"/>
      <c r="AA78" s="127"/>
      <c r="AB78" s="111"/>
      <c r="AC78" s="127"/>
      <c r="AE78" s="105" t="s">
        <v>48</v>
      </c>
      <c r="AF78" s="105">
        <v>4</v>
      </c>
      <c r="AG78" s="105">
        <f t="shared" si="0"/>
        <v>1</v>
      </c>
      <c r="AH78" s="105">
        <f>+IF(AG78=0,0,IF(AG78=1,(SUM($AG$75:AG78)-1),1))</f>
        <v>1</v>
      </c>
      <c r="AI78" s="105">
        <f t="shared" si="1"/>
        <v>1</v>
      </c>
      <c r="AJ78" s="105">
        <f t="shared" si="2"/>
        <v>0</v>
      </c>
      <c r="AK78" s="105">
        <f t="shared" si="3"/>
        <v>1</v>
      </c>
      <c r="AL78" s="128" t="str">
        <f>+""</f>
        <v/>
      </c>
      <c r="AM78" s="128">
        <f>+IF(AK78=0,"",IF(X78="&gt;",Y78+0.001,IF(X78="&lt;",Y78-0.001,Y78)))</f>
        <v>0</v>
      </c>
      <c r="AN78" s="128">
        <f>+IF(X77="NA","",IF(AK78=0,"",IF(X78="≥",Y78-0.001,IF(X78="≤",Y78+0.001,Y78))))</f>
        <v>0</v>
      </c>
      <c r="AO78" s="128">
        <f>IF(X77="NA","",IF(AK78=0,"",IF(X77="&gt;",Y77+0.001,IF(X77="&lt;",Y77-0.001,Y77))))</f>
        <v>0</v>
      </c>
      <c r="AP78" s="128">
        <f>+IF(X76="NA","",IF(AK78=0,"",IF(X77="≥",Y77-0.001,IF(X77="≤",Y77+0.001,Y77))))</f>
        <v>0</v>
      </c>
      <c r="AQ78" s="128">
        <f>+IF(X76="NA","",IF(AK78=0,"",IF(X76="&gt;",Y76+0.001,IF(X76="&lt;",Y76-0.001,Y76))))</f>
        <v>0</v>
      </c>
      <c r="AR78" s="128" t="str">
        <f>IF(AK78=0,"",IF(X76="≥",Y75-0.001,IF(X76="≤",Y75+0.001,"")))</f>
        <v/>
      </c>
      <c r="AS78" s="128" t="str">
        <f>+IF(AK78=0,"",IF(X75="=",Y75,""))</f>
        <v/>
      </c>
    </row>
    <row r="79" spans="2:45" x14ac:dyDescent="0.25">
      <c r="B79" s="106"/>
      <c r="D79" s="386" t="s">
        <v>49</v>
      </c>
      <c r="E79" s="386"/>
      <c r="F79" s="126"/>
      <c r="G79" s="126">
        <v>0.94</v>
      </c>
      <c r="H79" s="126">
        <v>0.94099999999999995</v>
      </c>
      <c r="I79" s="126">
        <v>0.96899999999999997</v>
      </c>
      <c r="J79" s="126">
        <v>0.97</v>
      </c>
      <c r="K79" s="126">
        <v>0.999</v>
      </c>
      <c r="L79" s="126">
        <v>1</v>
      </c>
      <c r="M79" s="126"/>
      <c r="O79" s="106"/>
      <c r="R79" s="111"/>
      <c r="S79" s="111">
        <f>+IFERROR(VLOOKUP(S80,$AE$75:$AK$86,7,FALSE),"")</f>
        <v>1</v>
      </c>
      <c r="U79" s="111">
        <f>+IFERROR(VLOOKUP(U80,$AE$75:$AK$86,7,FALSE),"")</f>
        <v>1</v>
      </c>
      <c r="W79" s="111">
        <f>+IFERROR(VLOOKUP(W80,$AE$75:$AK$86,7,FALSE),"")</f>
        <v>1</v>
      </c>
      <c r="Y79" s="111">
        <f>+IFERROR(VLOOKUP(Y80,$AE$75:$AK$86,7,FALSE),"")</f>
        <v>1</v>
      </c>
      <c r="AA79" s="111">
        <f>+IFERROR(VLOOKUP(AA80,$AE$75:$AK$86,7,FALSE),"")</f>
        <v>1</v>
      </c>
      <c r="AC79" s="111">
        <f>+IFERROR(VLOOKUP(AC80,$AE$75:$AK$86,7,FALSE),"")</f>
        <v>1</v>
      </c>
      <c r="AE79" s="105" t="s">
        <v>49</v>
      </c>
      <c r="AF79" s="105">
        <v>5</v>
      </c>
      <c r="AG79" s="105">
        <f t="shared" si="0"/>
        <v>1</v>
      </c>
      <c r="AH79" s="105">
        <f>+IF(AG79=0,0,IF(AG79=1,(SUM($AG$75:AG79)-1),1))</f>
        <v>2</v>
      </c>
      <c r="AI79" s="105">
        <f t="shared" si="1"/>
        <v>1</v>
      </c>
      <c r="AJ79" s="105">
        <f t="shared" si="2"/>
        <v>0</v>
      </c>
      <c r="AK79" s="105">
        <f t="shared" si="3"/>
        <v>1</v>
      </c>
      <c r="AL79" s="128" t="str">
        <f>+""</f>
        <v/>
      </c>
      <c r="AM79" s="128">
        <f>+IF(AK79=0,"",IF(Z78="&gt;",AA78+0.001,IF(Z78="&lt;",AA78-0.001,AA78)))</f>
        <v>0</v>
      </c>
      <c r="AN79" s="128">
        <f>+IF(Z77="NA","",IF(AK79=0,"",IF(Z78="≥",AA78-0.001,IF(Z78="≤",AA78+0.001,AA78))))</f>
        <v>0</v>
      </c>
      <c r="AO79" s="128">
        <f>IF(Z77="NA","",IF(AK79=0,"",IF(Z77="&gt;",AA77+0.001,IF(Z77="&lt;",AA77-0.001,AA77))))</f>
        <v>0</v>
      </c>
      <c r="AP79" s="128">
        <f>+IF(Z76="NA","",IF(AK79=0,"",IF(Z77="≥",AA77-0.001,IF(Z77="≤",AA77+0.001,AA77))))</f>
        <v>0</v>
      </c>
      <c r="AQ79" s="128">
        <f>+IF(Z76="NA","",IF(AK79=0,"",IF(Z76="&gt;",AA76+0.001,IF(Z76="&lt;",AA76-0.001,AA76))))</f>
        <v>0</v>
      </c>
      <c r="AR79" s="128" t="str">
        <f>IF(AK79=0,"",IF(Z76="≥",AA75-0.001,IF(Z76="≤",AA75+0.001,"")))</f>
        <v/>
      </c>
      <c r="AS79" s="128" t="str">
        <f>+IF(AK79=0,"",IF(Z75="=",AA75,""))</f>
        <v/>
      </c>
    </row>
    <row r="80" spans="2:45" x14ac:dyDescent="0.25">
      <c r="B80" s="106"/>
      <c r="D80" s="386" t="s">
        <v>50</v>
      </c>
      <c r="E80" s="386"/>
      <c r="F80" s="126"/>
      <c r="G80" s="126">
        <v>0.94</v>
      </c>
      <c r="H80" s="126">
        <v>0.94099999999999995</v>
      </c>
      <c r="I80" s="126">
        <v>0.96899999999999997</v>
      </c>
      <c r="J80" s="126">
        <v>0.97</v>
      </c>
      <c r="K80" s="126">
        <v>0.999</v>
      </c>
      <c r="L80" s="126">
        <v>1</v>
      </c>
      <c r="M80" s="126"/>
      <c r="O80" s="106"/>
      <c r="R80" s="111"/>
      <c r="S80" s="124" t="s">
        <v>53</v>
      </c>
      <c r="T80" s="124"/>
      <c r="U80" s="124" t="s">
        <v>54</v>
      </c>
      <c r="V80" s="124"/>
      <c r="W80" s="124" t="s">
        <v>55</v>
      </c>
      <c r="X80" s="124"/>
      <c r="Y80" s="124" t="s">
        <v>56</v>
      </c>
      <c r="Z80" s="124"/>
      <c r="AA80" s="124" t="s">
        <v>57</v>
      </c>
      <c r="AB80" s="124"/>
      <c r="AC80" s="124" t="s">
        <v>58</v>
      </c>
      <c r="AE80" s="105" t="s">
        <v>50</v>
      </c>
      <c r="AF80" s="105">
        <v>6</v>
      </c>
      <c r="AG80" s="105">
        <f t="shared" si="0"/>
        <v>1</v>
      </c>
      <c r="AH80" s="105">
        <f>+IF(AG80=0,0,IF(AG80=1,(SUM($AG$75:AG80)-1),1))</f>
        <v>3</v>
      </c>
      <c r="AI80" s="105">
        <f t="shared" si="1"/>
        <v>1</v>
      </c>
      <c r="AJ80" s="105">
        <f t="shared" si="2"/>
        <v>0</v>
      </c>
      <c r="AK80" s="105">
        <f t="shared" si="3"/>
        <v>1</v>
      </c>
      <c r="AL80" s="128" t="str">
        <f>+""</f>
        <v/>
      </c>
      <c r="AM80" s="128">
        <f>+IF(AK80=0,"",IF(AB78="&gt;",AC78+0.001,IF(AB78="&lt;",AC78-0.001,AC78)))</f>
        <v>0</v>
      </c>
      <c r="AN80" s="128">
        <f>+IF(AB77="NA","",IF(AK80=0,"",IF(AB78="≥",AC78-0.001,IF(AB78="≤",AC78+0.001,AC78))))</f>
        <v>0</v>
      </c>
      <c r="AO80" s="128">
        <f>IF(AB77="NA","",IF(AK80=0,"",IF(AB77="&gt;",AC77+0.001,IF(AB77="&lt;",AC77-0.001,AC77))))</f>
        <v>0</v>
      </c>
      <c r="AP80" s="128">
        <f>+IF(AB76="NA","",IF(AK80=0,"",IF(AB77="≥",AC77-0.001,IF(AB77="≤",AC77+0.001,AC77))))</f>
        <v>0</v>
      </c>
      <c r="AQ80" s="128">
        <f>+IF(AB76="NA","",IF(AK80=0,"",IF(AB76="&gt;",AC76+0.001,IF(AB76="&lt;",AC76-0.001,AC76))))</f>
        <v>0</v>
      </c>
      <c r="AR80" s="128" t="str">
        <f>IF(AK80=0,"",IF(AB76="≥",AC75-0.001,IF(AB76="≤",AC75+0.001,"")))</f>
        <v/>
      </c>
      <c r="AS80" s="128" t="str">
        <f>+IF(AK80=0,"",IF(AB75="=",AC75,""))</f>
        <v/>
      </c>
    </row>
    <row r="81" spans="2:45" x14ac:dyDescent="0.25">
      <c r="B81" s="106"/>
      <c r="D81" s="386" t="s">
        <v>53</v>
      </c>
      <c r="E81" s="386"/>
      <c r="F81" s="126"/>
      <c r="G81" s="126">
        <v>0.94</v>
      </c>
      <c r="H81" s="126">
        <v>0.94099999999999995</v>
      </c>
      <c r="I81" s="126">
        <v>0.96899999999999997</v>
      </c>
      <c r="J81" s="126">
        <v>0.97</v>
      </c>
      <c r="K81" s="126">
        <v>0.999</v>
      </c>
      <c r="L81" s="126">
        <v>1</v>
      </c>
      <c r="M81" s="126"/>
      <c r="O81" s="106"/>
      <c r="Q81" s="122" t="s">
        <v>1980</v>
      </c>
      <c r="R81" s="111"/>
      <c r="S81" s="127"/>
      <c r="T81" s="111"/>
      <c r="U81" s="127"/>
      <c r="V81" s="111"/>
      <c r="W81" s="127"/>
      <c r="X81" s="111"/>
      <c r="Y81" s="127"/>
      <c r="Z81" s="111"/>
      <c r="AA81" s="127"/>
      <c r="AB81" s="111"/>
      <c r="AC81" s="127"/>
      <c r="AE81" s="105" t="s">
        <v>53</v>
      </c>
      <c r="AF81" s="105">
        <v>7</v>
      </c>
      <c r="AG81" s="105">
        <f t="shared" si="0"/>
        <v>1</v>
      </c>
      <c r="AH81" s="105">
        <f>+IF(AG81=0,0,IF(AG81=1,(SUM($AG$75:AG81)-1),1))</f>
        <v>4</v>
      </c>
      <c r="AI81" s="105">
        <f t="shared" si="1"/>
        <v>1</v>
      </c>
      <c r="AJ81" s="105">
        <f t="shared" si="2"/>
        <v>0</v>
      </c>
      <c r="AK81" s="105">
        <f t="shared" si="3"/>
        <v>1</v>
      </c>
      <c r="AL81" s="128" t="str">
        <f>+""</f>
        <v/>
      </c>
      <c r="AM81" s="128">
        <f>+IF(AK81=0,"",IF(R84="&gt;",S84+0.001,IF(R84="&lt;",S84-0.001,S84)))</f>
        <v>0</v>
      </c>
      <c r="AN81" s="128">
        <f>+IF(R83="NA","",IF(AK81=0,"",IF(R84="≥",S84-0.001,IF(R84="≤",S84+0.001,S84))))</f>
        <v>0</v>
      </c>
      <c r="AO81" s="128">
        <f>IF(R83="NA","",IF(AK81=0,"",IF(R83="&gt;",S83+0.001,IF(R83="&lt;",S83-0.001,S83))))</f>
        <v>0</v>
      </c>
      <c r="AP81" s="128">
        <f>+IF(R82="NA","",IF(AK81=0,"",IF(R83="≥",S83-0.001,IF(R83="≤",S83+0.001,S83))))</f>
        <v>0</v>
      </c>
      <c r="AQ81" s="128">
        <f>+IF(R82="NA","",IF(AK81=0,"",IF(R82="&gt;",S82+0.001,IF(R82="&lt;",S82-0.001,S82))))</f>
        <v>0</v>
      </c>
      <c r="AR81" s="128" t="str">
        <f>IF(AK81=0,"",IF(R82="≥",S81-0.001,IF(R82="≤",S81+0.001,"")))</f>
        <v/>
      </c>
      <c r="AS81" s="128" t="str">
        <f>+IF(AK81=0,"",IF(R81="=",S81,""))</f>
        <v/>
      </c>
    </row>
    <row r="82" spans="2:45" x14ac:dyDescent="0.25">
      <c r="B82" s="106"/>
      <c r="D82" s="386" t="s">
        <v>54</v>
      </c>
      <c r="E82" s="386"/>
      <c r="F82" s="126"/>
      <c r="G82" s="126">
        <v>0.94</v>
      </c>
      <c r="H82" s="126">
        <v>0.94099999999999995</v>
      </c>
      <c r="I82" s="126">
        <v>0.96899999999999997</v>
      </c>
      <c r="J82" s="126">
        <v>0.97</v>
      </c>
      <c r="K82" s="126">
        <v>0.999</v>
      </c>
      <c r="L82" s="126">
        <v>1</v>
      </c>
      <c r="M82" s="126"/>
      <c r="O82" s="106"/>
      <c r="Q82" s="122" t="s">
        <v>1981</v>
      </c>
      <c r="R82" s="111"/>
      <c r="S82" s="127"/>
      <c r="T82" s="111"/>
      <c r="U82" s="127"/>
      <c r="V82" s="111"/>
      <c r="W82" s="127"/>
      <c r="X82" s="111"/>
      <c r="Y82" s="127"/>
      <c r="Z82" s="111"/>
      <c r="AA82" s="127"/>
      <c r="AB82" s="111"/>
      <c r="AC82" s="127"/>
      <c r="AE82" s="105" t="s">
        <v>54</v>
      </c>
      <c r="AF82" s="105">
        <v>8</v>
      </c>
      <c r="AG82" s="105">
        <f t="shared" si="0"/>
        <v>1</v>
      </c>
      <c r="AH82" s="105">
        <f>+IF(AG82=0,0,IF(AG82=1,(SUM($AG$75:AG82)-1),1))</f>
        <v>5</v>
      </c>
      <c r="AI82" s="105">
        <f t="shared" si="1"/>
        <v>1</v>
      </c>
      <c r="AJ82" s="105">
        <f t="shared" si="2"/>
        <v>0</v>
      </c>
      <c r="AK82" s="105">
        <f t="shared" si="3"/>
        <v>1</v>
      </c>
      <c r="AL82" s="128" t="str">
        <f>+""</f>
        <v/>
      </c>
      <c r="AM82" s="128">
        <f>+IF(AK82=0,"",IF(T84="&gt;",U84+0.001,IF(T84="&lt;",U84-0.001,U84)))</f>
        <v>0</v>
      </c>
      <c r="AN82" s="128">
        <f>+IF(T83="NA","",IF(AK82=0,"",IF(T84="≥",U84-0.001,IF(T84="≤",U84+0.001,U84))))</f>
        <v>0</v>
      </c>
      <c r="AO82" s="128">
        <f>IF(T83="NA","",IF(AK82=0,"",IF(T83="&gt;",U83+0.001,IF(T83="&lt;",U83-0.001,U83))))</f>
        <v>0</v>
      </c>
      <c r="AP82" s="128">
        <f>+IF(T82="NA","",IF(AK82=0,"",IF(T83="≥",U83-0.001,IF(T83="≤",U83+0.001,U83))))</f>
        <v>0</v>
      </c>
      <c r="AQ82" s="128">
        <f>+IF(T82="NA","",IF(AK82=0,"",IF(T82="&gt;",U82+0.001,IF(T82="&lt;",U82-0.001,U82))))</f>
        <v>0</v>
      </c>
      <c r="AR82" s="128" t="str">
        <f>IF(AK82=0,"",IF(T82="≥",U81-0.001,IF(T82="≤",U81+0.001,"")))</f>
        <v/>
      </c>
      <c r="AS82" s="128" t="str">
        <f>+IF(AK82=0,"",IF(T81="=",U81,""))</f>
        <v/>
      </c>
    </row>
    <row r="83" spans="2:45" x14ac:dyDescent="0.25">
      <c r="B83" s="106"/>
      <c r="D83" s="386" t="s">
        <v>55</v>
      </c>
      <c r="E83" s="386"/>
      <c r="F83" s="126"/>
      <c r="G83" s="126">
        <v>0.94</v>
      </c>
      <c r="H83" s="126">
        <v>0.94099999999999995</v>
      </c>
      <c r="I83" s="126">
        <v>0.96899999999999997</v>
      </c>
      <c r="J83" s="126">
        <v>0.97</v>
      </c>
      <c r="K83" s="126">
        <v>0.999</v>
      </c>
      <c r="L83" s="126">
        <v>1</v>
      </c>
      <c r="M83" s="126"/>
      <c r="O83" s="106"/>
      <c r="Q83" s="122" t="s">
        <v>1982</v>
      </c>
      <c r="R83" s="111"/>
      <c r="S83" s="127"/>
      <c r="T83" s="111"/>
      <c r="U83" s="127"/>
      <c r="V83" s="111"/>
      <c r="W83" s="127"/>
      <c r="X83" s="111"/>
      <c r="Y83" s="127"/>
      <c r="Z83" s="111"/>
      <c r="AA83" s="127"/>
      <c r="AB83" s="111"/>
      <c r="AC83" s="127"/>
      <c r="AE83" s="105" t="s">
        <v>55</v>
      </c>
      <c r="AF83" s="105">
        <v>9</v>
      </c>
      <c r="AG83" s="105">
        <f t="shared" si="0"/>
        <v>1</v>
      </c>
      <c r="AH83" s="105">
        <f>+IF(AG83=0,0,IF(AG83=1,(SUM($AG$75:AG83)-1),1))</f>
        <v>6</v>
      </c>
      <c r="AI83" s="105">
        <f t="shared" si="1"/>
        <v>1</v>
      </c>
      <c r="AJ83" s="105">
        <f t="shared" si="2"/>
        <v>0</v>
      </c>
      <c r="AK83" s="105">
        <f t="shared" si="3"/>
        <v>1</v>
      </c>
      <c r="AL83" s="128" t="str">
        <f>+""</f>
        <v/>
      </c>
      <c r="AM83" s="128">
        <f>+IF(AK83=0,"",IF(V84="&gt;",W84+0.001,IF(V84="&lt;",W84-0.001,W84)))</f>
        <v>0</v>
      </c>
      <c r="AN83" s="128">
        <f>+IF(V83="NA","",IF(AK83=0,"",IF(V84="≥",W84-0.001,IF(V84="≤",W84+0.001,W84))))</f>
        <v>0</v>
      </c>
      <c r="AO83" s="128">
        <f>IF(V83="NA","",IF(AK83=0,"",IF(V83="&gt;",W83+0.001,IF(V83="&lt;",W83-0.001,W83))))</f>
        <v>0</v>
      </c>
      <c r="AP83" s="128">
        <f>+IF(V82="NA","",IF(AK83=0,"",IF(V83="≥",W83-0.001,IF(V83="≤",W83+0.001,W83))))</f>
        <v>0</v>
      </c>
      <c r="AQ83" s="128">
        <f>+IF(V82="NA","",IF(AK83=0,"",IF(V82="&gt;",W82+0.001,IF(V82="&lt;",W82-0.001,W82))))</f>
        <v>0</v>
      </c>
      <c r="AR83" s="128" t="str">
        <f>IF(AK83=0,"",IF(V82="≥",W81-0.001,IF(V82="≤",W81+0.001,"")))</f>
        <v/>
      </c>
      <c r="AS83" s="128" t="str">
        <f>+IF(AK83=0,"",IF(V81="=",W81,""))</f>
        <v/>
      </c>
    </row>
    <row r="84" spans="2:45" x14ac:dyDescent="0.25">
      <c r="B84" s="106"/>
      <c r="D84" s="386" t="s">
        <v>56</v>
      </c>
      <c r="E84" s="386"/>
      <c r="F84" s="126"/>
      <c r="G84" s="126">
        <v>0.94</v>
      </c>
      <c r="H84" s="126">
        <v>0.94099999999999995</v>
      </c>
      <c r="I84" s="126">
        <v>0.96899999999999997</v>
      </c>
      <c r="J84" s="126">
        <v>0.97</v>
      </c>
      <c r="K84" s="126">
        <v>0.999</v>
      </c>
      <c r="L84" s="126">
        <v>1</v>
      </c>
      <c r="M84" s="126"/>
      <c r="O84" s="106"/>
      <c r="Q84" s="122" t="s">
        <v>1983</v>
      </c>
      <c r="R84" s="111"/>
      <c r="S84" s="127"/>
      <c r="T84" s="111"/>
      <c r="U84" s="127"/>
      <c r="V84" s="111"/>
      <c r="W84" s="127"/>
      <c r="X84" s="111"/>
      <c r="Y84" s="127"/>
      <c r="Z84" s="111"/>
      <c r="AA84" s="127"/>
      <c r="AB84" s="111"/>
      <c r="AC84" s="127"/>
      <c r="AE84" s="105" t="s">
        <v>56</v>
      </c>
      <c r="AF84" s="105">
        <v>10</v>
      </c>
      <c r="AG84" s="105">
        <f t="shared" si="0"/>
        <v>1</v>
      </c>
      <c r="AH84" s="105">
        <f>+IF(AG84=0,0,IF(AG84=1,(SUM($AG$75:AG84)-1),1))</f>
        <v>7</v>
      </c>
      <c r="AI84" s="105">
        <f t="shared" si="1"/>
        <v>1</v>
      </c>
      <c r="AJ84" s="105">
        <f t="shared" si="2"/>
        <v>0</v>
      </c>
      <c r="AK84" s="105">
        <f t="shared" si="3"/>
        <v>1</v>
      </c>
      <c r="AL84" s="128" t="str">
        <f>+""</f>
        <v/>
      </c>
      <c r="AM84" s="128">
        <f>+IF(AK84=0,"",IF(X84="&gt;",Y84+0.001,IF(X84="&lt;",Y84-0.001,Y84)))</f>
        <v>0</v>
      </c>
      <c r="AN84" s="128">
        <f>+IF(X83="NA","",IF(AK84=0,"",IF(X84="≥",Y84-0.001,IF(X84="≤",Y84+0.001,Y84))))</f>
        <v>0</v>
      </c>
      <c r="AO84" s="128">
        <f>IF(X83="NA","",IF(AK84=0,"",IF(X83="&gt;",Y83+0.001,IF(X83="&lt;",Y83-0.001,Y83))))</f>
        <v>0</v>
      </c>
      <c r="AP84" s="128">
        <f>+IF(X82="NA","",IF(AK84=0,"",IF(X83="≥",Y83-0.001,IF(X83="≤",Y83+0.001,Y83))))</f>
        <v>0</v>
      </c>
      <c r="AQ84" s="128">
        <f>+IF(X82="NA","",IF(AK84=0,"",IF(X82="&gt;",Y82+0.001,IF(X82="&lt;",Y82-0.001,Y82))))</f>
        <v>0</v>
      </c>
      <c r="AR84" s="128" t="str">
        <f>IF(AK84=0,"",IF(X82="≥",Y81-0.001,IF(X82="≤",Y81+0.001,"")))</f>
        <v/>
      </c>
      <c r="AS84" s="128" t="str">
        <f>+IF(AK84=0,"",IF(X81="=",Y81,""))</f>
        <v/>
      </c>
    </row>
    <row r="85" spans="2:45" x14ac:dyDescent="0.25">
      <c r="B85" s="106"/>
      <c r="D85" s="386" t="s">
        <v>57</v>
      </c>
      <c r="E85" s="386"/>
      <c r="F85" s="126"/>
      <c r="G85" s="126">
        <v>0.94</v>
      </c>
      <c r="H85" s="126">
        <v>0.94099999999999995</v>
      </c>
      <c r="I85" s="126">
        <v>0.96899999999999997</v>
      </c>
      <c r="J85" s="126">
        <v>0.97</v>
      </c>
      <c r="K85" s="126">
        <v>0.999</v>
      </c>
      <c r="L85" s="126">
        <v>1</v>
      </c>
      <c r="M85" s="126"/>
      <c r="O85" s="106"/>
      <c r="AE85" s="105" t="s">
        <v>57</v>
      </c>
      <c r="AF85" s="105">
        <v>11</v>
      </c>
      <c r="AG85" s="105">
        <f t="shared" si="0"/>
        <v>1</v>
      </c>
      <c r="AH85" s="105">
        <f>+IF(AG85=0,0,IF(AG85=1,(SUM($AG$75:AG85)-1),1))</f>
        <v>8</v>
      </c>
      <c r="AI85" s="105">
        <f t="shared" si="1"/>
        <v>1</v>
      </c>
      <c r="AJ85" s="105">
        <f t="shared" si="2"/>
        <v>0</v>
      </c>
      <c r="AK85" s="105">
        <f t="shared" si="3"/>
        <v>1</v>
      </c>
      <c r="AL85" s="128" t="str">
        <f>+""</f>
        <v/>
      </c>
      <c r="AM85" s="128">
        <f>+IF(AK85=0,"",IF(Z84="&gt;",AA84+0.001,IF(Z84="&lt;",AA84-0.001,AA84)))</f>
        <v>0</v>
      </c>
      <c r="AN85" s="128">
        <f>+IF(Z83="NA","",IF(AK85=0,"",IF(Z84="≥",AA84-0.001,IF(Z84="≤",AA84+0.001,AA84))))</f>
        <v>0</v>
      </c>
      <c r="AO85" s="128">
        <f>IF(Z83="NA","",IF(AK85=0,"",IF(Z83="&gt;",AA83+0.001,IF(Z83="&lt;",AA83-0.001,AA83))))</f>
        <v>0</v>
      </c>
      <c r="AP85" s="128">
        <f>+IF(Z82="NA","",IF(AK85=0,"",IF(Z83="≥",AA83-0.001,IF(Z83="≤",AA83+0.001,AA83))))</f>
        <v>0</v>
      </c>
      <c r="AQ85" s="128">
        <f>+IF(Z82="NA","",IF(AK85=0,"",IF(Z82="&gt;",AA82+0.001,IF(Z82="&lt;",AA82-0.001,AA82))))</f>
        <v>0</v>
      </c>
      <c r="AR85" s="128" t="str">
        <f>IF(AK85=0,"",IF(Z82="≥",AA81-0.001,IF(Z82="≤",AA81+0.001,"")))</f>
        <v/>
      </c>
      <c r="AS85" s="128" t="str">
        <f>+IF(AK85=0,"",IF(Z81="=",AA81,""))</f>
        <v/>
      </c>
    </row>
    <row r="86" spans="2:45" x14ac:dyDescent="0.25">
      <c r="B86" s="106"/>
      <c r="D86" s="386" t="s">
        <v>58</v>
      </c>
      <c r="E86" s="386"/>
      <c r="F86" s="126"/>
      <c r="G86" s="126">
        <v>0.94</v>
      </c>
      <c r="H86" s="126">
        <v>0.94099999999999995</v>
      </c>
      <c r="I86" s="126">
        <v>0.96899999999999997</v>
      </c>
      <c r="J86" s="126">
        <v>0.97</v>
      </c>
      <c r="K86" s="126">
        <v>0.999</v>
      </c>
      <c r="L86" s="126">
        <v>1</v>
      </c>
      <c r="M86" s="126"/>
      <c r="O86" s="106"/>
      <c r="AE86" s="105" t="s">
        <v>58</v>
      </c>
      <c r="AF86" s="129">
        <v>12</v>
      </c>
      <c r="AG86" s="105">
        <f t="shared" si="0"/>
        <v>1</v>
      </c>
      <c r="AH86" s="105">
        <f>+IF(AG86=0,0,IF(AG86=1,(SUM($AG$75:AG86)-1),1))</f>
        <v>9</v>
      </c>
      <c r="AI86" s="105">
        <f t="shared" si="1"/>
        <v>1</v>
      </c>
      <c r="AJ86" s="105">
        <f t="shared" si="2"/>
        <v>0</v>
      </c>
      <c r="AK86" s="105">
        <f t="shared" si="3"/>
        <v>1</v>
      </c>
      <c r="AL86" s="128" t="str">
        <f>+""</f>
        <v/>
      </c>
      <c r="AM86" s="128">
        <f>+IF(AK86=0,"",IF(AB84="&gt;",AC84+0.001,IF(AB84="&lt;",AC84-0.001,AC84)))</f>
        <v>0</v>
      </c>
      <c r="AN86" s="128">
        <f>+IF(AB83="NA","",IF(AK86=0,"",IF(AB84="≥",AC84-0.001,IF(AB84="≤",AC84+0.001,AC84))))</f>
        <v>0</v>
      </c>
      <c r="AO86" s="128">
        <f>IF(AB83="NA","",IF(AK86=0,"",IF(AB83="&gt;",AC83+0.001,IF(AB83="&lt;",AC83-0.001,AC83))))</f>
        <v>0</v>
      </c>
      <c r="AP86" s="128">
        <f>+IF(AB82="NA","",IF(AK86=0,"",IF(AB83="≥",AC83-0.001,IF(AB83="≤",AC83+0.001,AC83))))</f>
        <v>0</v>
      </c>
      <c r="AQ86" s="128">
        <f>+IF(AB82="NA","",IF(AK86=0,"",IF(AB82="&gt;",AC82+0.001,IF(AB82="&lt;",AC82-0.001,AC82))))</f>
        <v>0</v>
      </c>
      <c r="AR86" s="128" t="str">
        <f>IF(AK86=0,"",IF(AB82="≥",AC81-0.001,IF(AB82="≤",AC81+0.001,"")))</f>
        <v/>
      </c>
      <c r="AS86" s="128" t="str">
        <f>+IF(AK86=0,"",IF(AB81="=",AC81,""))</f>
        <v/>
      </c>
    </row>
    <row r="87" spans="2:45" ht="3.75" customHeight="1" x14ac:dyDescent="0.25">
      <c r="B87" s="106"/>
      <c r="G87" s="126">
        <v>0.94</v>
      </c>
      <c r="H87" s="126">
        <v>0.94099999999999995</v>
      </c>
      <c r="I87" s="126">
        <v>0.96899999999999997</v>
      </c>
      <c r="J87" s="126">
        <v>0.97</v>
      </c>
      <c r="K87" s="126">
        <v>0.999</v>
      </c>
      <c r="L87" s="126">
        <v>1</v>
      </c>
      <c r="O87" s="106"/>
      <c r="AR87" s="128" t="str">
        <f>IF(AK87=0,"",IF(S83="Creciente",IF(R88="≥",S88-0.001,""),IF(R88="≤",S88+0.001,"")))</f>
        <v/>
      </c>
    </row>
    <row r="88" spans="2:45" ht="66" customHeight="1" x14ac:dyDescent="0.25">
      <c r="B88" s="106"/>
      <c r="D88" s="378" t="s">
        <v>59</v>
      </c>
      <c r="E88" s="379"/>
      <c r="F88" s="380" t="s">
        <v>2079</v>
      </c>
      <c r="G88" s="381"/>
      <c r="H88" s="381"/>
      <c r="I88" s="381"/>
      <c r="J88" s="381"/>
      <c r="K88" s="381"/>
      <c r="L88" s="381"/>
      <c r="M88" s="382"/>
      <c r="O88" s="106"/>
    </row>
    <row r="89" spans="2:45" ht="3.95" customHeight="1" x14ac:dyDescent="0.25">
      <c r="B89" s="106"/>
      <c r="O89" s="106"/>
    </row>
    <row r="90" spans="2:45" ht="3" customHeight="1" x14ac:dyDescent="0.25">
      <c r="B90" s="106"/>
      <c r="C90" s="106"/>
      <c r="D90" s="106"/>
      <c r="E90" s="106"/>
      <c r="F90" s="106"/>
      <c r="G90" s="106"/>
      <c r="H90" s="106"/>
      <c r="I90" s="106"/>
      <c r="J90" s="106"/>
      <c r="K90" s="106"/>
      <c r="L90" s="106"/>
      <c r="M90" s="106"/>
      <c r="N90" s="106"/>
      <c r="O90" s="106"/>
    </row>
    <row r="91" spans="2:45" ht="3" customHeight="1" x14ac:dyDescent="0.25"/>
    <row r="92" spans="2:45" ht="3" customHeight="1" x14ac:dyDescent="0.25">
      <c r="B92" s="106"/>
      <c r="C92" s="106"/>
      <c r="D92" s="106"/>
      <c r="E92" s="106"/>
      <c r="F92" s="106"/>
      <c r="G92" s="106"/>
      <c r="H92" s="106"/>
      <c r="I92" s="106"/>
      <c r="J92" s="106"/>
      <c r="K92" s="106"/>
      <c r="L92" s="106"/>
      <c r="M92" s="106"/>
      <c r="N92" s="106"/>
      <c r="O92" s="106"/>
    </row>
    <row r="93" spans="2:45" ht="3.95" customHeight="1" x14ac:dyDescent="0.25">
      <c r="B93" s="106"/>
      <c r="O93" s="106"/>
    </row>
    <row r="94" spans="2:45" x14ac:dyDescent="0.25">
      <c r="B94" s="106"/>
      <c r="D94" s="112" t="s">
        <v>60</v>
      </c>
      <c r="O94" s="106"/>
    </row>
    <row r="95" spans="2:45" ht="3.95" customHeight="1" x14ac:dyDescent="0.25">
      <c r="B95" s="106"/>
      <c r="O95" s="106"/>
    </row>
    <row r="96" spans="2:45" ht="20.100000000000001" customHeight="1" x14ac:dyDescent="0.25">
      <c r="B96" s="106"/>
      <c r="D96" s="387" t="s">
        <v>61</v>
      </c>
      <c r="E96" s="387"/>
      <c r="O96" s="106"/>
    </row>
    <row r="97" spans="2:15" ht="30" customHeight="1" x14ac:dyDescent="0.25">
      <c r="B97" s="106"/>
      <c r="D97" s="369" t="s">
        <v>35</v>
      </c>
      <c r="E97" s="369"/>
      <c r="F97" s="370" t="str">
        <f>+IFERROR(VLOOKUP($S$12,[1]Hoja1!$B$5:$AT$190,29,FALSE),"")</f>
        <v>Reportes de Ejecucion Presupuestal SIIF</v>
      </c>
      <c r="G97" s="370"/>
      <c r="H97" s="370"/>
      <c r="I97" s="370"/>
      <c r="J97" s="370"/>
      <c r="K97" s="370"/>
      <c r="L97" s="370"/>
      <c r="M97" s="370"/>
      <c r="O97" s="106"/>
    </row>
    <row r="98" spans="2:15" ht="30" customHeight="1" x14ac:dyDescent="0.25">
      <c r="B98" s="106"/>
      <c r="D98" s="369" t="s">
        <v>36</v>
      </c>
      <c r="E98" s="369"/>
      <c r="F98" s="370" t="s">
        <v>1984</v>
      </c>
      <c r="G98" s="370"/>
      <c r="H98" s="370"/>
      <c r="I98" s="370"/>
      <c r="J98" s="370"/>
      <c r="K98" s="370"/>
      <c r="L98" s="370"/>
      <c r="M98" s="370"/>
      <c r="O98" s="106"/>
    </row>
    <row r="99" spans="2:15" ht="3.95" customHeight="1" x14ac:dyDescent="0.25">
      <c r="B99" s="106"/>
      <c r="O99" s="106"/>
    </row>
    <row r="100" spans="2:15" ht="58.5" customHeight="1" x14ac:dyDescent="0.25">
      <c r="B100" s="106"/>
      <c r="D100" s="378" t="s">
        <v>62</v>
      </c>
      <c r="E100" s="379"/>
      <c r="F100" s="383"/>
      <c r="G100" s="384"/>
      <c r="H100" s="384"/>
      <c r="I100" s="384"/>
      <c r="J100" s="384"/>
      <c r="K100" s="384"/>
      <c r="L100" s="384"/>
      <c r="M100" s="385"/>
      <c r="O100" s="106"/>
    </row>
    <row r="101" spans="2:15" ht="3.95" customHeight="1" x14ac:dyDescent="0.25">
      <c r="B101" s="106"/>
      <c r="O101" s="106"/>
    </row>
    <row r="102" spans="2:15" ht="19.5" customHeight="1" x14ac:dyDescent="0.25">
      <c r="B102" s="106"/>
      <c r="D102" s="371" t="s">
        <v>64</v>
      </c>
      <c r="E102" s="372"/>
      <c r="F102" s="130" t="s">
        <v>65</v>
      </c>
      <c r="G102" s="107" t="s">
        <v>2</v>
      </c>
      <c r="K102" s="131"/>
      <c r="O102" s="106"/>
    </row>
    <row r="103" spans="2:15" ht="19.5" customHeight="1" x14ac:dyDescent="0.25">
      <c r="B103" s="106"/>
      <c r="D103" s="373"/>
      <c r="E103" s="374"/>
      <c r="F103" s="130" t="s">
        <v>66</v>
      </c>
      <c r="G103" s="132"/>
      <c r="K103" s="133"/>
      <c r="O103" s="106"/>
    </row>
    <row r="104" spans="2:15" ht="27.75" customHeight="1" x14ac:dyDescent="0.25">
      <c r="B104" s="106"/>
      <c r="D104" s="373"/>
      <c r="E104" s="374"/>
      <c r="F104" s="130" t="s">
        <v>67</v>
      </c>
      <c r="G104" s="375"/>
      <c r="H104" s="376"/>
      <c r="I104" s="376"/>
      <c r="J104" s="376"/>
      <c r="K104" s="376"/>
      <c r="L104" s="376"/>
      <c r="M104" s="377"/>
      <c r="O104" s="106"/>
    </row>
    <row r="105" spans="2:15" ht="3.95" customHeight="1" x14ac:dyDescent="0.25">
      <c r="B105" s="106"/>
      <c r="O105" s="106"/>
    </row>
    <row r="106" spans="2:15" ht="229.5" customHeight="1" x14ac:dyDescent="0.25">
      <c r="B106" s="106"/>
      <c r="D106" s="378" t="s">
        <v>68</v>
      </c>
      <c r="E106" s="379"/>
      <c r="F106" s="380" t="s">
        <v>102</v>
      </c>
      <c r="G106" s="381"/>
      <c r="H106" s="381"/>
      <c r="I106" s="381"/>
      <c r="J106" s="381"/>
      <c r="K106" s="381"/>
      <c r="L106" s="381"/>
      <c r="M106" s="382"/>
      <c r="O106" s="106"/>
    </row>
    <row r="107" spans="2:15" ht="3.95" customHeight="1" x14ac:dyDescent="0.25">
      <c r="B107" s="106"/>
      <c r="O107" s="106"/>
    </row>
    <row r="108" spans="2:15" ht="17.25" customHeight="1" x14ac:dyDescent="0.25">
      <c r="B108" s="106"/>
      <c r="D108" s="371" t="s">
        <v>2040</v>
      </c>
      <c r="E108" s="372"/>
      <c r="F108" s="130" t="s">
        <v>2041</v>
      </c>
      <c r="G108" s="375" t="str">
        <f>+VLOOKUP(H10,tablero!$P$5:$R$201,3,FALSE)</f>
        <v xml:space="preserve">Subdirector(a) Restablecimiento de Derechos </v>
      </c>
      <c r="H108" s="376"/>
      <c r="I108" s="376"/>
      <c r="J108" s="376"/>
      <c r="K108" s="376"/>
      <c r="L108" s="376"/>
      <c r="M108" s="377"/>
      <c r="O108" s="106"/>
    </row>
    <row r="109" spans="2:15" ht="17.25" customHeight="1" x14ac:dyDescent="0.25">
      <c r="B109" s="106"/>
      <c r="D109" s="373"/>
      <c r="E109" s="374"/>
      <c r="F109" s="130" t="s">
        <v>2042</v>
      </c>
      <c r="G109" s="375" t="str">
        <f>+IF(M23="Si","Coordinador(a) Planeación y Sistemas","")</f>
        <v/>
      </c>
      <c r="H109" s="376"/>
      <c r="I109" s="376"/>
      <c r="J109" s="376"/>
      <c r="K109" s="376"/>
      <c r="L109" s="376"/>
      <c r="M109" s="377"/>
      <c r="O109" s="106"/>
    </row>
    <row r="110" spans="2:15" ht="17.25" customHeight="1" x14ac:dyDescent="0.25">
      <c r="B110" s="106"/>
      <c r="D110" s="373"/>
      <c r="E110" s="374"/>
      <c r="F110" s="130" t="s">
        <v>2043</v>
      </c>
      <c r="G110" s="375" t="str">
        <f>+IF(M24="Si","Coordinador(a) Centro Zonal","")</f>
        <v/>
      </c>
      <c r="H110" s="376"/>
      <c r="I110" s="376"/>
      <c r="J110" s="376"/>
      <c r="K110" s="376"/>
      <c r="L110" s="376"/>
      <c r="M110" s="377"/>
      <c r="O110" s="106"/>
    </row>
    <row r="111" spans="2:15" ht="3.95" customHeight="1" x14ac:dyDescent="0.25">
      <c r="B111" s="106"/>
      <c r="O111" s="106"/>
    </row>
    <row r="112" spans="2:15" ht="3" customHeight="1" x14ac:dyDescent="0.25">
      <c r="B112" s="106"/>
      <c r="C112" s="106"/>
      <c r="D112" s="106"/>
      <c r="E112" s="106"/>
      <c r="F112" s="106"/>
      <c r="G112" s="106"/>
      <c r="H112" s="106"/>
      <c r="I112" s="106"/>
      <c r="J112" s="106"/>
      <c r="K112" s="106"/>
      <c r="L112" s="106"/>
      <c r="M112" s="106"/>
      <c r="N112" s="106"/>
      <c r="O112" s="106"/>
    </row>
    <row r="113" spans="13:13" x14ac:dyDescent="0.25">
      <c r="M113" s="121" t="s">
        <v>70</v>
      </c>
    </row>
  </sheetData>
  <mergeCells count="85">
    <mergeCell ref="C3:N5"/>
    <mergeCell ref="D10:E10"/>
    <mergeCell ref="D12:E12"/>
    <mergeCell ref="F12:M12"/>
    <mergeCell ref="D14:E14"/>
    <mergeCell ref="F14:M14"/>
    <mergeCell ref="D22:E22"/>
    <mergeCell ref="G22:H22"/>
    <mergeCell ref="K22:L22"/>
    <mergeCell ref="D23:E23"/>
    <mergeCell ref="G23:H23"/>
    <mergeCell ref="K23:L23"/>
    <mergeCell ref="D24:E24"/>
    <mergeCell ref="G24:H24"/>
    <mergeCell ref="K24:L24"/>
    <mergeCell ref="D25:E25"/>
    <mergeCell ref="D29:E29"/>
    <mergeCell ref="F29:M29"/>
    <mergeCell ref="D30:E31"/>
    <mergeCell ref="G30:M30"/>
    <mergeCell ref="G31:M31"/>
    <mergeCell ref="D32:E33"/>
    <mergeCell ref="G32:M32"/>
    <mergeCell ref="G33:M33"/>
    <mergeCell ref="D34:E35"/>
    <mergeCell ref="G34:M34"/>
    <mergeCell ref="G35:M35"/>
    <mergeCell ref="D43:E43"/>
    <mergeCell ref="D44:E45"/>
    <mergeCell ref="G44:M44"/>
    <mergeCell ref="G45:M45"/>
    <mergeCell ref="D46:E47"/>
    <mergeCell ref="G46:M46"/>
    <mergeCell ref="G47:M47"/>
    <mergeCell ref="D48:E49"/>
    <mergeCell ref="G48:M48"/>
    <mergeCell ref="G49:M49"/>
    <mergeCell ref="D51:E51"/>
    <mergeCell ref="G51:H51"/>
    <mergeCell ref="D59:E59"/>
    <mergeCell ref="F59:M59"/>
    <mergeCell ref="D60:E60"/>
    <mergeCell ref="F60:M60"/>
    <mergeCell ref="D82:E82"/>
    <mergeCell ref="D83:E83"/>
    <mergeCell ref="D61:E61"/>
    <mergeCell ref="F61:M61"/>
    <mergeCell ref="D67:E67"/>
    <mergeCell ref="D71:E71"/>
    <mergeCell ref="D73:E74"/>
    <mergeCell ref="F73:G73"/>
    <mergeCell ref="H73:I73"/>
    <mergeCell ref="J73:K73"/>
    <mergeCell ref="L73:M73"/>
    <mergeCell ref="D77:E77"/>
    <mergeCell ref="D78:E78"/>
    <mergeCell ref="D79:E79"/>
    <mergeCell ref="D80:E80"/>
    <mergeCell ref="D81:E81"/>
    <mergeCell ref="AR73:AS73"/>
    <mergeCell ref="D75:E75"/>
    <mergeCell ref="D76:E76"/>
    <mergeCell ref="AL73:AM73"/>
    <mergeCell ref="AN73:AO73"/>
    <mergeCell ref="AP73:AQ73"/>
    <mergeCell ref="D84:E84"/>
    <mergeCell ref="D85:E85"/>
    <mergeCell ref="D86:E86"/>
    <mergeCell ref="D88:E88"/>
    <mergeCell ref="F97:M97"/>
    <mergeCell ref="D96:E96"/>
    <mergeCell ref="D97:E97"/>
    <mergeCell ref="F88:M88"/>
    <mergeCell ref="D98:E98"/>
    <mergeCell ref="F98:M98"/>
    <mergeCell ref="D108:E110"/>
    <mergeCell ref="G108:M108"/>
    <mergeCell ref="G109:M109"/>
    <mergeCell ref="G110:M110"/>
    <mergeCell ref="D102:E104"/>
    <mergeCell ref="G104:M104"/>
    <mergeCell ref="D106:E106"/>
    <mergeCell ref="F106:M106"/>
    <mergeCell ref="D100:E100"/>
    <mergeCell ref="F100:M100"/>
  </mergeCells>
  <conditionalFormatting sqref="F44:M49">
    <cfRule type="expression" dxfId="2258" priority="36">
      <formula>+IF($F$43="no",1,0)</formula>
    </cfRule>
  </conditionalFormatting>
  <conditionalFormatting sqref="F47:M47">
    <cfRule type="expression" dxfId="2257" priority="33">
      <formula>+IF($Q$47=0,1,0)</formula>
    </cfRule>
  </conditionalFormatting>
  <conditionalFormatting sqref="Y75:Y78">
    <cfRule type="expression" dxfId="2256" priority="29">
      <formula>+IF(Y$73=0,1,0)</formula>
    </cfRule>
  </conditionalFormatting>
  <conditionalFormatting sqref="AA75:AA78">
    <cfRule type="expression" dxfId="2255" priority="28">
      <formula>+IF(AA$73=0,1,0)</formula>
    </cfRule>
  </conditionalFormatting>
  <conditionalFormatting sqref="AC75:AC78">
    <cfRule type="expression" dxfId="2254" priority="27">
      <formula>+IF(AC$73=0,1,0)</formula>
    </cfRule>
  </conditionalFormatting>
  <conditionalFormatting sqref="S81:S84">
    <cfRule type="expression" dxfId="2253" priority="26">
      <formula>+IF(S$79=0,1,0)</formula>
    </cfRule>
  </conditionalFormatting>
  <conditionalFormatting sqref="U81:U84">
    <cfRule type="expression" dxfId="2252" priority="25">
      <formula>+IF(U$79=0,1,0)</formula>
    </cfRule>
  </conditionalFormatting>
  <conditionalFormatting sqref="W81:W84">
    <cfRule type="expression" dxfId="2251" priority="24">
      <formula>+IF(W$79=0,1,0)</formula>
    </cfRule>
  </conditionalFormatting>
  <conditionalFormatting sqref="Y81:Y84">
    <cfRule type="expression" dxfId="2250" priority="23">
      <formula>+IF(Y$79=0,1,0)</formula>
    </cfRule>
  </conditionalFormatting>
  <conditionalFormatting sqref="AA81:AA84">
    <cfRule type="expression" dxfId="2249" priority="22">
      <formula>+IF(AA$79=0,1,0)</formula>
    </cfRule>
  </conditionalFormatting>
  <conditionalFormatting sqref="AC81:AC84">
    <cfRule type="expression" dxfId="2248" priority="21">
      <formula>+IF(AC$79=0,1,0)</formula>
    </cfRule>
  </conditionalFormatting>
  <conditionalFormatting sqref="F73:G73">
    <cfRule type="cellIs" dxfId="2247" priority="19" operator="equal">
      <formula>"optimo"</formula>
    </cfRule>
    <cfRule type="cellIs" dxfId="2246" priority="20" operator="equal">
      <formula>"critico"</formula>
    </cfRule>
  </conditionalFormatting>
  <conditionalFormatting sqref="H73:I73">
    <cfRule type="cellIs" dxfId="2245" priority="17" operator="equal">
      <formula>"Adecuado"</formula>
    </cfRule>
    <cfRule type="cellIs" dxfId="2244" priority="18" operator="equal">
      <formula>"en riesgo"</formula>
    </cfRule>
  </conditionalFormatting>
  <conditionalFormatting sqref="J73:K73">
    <cfRule type="cellIs" dxfId="2243" priority="15" operator="equal">
      <formula>"Adecuado"</formula>
    </cfRule>
    <cfRule type="cellIs" dxfId="2242" priority="16" operator="equal">
      <formula>"en riesgo"</formula>
    </cfRule>
  </conditionalFormatting>
  <conditionalFormatting sqref="L73:M73">
    <cfRule type="cellIs" dxfId="2241" priority="13" operator="equal">
      <formula>"optimo"</formula>
    </cfRule>
    <cfRule type="cellIs" dxfId="2240" priority="14" operator="equal">
      <formula>"critico"</formula>
    </cfRule>
  </conditionalFormatting>
  <conditionalFormatting sqref="F75:M76">
    <cfRule type="expression" dxfId="2239" priority="12">
      <formula>+IF($AK75=0,1)</formula>
    </cfRule>
  </conditionalFormatting>
  <conditionalFormatting sqref="F103:G104">
    <cfRule type="expression" dxfId="2238" priority="11">
      <formula>+IF($G$102="No",1,0)</formula>
    </cfRule>
  </conditionalFormatting>
  <conditionalFormatting sqref="F51">
    <cfRule type="expression" dxfId="2237" priority="10">
      <formula>+IF($F$43="no",1,0)</formula>
    </cfRule>
  </conditionalFormatting>
  <conditionalFormatting sqref="I51">
    <cfRule type="expression" dxfId="2236" priority="9">
      <formula>+IF($F$51="no",1,0)</formula>
    </cfRule>
  </conditionalFormatting>
  <conditionalFormatting sqref="F32:M33">
    <cfRule type="expression" dxfId="2235" priority="7">
      <formula>+IF($Q$30="NA",1,0)</formula>
    </cfRule>
  </conditionalFormatting>
  <conditionalFormatting sqref="F33:M33">
    <cfRule type="expression" dxfId="2234" priority="6">
      <formula>+IF($Q$33=0,1,0)</formula>
    </cfRule>
  </conditionalFormatting>
  <conditionalFormatting sqref="F77:F86 M77:M86">
    <cfRule type="expression" dxfId="2233" priority="2">
      <formula>+IF($AK77=0,1)</formula>
    </cfRule>
  </conditionalFormatting>
  <conditionalFormatting sqref="G77:L87">
    <cfRule type="expression" dxfId="2232" priority="1">
      <formula>+IF($AK77=0,1)</formula>
    </cfRule>
  </conditionalFormatting>
  <dataValidations count="13">
    <dataValidation type="list" allowBlank="1" showInputMessage="1" showErrorMessage="1" sqref="F25">
      <formula1>dimen</formula1>
    </dataValidation>
    <dataValidation type="list" allowBlank="1" showInputMessage="1" showErrorMessage="1" sqref="G49:M49">
      <formula1>proyectos</formula1>
    </dataValidation>
    <dataValidation type="list" allowBlank="1" showInputMessage="1" showErrorMessage="1" sqref="F71">
      <formula1>$D$75:$D$86</formula1>
    </dataValidation>
    <dataValidation type="list" allowBlank="1" showInputMessage="1" showErrorMessage="1" sqref="I24">
      <formula1>ambito</formula1>
    </dataValidation>
    <dataValidation type="list" allowBlank="1" showInputMessage="1" showErrorMessage="1" sqref="I23">
      <formula1>medidas</formula1>
    </dataValidation>
    <dataValidation type="list" allowBlank="1" showInputMessage="1" showErrorMessage="1" sqref="F24">
      <formula1>tendencia</formula1>
    </dataValidation>
    <dataValidation type="list" allowBlank="1" showInputMessage="1" showErrorMessage="1" sqref="G47:M47">
      <formula1>INDIRECT($Q$45)</formula1>
    </dataValidation>
    <dataValidation type="list" allowBlank="1" showInputMessage="1" showErrorMessage="1" sqref="G45:M45">
      <formula1>lineas</formula1>
    </dataValidation>
    <dataValidation type="list" allowBlank="1" showInputMessage="1" showErrorMessage="1" sqref="G31:M31">
      <formula1>macroproceso</formula1>
    </dataValidation>
    <dataValidation type="list" allowBlank="1" showInputMessage="1" showErrorMessage="1" sqref="G33:M33">
      <formula1>INDIRECT($Q$30)</formula1>
    </dataValidation>
    <dataValidation type="list" allowBlank="1" showInputMessage="1" showErrorMessage="1" sqref="F35:G35">
      <formula1>macroprocesos</formula1>
    </dataValidation>
    <dataValidation type="list" allowBlank="1" showInputMessage="1" showErrorMessage="1" sqref="F29:M29">
      <formula1>objetivos</formula1>
    </dataValidation>
    <dataValidation type="list" allowBlank="1" showInputMessage="1" showErrorMessage="1" sqref="G102 F43 F51">
      <formula1>$S$4:$S$5</formula1>
    </dataValidation>
  </dataValidations>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[1]Hoja1!#REF!</xm:f>
          </x14:formula1>
          <xm:sqref>S12</xm:sqref>
        </x14:dataValidation>
        <x14:dataValidation type="list" allowBlank="1" showInputMessage="1" showErrorMessage="1">
          <x14:formula1>
            <xm:f>[1]base!#REF!</xm:f>
          </x14:formula1>
          <xm:sqref>R75:R78 T75:T78 V75:V78 X75:X78 Z75:Z78 AB75:AB78 T81:T84 Z81:Z84 R81:R84 V81:V84 X81:X84 AB81:AB84 F23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tabColor rgb="FF0070C0"/>
  </sheetPr>
  <dimension ref="B1:AV113"/>
  <sheetViews>
    <sheetView topLeftCell="A67" zoomScaleNormal="100" workbookViewId="0">
      <selection activeCell="J86" sqref="J86:K86"/>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115</v>
      </c>
      <c r="O10" s="2"/>
    </row>
    <row r="11" spans="2:24" ht="3.95" customHeight="1" x14ac:dyDescent="0.25">
      <c r="B11" s="2"/>
      <c r="D11" s="6"/>
      <c r="O11" s="2"/>
    </row>
    <row r="12" spans="2:24" ht="36" customHeight="1" x14ac:dyDescent="0.25">
      <c r="B12" s="2"/>
      <c r="D12" s="338" t="s">
        <v>5</v>
      </c>
      <c r="E12" s="339"/>
      <c r="F12" s="340" t="s">
        <v>116</v>
      </c>
      <c r="G12" s="341"/>
      <c r="H12" s="341"/>
      <c r="I12" s="341"/>
      <c r="J12" s="341"/>
      <c r="K12" s="341"/>
      <c r="L12" s="341"/>
      <c r="M12" s="342"/>
      <c r="O12" s="2"/>
      <c r="W12" s="3" t="str">
        <f>+F23</f>
        <v>Trimestral</v>
      </c>
      <c r="X12" s="3" t="str">
        <f>+F71</f>
        <v>Septiembre</v>
      </c>
    </row>
    <row r="13" spans="2:24" ht="3.95" customHeight="1" x14ac:dyDescent="0.25">
      <c r="B13" s="2"/>
      <c r="O13" s="2"/>
    </row>
    <row r="14" spans="2:24" ht="36" customHeight="1" x14ac:dyDescent="0.25">
      <c r="B14" s="2"/>
      <c r="D14" s="338" t="s">
        <v>6</v>
      </c>
      <c r="E14" s="339"/>
      <c r="F14" s="340" t="s">
        <v>633</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17" t="s">
        <v>512</v>
      </c>
      <c r="G22" s="337" t="s">
        <v>9</v>
      </c>
      <c r="H22" s="337"/>
      <c r="I22" s="17">
        <v>0.8</v>
      </c>
      <c r="K22" s="337" t="s">
        <v>10</v>
      </c>
      <c r="L22" s="337"/>
      <c r="M22" s="9" t="s">
        <v>496</v>
      </c>
      <c r="O22" s="2"/>
    </row>
    <row r="23" spans="2:17" ht="19.5" customHeight="1" x14ac:dyDescent="0.25">
      <c r="B23" s="2"/>
      <c r="D23" s="337" t="s">
        <v>11</v>
      </c>
      <c r="E23" s="337"/>
      <c r="F23" s="4" t="s">
        <v>71</v>
      </c>
      <c r="G23" s="337" t="s">
        <v>12</v>
      </c>
      <c r="H23" s="337"/>
      <c r="I23" s="4" t="s">
        <v>497</v>
      </c>
      <c r="K23" s="337" t="s">
        <v>13</v>
      </c>
      <c r="L23" s="337"/>
      <c r="M23" s="9" t="s">
        <v>2</v>
      </c>
      <c r="O23" s="2"/>
    </row>
    <row r="24" spans="2:17" ht="20.100000000000001" customHeight="1" x14ac:dyDescent="0.25">
      <c r="B24" s="2"/>
      <c r="D24" s="337" t="s">
        <v>14</v>
      </c>
      <c r="E24" s="337"/>
      <c r="F24" s="4" t="s">
        <v>498</v>
      </c>
      <c r="G24" s="337" t="s">
        <v>15</v>
      </c>
      <c r="H24" s="337"/>
      <c r="I24" s="4" t="s">
        <v>533</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20</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NA</v>
      </c>
    </row>
    <row r="31" spans="2:17" ht="24" customHeight="1" x14ac:dyDescent="0.25">
      <c r="B31" s="2"/>
      <c r="D31" s="347"/>
      <c r="E31" s="348"/>
      <c r="F31" s="4" t="s">
        <v>109</v>
      </c>
      <c r="G31" s="340" t="s">
        <v>110</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500</v>
      </c>
      <c r="G33" s="340"/>
      <c r="H33" s="341"/>
      <c r="I33" s="341"/>
      <c r="J33" s="341"/>
      <c r="K33" s="341"/>
      <c r="L33" s="341"/>
      <c r="M33" s="342"/>
      <c r="O33" s="2"/>
      <c r="Q33" s="3" t="str">
        <f>+IFERROR(IF(VLOOKUP(G33,base!$A$26:$C$40,3,FALSE)=F31,1,0),"")</f>
        <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1711</v>
      </c>
      <c r="G35" s="340" t="s">
        <v>1587</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501</v>
      </c>
      <c r="G45" s="340" t="s">
        <v>502</v>
      </c>
      <c r="H45" s="341"/>
      <c r="I45" s="341"/>
      <c r="J45" s="341"/>
      <c r="K45" s="341"/>
      <c r="L45" s="341"/>
      <c r="M45" s="342"/>
      <c r="O45" s="2"/>
      <c r="Q45" s="3" t="str">
        <f>+IFERROR(VLOOKUP(G45,base!$A$41:$C$45,3,FALSE),"")</f>
        <v>misional</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503</v>
      </c>
      <c r="G47" s="340" t="s">
        <v>504</v>
      </c>
      <c r="H47" s="341"/>
      <c r="I47" s="341"/>
      <c r="J47" s="341"/>
      <c r="K47" s="341"/>
      <c r="L47" s="341"/>
      <c r="M47" s="342"/>
      <c r="O47" s="2"/>
      <c r="Q47" s="3">
        <f>+IF(VLOOKUP(G47,base!$A$46:$C$66,3,FALSE)=F45,1,0)</f>
        <v>1</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535</v>
      </c>
      <c r="G49" s="340" t="s">
        <v>30</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496</v>
      </c>
      <c r="G51" s="337" t="s">
        <v>32</v>
      </c>
      <c r="H51" s="337"/>
      <c r="I51" s="17">
        <v>1</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75" customHeight="1" x14ac:dyDescent="0.25">
      <c r="B59" s="2"/>
      <c r="D59" s="337" t="s">
        <v>34</v>
      </c>
      <c r="E59" s="337"/>
      <c r="F59" s="344" t="s">
        <v>634</v>
      </c>
      <c r="G59" s="344"/>
      <c r="H59" s="344"/>
      <c r="I59" s="344"/>
      <c r="J59" s="344"/>
      <c r="K59" s="344"/>
      <c r="L59" s="344"/>
      <c r="M59" s="344"/>
      <c r="O59" s="2"/>
    </row>
    <row r="60" spans="2:15" ht="27" customHeight="1" x14ac:dyDescent="0.25">
      <c r="B60" s="2"/>
      <c r="D60" s="359" t="s">
        <v>35</v>
      </c>
      <c r="E60" s="359"/>
      <c r="F60" s="344" t="s">
        <v>635</v>
      </c>
      <c r="G60" s="344"/>
      <c r="H60" s="344"/>
      <c r="I60" s="344"/>
      <c r="J60" s="344"/>
      <c r="K60" s="344"/>
      <c r="L60" s="344"/>
      <c r="M60" s="344"/>
      <c r="O60" s="2"/>
    </row>
    <row r="61" spans="2:15" ht="27" customHeight="1" x14ac:dyDescent="0.25">
      <c r="B61" s="2"/>
      <c r="D61" s="359" t="s">
        <v>36</v>
      </c>
      <c r="E61" s="359"/>
      <c r="F61" s="344" t="s">
        <v>636</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43" t="s">
        <v>39</v>
      </c>
      <c r="E71" s="343"/>
      <c r="F71" s="4" t="s">
        <v>55</v>
      </c>
      <c r="G71" s="3">
        <v>9</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60" t="s">
        <v>50</v>
      </c>
      <c r="E80" s="360"/>
      <c r="F80" s="16" t="s">
        <v>500</v>
      </c>
      <c r="G80" s="16" t="s">
        <v>500</v>
      </c>
      <c r="H80" s="16" t="s">
        <v>500</v>
      </c>
      <c r="I80" s="16" t="s">
        <v>500</v>
      </c>
      <c r="J80" s="16" t="s">
        <v>500</v>
      </c>
      <c r="K80" s="16" t="s">
        <v>500</v>
      </c>
      <c r="L80" s="16" t="s">
        <v>500</v>
      </c>
      <c r="M80" s="16" t="s">
        <v>500</v>
      </c>
      <c r="O80" s="2"/>
      <c r="AE80" s="3" t="s">
        <v>50</v>
      </c>
      <c r="AF80" s="3">
        <v>6</v>
      </c>
      <c r="AG80" s="3">
        <f t="shared" si="0"/>
        <v>0</v>
      </c>
      <c r="AH80" s="3">
        <f>+IF(AG80=0,0,IF(AG80=1,(SUM($AG$75:AG80)-1),1))</f>
        <v>0</v>
      </c>
      <c r="AI80" s="3">
        <f t="shared" si="1"/>
        <v>0</v>
      </c>
      <c r="AJ80" s="3">
        <f t="shared" si="2"/>
        <v>0</v>
      </c>
      <c r="AK80" s="3">
        <f t="shared" si="3"/>
        <v>0</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0</v>
      </c>
      <c r="AH81" s="3">
        <f>+IF(AG81=0,0,IF(AG81=1,(SUM($AG$75:AG81)-1),1))</f>
        <v>0</v>
      </c>
      <c r="AI81" s="3">
        <f t="shared" si="1"/>
        <v>0</v>
      </c>
      <c r="AJ81" s="3">
        <f t="shared" si="2"/>
        <v>0</v>
      </c>
      <c r="AK81" s="3">
        <f t="shared" si="3"/>
        <v>0</v>
      </c>
    </row>
    <row r="82" spans="2:37" x14ac:dyDescent="0.25">
      <c r="B82" s="2"/>
      <c r="D82" s="360" t="s">
        <v>54</v>
      </c>
      <c r="E82" s="360"/>
      <c r="F82" s="16" t="s">
        <v>500</v>
      </c>
      <c r="G82" s="16" t="s">
        <v>500</v>
      </c>
      <c r="H82" s="16" t="s">
        <v>500</v>
      </c>
      <c r="I82" s="16" t="s">
        <v>500</v>
      </c>
      <c r="J82" s="16" t="s">
        <v>500</v>
      </c>
      <c r="K82" s="16" t="s">
        <v>500</v>
      </c>
      <c r="L82" s="16" t="s">
        <v>500</v>
      </c>
      <c r="M82" s="16" t="s">
        <v>500</v>
      </c>
      <c r="O82" s="2"/>
      <c r="AE82" s="3" t="s">
        <v>54</v>
      </c>
      <c r="AF82" s="3">
        <v>8</v>
      </c>
      <c r="AG82" s="3">
        <f t="shared" si="0"/>
        <v>0</v>
      </c>
      <c r="AH82" s="3">
        <f>+IF(AG82=0,0,IF(AG82=1,(SUM($AG$75:AG82)-1),1))</f>
        <v>0</v>
      </c>
      <c r="AI82" s="3">
        <f t="shared" si="1"/>
        <v>0</v>
      </c>
      <c r="AJ82" s="3">
        <f t="shared" si="2"/>
        <v>0</v>
      </c>
      <c r="AK82" s="3">
        <f t="shared" si="3"/>
        <v>0</v>
      </c>
    </row>
    <row r="83" spans="2:37" x14ac:dyDescent="0.25">
      <c r="B83" s="2"/>
      <c r="D83" s="360" t="s">
        <v>55</v>
      </c>
      <c r="E83" s="360"/>
      <c r="F83" s="16" t="s">
        <v>500</v>
      </c>
      <c r="G83" s="16">
        <v>0.4</v>
      </c>
      <c r="H83" s="16">
        <v>0.40100000000000002</v>
      </c>
      <c r="I83" s="16">
        <v>0.5</v>
      </c>
      <c r="J83" s="16">
        <v>0.501</v>
      </c>
      <c r="K83" s="16">
        <v>0.69899999999999995</v>
      </c>
      <c r="L83" s="16">
        <v>0.7</v>
      </c>
      <c r="M83" s="16" t="s">
        <v>500</v>
      </c>
      <c r="O83" s="2"/>
      <c r="AE83" s="3" t="s">
        <v>55</v>
      </c>
      <c r="AF83" s="3">
        <v>9</v>
      </c>
      <c r="AG83" s="3">
        <f t="shared" si="0"/>
        <v>1</v>
      </c>
      <c r="AH83" s="3">
        <f>+IF(AG83=0,0,IF(AG83=1,(SUM($AG$75:AG83)-1),1))</f>
        <v>0</v>
      </c>
      <c r="AI83" s="3">
        <f t="shared" si="1"/>
        <v>0</v>
      </c>
      <c r="AJ83" s="3">
        <f t="shared" si="2"/>
        <v>1</v>
      </c>
      <c r="AK83" s="3">
        <f t="shared" si="3"/>
        <v>1</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1</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2</v>
      </c>
      <c r="AI85" s="3">
        <f t="shared" si="1"/>
        <v>0</v>
      </c>
      <c r="AJ85" s="3">
        <f t="shared" si="2"/>
        <v>0</v>
      </c>
      <c r="AK85" s="3">
        <f t="shared" si="3"/>
        <v>0</v>
      </c>
    </row>
    <row r="86" spans="2:37" x14ac:dyDescent="0.25">
      <c r="B86" s="2"/>
      <c r="D86" s="360" t="s">
        <v>58</v>
      </c>
      <c r="E86" s="360"/>
      <c r="F86" s="16" t="s">
        <v>500</v>
      </c>
      <c r="G86" s="16">
        <v>0.5</v>
      </c>
      <c r="H86" s="16">
        <v>0.501</v>
      </c>
      <c r="I86" s="16">
        <v>0.6</v>
      </c>
      <c r="J86" s="16">
        <v>0.60099999999999998</v>
      </c>
      <c r="K86" s="16">
        <v>0.79900000000000004</v>
      </c>
      <c r="L86" s="16">
        <v>0.8</v>
      </c>
      <c r="M86" s="16" t="s">
        <v>500</v>
      </c>
      <c r="O86" s="2"/>
      <c r="AE86" s="3" t="s">
        <v>58</v>
      </c>
      <c r="AF86" s="65">
        <v>12</v>
      </c>
      <c r="AG86" s="3">
        <f t="shared" si="0"/>
        <v>1</v>
      </c>
      <c r="AH86" s="3">
        <f>+IF(AG86=0,0,IF(AG86=1,(SUM($AG$75:AG86)-1),1))</f>
        <v>3</v>
      </c>
      <c r="AI86" s="3">
        <f t="shared" si="1"/>
        <v>1</v>
      </c>
      <c r="AJ86" s="3">
        <f t="shared" si="2"/>
        <v>0</v>
      </c>
      <c r="AK86" s="3">
        <f t="shared" si="3"/>
        <v>1</v>
      </c>
    </row>
    <row r="87" spans="2:37" ht="3.75" customHeight="1" x14ac:dyDescent="0.25">
      <c r="B87" s="2"/>
      <c r="O87" s="2"/>
    </row>
    <row r="88" spans="2:37" ht="66" customHeight="1" x14ac:dyDescent="0.25">
      <c r="B88" s="2"/>
      <c r="D88" s="338" t="s">
        <v>59</v>
      </c>
      <c r="E88" s="339"/>
      <c r="F88" s="340" t="s">
        <v>72</v>
      </c>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28.5" customHeight="1" x14ac:dyDescent="0.25">
      <c r="B97" s="2"/>
      <c r="D97" s="359" t="s">
        <v>35</v>
      </c>
      <c r="E97" s="359"/>
      <c r="F97" s="344" t="s">
        <v>637</v>
      </c>
      <c r="G97" s="344"/>
      <c r="H97" s="344"/>
      <c r="I97" s="344"/>
      <c r="J97" s="344"/>
      <c r="K97" s="344"/>
      <c r="L97" s="344"/>
      <c r="M97" s="344"/>
      <c r="O97" s="2"/>
    </row>
    <row r="98" spans="2:15" ht="28.5" customHeight="1" x14ac:dyDescent="0.25">
      <c r="B98" s="2"/>
      <c r="D98" s="359" t="s">
        <v>36</v>
      </c>
      <c r="E98" s="359"/>
      <c r="F98" s="344" t="s">
        <v>638</v>
      </c>
      <c r="G98" s="344"/>
      <c r="H98" s="344"/>
      <c r="I98" s="344"/>
      <c r="J98" s="344"/>
      <c r="K98" s="344"/>
      <c r="L98" s="344"/>
      <c r="M98" s="344"/>
      <c r="O98" s="2"/>
    </row>
    <row r="99" spans="2:15" ht="3.95" customHeight="1" x14ac:dyDescent="0.25">
      <c r="B99" s="2"/>
      <c r="O99" s="2"/>
    </row>
    <row r="100" spans="2:15" ht="32.25" customHeight="1" x14ac:dyDescent="0.25">
      <c r="B100" s="2"/>
      <c r="D100" s="338" t="s">
        <v>62</v>
      </c>
      <c r="E100" s="339"/>
      <c r="F100" s="333" t="s">
        <v>73</v>
      </c>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2</v>
      </c>
      <c r="K102" s="20"/>
      <c r="O102" s="2"/>
    </row>
    <row r="103" spans="2:15" ht="19.5" customHeight="1" x14ac:dyDescent="0.25">
      <c r="B103" s="2"/>
      <c r="D103" s="331"/>
      <c r="E103" s="332"/>
      <c r="F103" s="19" t="s">
        <v>66</v>
      </c>
      <c r="G103" s="4"/>
      <c r="K103" s="21"/>
      <c r="O103" s="2"/>
    </row>
    <row r="104" spans="2:15" ht="27.75" customHeight="1" x14ac:dyDescent="0.25">
      <c r="B104" s="2"/>
      <c r="D104" s="331"/>
      <c r="E104" s="332"/>
      <c r="F104" s="19" t="s">
        <v>67</v>
      </c>
      <c r="G104" s="333"/>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69</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 xml:space="preserve">Director(a) Primera Infancia </v>
      </c>
      <c r="H108" s="334"/>
      <c r="I108" s="334"/>
      <c r="J108" s="334"/>
      <c r="K108" s="334"/>
      <c r="L108" s="334"/>
      <c r="M108" s="335"/>
      <c r="O108" s="2"/>
    </row>
    <row r="109" spans="2:15" ht="17.25" customHeight="1" x14ac:dyDescent="0.25">
      <c r="B109" s="2"/>
      <c r="D109" s="331"/>
      <c r="E109" s="332"/>
      <c r="F109" s="19" t="s">
        <v>2042</v>
      </c>
      <c r="G109" s="333" t="str">
        <f>+IF(M23="Si","Coordinador(a) Planeación y Sistemas","")</f>
        <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F51 G102">
    <cfRule type="expression" dxfId="3423" priority="29">
      <formula>+IF($F$43="no",1,0)</formula>
    </cfRule>
  </conditionalFormatting>
  <conditionalFormatting sqref="F32:M33">
    <cfRule type="expression" dxfId="3422" priority="28">
      <formula>+IF($Q$30="NA",1,0)</formula>
    </cfRule>
  </conditionalFormatting>
  <conditionalFormatting sqref="F33:M33">
    <cfRule type="expression" dxfId="3421" priority="27">
      <formula>+IF($Q$33=0,1,0)</formula>
    </cfRule>
  </conditionalFormatting>
  <conditionalFormatting sqref="F47:M47">
    <cfRule type="expression" dxfId="3420" priority="26">
      <formula>+IF($Q$47=0,1,0)</formula>
    </cfRule>
  </conditionalFormatting>
  <conditionalFormatting sqref="F73:G73">
    <cfRule type="cellIs" dxfId="3419" priority="12" operator="equal">
      <formula>"optimo"</formula>
    </cfRule>
    <cfRule type="cellIs" dxfId="3418" priority="13" operator="equal">
      <formula>"critico"</formula>
    </cfRule>
  </conditionalFormatting>
  <conditionalFormatting sqref="H73:I73">
    <cfRule type="cellIs" dxfId="3417" priority="10" operator="equal">
      <formula>"Adecuado"</formula>
    </cfRule>
    <cfRule type="cellIs" dxfId="3416" priority="11" operator="equal">
      <formula>"en riesgo"</formula>
    </cfRule>
  </conditionalFormatting>
  <conditionalFormatting sqref="J73:K73">
    <cfRule type="cellIs" dxfId="3415" priority="8" operator="equal">
      <formula>"Adecuado"</formula>
    </cfRule>
    <cfRule type="cellIs" dxfId="3414" priority="9" operator="equal">
      <formula>"en riesgo"</formula>
    </cfRule>
  </conditionalFormatting>
  <conditionalFormatting sqref="L73:M73">
    <cfRule type="cellIs" dxfId="3413" priority="6" operator="equal">
      <formula>"optimo"</formula>
    </cfRule>
    <cfRule type="cellIs" dxfId="3412" priority="7" operator="equal">
      <formula>"critico"</formula>
    </cfRule>
  </conditionalFormatting>
  <conditionalFormatting sqref="F75:M86">
    <cfRule type="expression" dxfId="3411" priority="5">
      <formula>+IF($AK75=0,1)</formula>
    </cfRule>
  </conditionalFormatting>
  <conditionalFormatting sqref="F103:G104">
    <cfRule type="expression" dxfId="3410" priority="4">
      <formula>+IF($G$102="No",1,0)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B1:AV113"/>
  <sheetViews>
    <sheetView zoomScale="90" zoomScaleNormal="90" workbookViewId="0">
      <selection activeCell="P1" sqref="P1"/>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314" t="s">
        <v>4</v>
      </c>
      <c r="H10" s="4" t="s">
        <v>2206</v>
      </c>
      <c r="O10" s="2"/>
    </row>
    <row r="11" spans="2:24" ht="3.95" customHeight="1" x14ac:dyDescent="0.25">
      <c r="B11" s="2"/>
      <c r="D11" s="6"/>
      <c r="O11" s="2"/>
    </row>
    <row r="12" spans="2:24" ht="36" customHeight="1" x14ac:dyDescent="0.25">
      <c r="B12" s="2"/>
      <c r="D12" s="338" t="s">
        <v>5</v>
      </c>
      <c r="E12" s="339"/>
      <c r="F12" s="340" t="s">
        <v>2207</v>
      </c>
      <c r="G12" s="341"/>
      <c r="H12" s="341"/>
      <c r="I12" s="341"/>
      <c r="J12" s="341"/>
      <c r="K12" s="341"/>
      <c r="L12" s="341"/>
      <c r="M12" s="342"/>
      <c r="O12" s="2"/>
      <c r="W12" s="3" t="str">
        <f>+F23</f>
        <v>Anual</v>
      </c>
      <c r="X12" s="3" t="str">
        <f>+F71</f>
        <v>Diciembre</v>
      </c>
    </row>
    <row r="13" spans="2:24" ht="3.95" customHeight="1" x14ac:dyDescent="0.25">
      <c r="B13" s="2"/>
      <c r="O13" s="2"/>
    </row>
    <row r="14" spans="2:24" ht="38.25" customHeight="1" x14ac:dyDescent="0.25">
      <c r="B14" s="2"/>
      <c r="D14" s="338" t="s">
        <v>6</v>
      </c>
      <c r="E14" s="339"/>
      <c r="F14" s="340" t="s">
        <v>1256</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315" t="s">
        <v>7</v>
      </c>
      <c r="O20" s="2"/>
    </row>
    <row r="21" spans="2:17" ht="3.95" customHeight="1" x14ac:dyDescent="0.25">
      <c r="B21" s="2"/>
      <c r="O21" s="2"/>
    </row>
    <row r="22" spans="2:17" ht="19.5" customHeight="1" x14ac:dyDescent="0.25">
      <c r="B22" s="2"/>
      <c r="D22" s="337" t="s">
        <v>8</v>
      </c>
      <c r="E22" s="337"/>
      <c r="F22" s="17">
        <v>0.79</v>
      </c>
      <c r="G22" s="337" t="s">
        <v>9</v>
      </c>
      <c r="H22" s="337"/>
      <c r="I22" s="17">
        <v>1</v>
      </c>
      <c r="K22" s="337" t="s">
        <v>10</v>
      </c>
      <c r="L22" s="337"/>
      <c r="M22" s="9" t="s">
        <v>496</v>
      </c>
      <c r="O22" s="2"/>
    </row>
    <row r="23" spans="2:17" ht="19.5" customHeight="1" x14ac:dyDescent="0.25">
      <c r="B23" s="2"/>
      <c r="D23" s="337" t="s">
        <v>11</v>
      </c>
      <c r="E23" s="337"/>
      <c r="F23" s="4" t="s">
        <v>1249</v>
      </c>
      <c r="G23" s="337" t="s">
        <v>12</v>
      </c>
      <c r="H23" s="337"/>
      <c r="I23" s="4" t="s">
        <v>497</v>
      </c>
      <c r="K23" s="337" t="s">
        <v>13</v>
      </c>
      <c r="L23" s="337"/>
      <c r="M23" s="9" t="s">
        <v>496</v>
      </c>
      <c r="O23" s="2"/>
    </row>
    <row r="24" spans="2:17" ht="20.100000000000001" customHeight="1" x14ac:dyDescent="0.25">
      <c r="B24" s="2"/>
      <c r="D24" s="337" t="s">
        <v>14</v>
      </c>
      <c r="E24" s="337"/>
      <c r="F24" s="4" t="s">
        <v>498</v>
      </c>
      <c r="G24" s="337" t="s">
        <v>15</v>
      </c>
      <c r="H24" s="337"/>
      <c r="I24" s="4" t="s">
        <v>103</v>
      </c>
      <c r="K24" s="337" t="s">
        <v>16</v>
      </c>
      <c r="L24" s="337"/>
      <c r="M24" s="9" t="s">
        <v>496</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315" t="s">
        <v>18</v>
      </c>
      <c r="O27" s="2"/>
    </row>
    <row r="28" spans="2:17" ht="3.95" customHeight="1" x14ac:dyDescent="0.25">
      <c r="B28" s="2"/>
      <c r="O28" s="2"/>
    </row>
    <row r="29" spans="2:17" ht="36" customHeight="1" x14ac:dyDescent="0.25">
      <c r="B29" s="2"/>
      <c r="D29" s="343" t="s">
        <v>19</v>
      </c>
      <c r="E29" s="343"/>
      <c r="F29" s="344" t="s">
        <v>716</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proteccion</v>
      </c>
    </row>
    <row r="31" spans="2:17" ht="24" customHeight="1" x14ac:dyDescent="0.25">
      <c r="B31" s="2"/>
      <c r="D31" s="347"/>
      <c r="E31" s="348"/>
      <c r="F31" s="4" t="s">
        <v>202</v>
      </c>
      <c r="G31" s="340" t="s">
        <v>203</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792</v>
      </c>
      <c r="G33" s="340" t="s">
        <v>719</v>
      </c>
      <c r="H33" s="341"/>
      <c r="I33" s="341"/>
      <c r="J33" s="341"/>
      <c r="K33" s="341"/>
      <c r="L33" s="341"/>
      <c r="M33" s="342"/>
      <c r="O33" s="2"/>
      <c r="Q33" s="3">
        <f>+IFERROR(IF(VLOOKUP(G33,base!$A$26:$C$40,3,FALSE)=F31,1,0),"")</f>
        <v>1</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1715</v>
      </c>
      <c r="G35" s="340" t="s">
        <v>1591</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315"/>
      <c r="O40" s="2"/>
    </row>
    <row r="41" spans="2:17" x14ac:dyDescent="0.25">
      <c r="B41" s="2"/>
      <c r="D41" s="315" t="s">
        <v>25</v>
      </c>
      <c r="O41" s="2"/>
    </row>
    <row r="42" spans="2:17" ht="3.95" customHeight="1" x14ac:dyDescent="0.25">
      <c r="B42" s="2"/>
      <c r="O42" s="2"/>
    </row>
    <row r="43" spans="2:17" ht="20.100000000000001" customHeight="1" x14ac:dyDescent="0.25">
      <c r="B43" s="2"/>
      <c r="D43" s="337" t="s">
        <v>26</v>
      </c>
      <c r="E43" s="337"/>
      <c r="F43" s="4" t="s">
        <v>2</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500</v>
      </c>
      <c r="G45" s="340" t="s">
        <v>512</v>
      </c>
      <c r="H45" s="341"/>
      <c r="I45" s="341"/>
      <c r="J45" s="341"/>
      <c r="K45" s="341"/>
      <c r="L45" s="341"/>
      <c r="M45" s="342"/>
      <c r="O45" s="2"/>
      <c r="Q45" s="3" t="str">
        <f>+IFERROR(VLOOKUP(G45,base!$A$41:$C$45,3,FALSE),"")</f>
        <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c r="G47" s="340"/>
      <c r="H47" s="341"/>
      <c r="I47" s="341"/>
      <c r="J47" s="341"/>
      <c r="K47" s="341"/>
      <c r="L47" s="341"/>
      <c r="M47" s="342"/>
      <c r="O47" s="2"/>
      <c r="Q47" s="3" t="e">
        <f>+IF(VLOOKUP(G47,base!$A$46:$C$66,3,FALSE)=F45,1,0)</f>
        <v>#N/A</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920</v>
      </c>
      <c r="G49" s="340" t="s">
        <v>899</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17"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315" t="s">
        <v>33</v>
      </c>
      <c r="O57" s="2"/>
    </row>
    <row r="58" spans="2:15" ht="3.95" customHeight="1" x14ac:dyDescent="0.25">
      <c r="B58" s="2"/>
      <c r="O58" s="2"/>
    </row>
    <row r="59" spans="2:15" ht="32.25" customHeight="1" x14ac:dyDescent="0.25">
      <c r="B59" s="2"/>
      <c r="D59" s="337" t="s">
        <v>34</v>
      </c>
      <c r="E59" s="337"/>
      <c r="F59" s="344" t="s">
        <v>2211</v>
      </c>
      <c r="G59" s="344"/>
      <c r="H59" s="344"/>
      <c r="I59" s="344"/>
      <c r="J59" s="344"/>
      <c r="K59" s="344"/>
      <c r="L59" s="344"/>
      <c r="M59" s="344"/>
      <c r="O59" s="2"/>
    </row>
    <row r="60" spans="2:15" ht="32.25" customHeight="1" x14ac:dyDescent="0.25">
      <c r="B60" s="2"/>
      <c r="D60" s="359" t="s">
        <v>35</v>
      </c>
      <c r="E60" s="359"/>
      <c r="F60" s="344" t="s">
        <v>2212</v>
      </c>
      <c r="G60" s="344"/>
      <c r="H60" s="344"/>
      <c r="I60" s="344"/>
      <c r="J60" s="344"/>
      <c r="K60" s="344"/>
      <c r="L60" s="344"/>
      <c r="M60" s="344"/>
      <c r="O60" s="2"/>
    </row>
    <row r="61" spans="2:15" ht="32.25" customHeight="1" x14ac:dyDescent="0.25">
      <c r="B61" s="2"/>
      <c r="D61" s="359" t="s">
        <v>36</v>
      </c>
      <c r="E61" s="359"/>
      <c r="F61" s="340" t="s">
        <v>2213</v>
      </c>
      <c r="G61" s="341"/>
      <c r="H61" s="341"/>
      <c r="I61" s="341"/>
      <c r="J61" s="341"/>
      <c r="K61" s="341"/>
      <c r="L61" s="341"/>
      <c r="M61" s="342"/>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315"/>
      <c r="E68" s="315"/>
      <c r="O68" s="2"/>
    </row>
    <row r="69" spans="2:37" ht="18.75" customHeight="1" x14ac:dyDescent="0.25">
      <c r="B69" s="2"/>
      <c r="O69" s="2"/>
      <c r="U69" s="3">
        <f>+IFERROR(VLOOKUP(F23,base!$A$1:$B$8,2,FALSE),"")</f>
        <v>12</v>
      </c>
    </row>
    <row r="70" spans="2:37" ht="3.95" customHeight="1" x14ac:dyDescent="0.25">
      <c r="B70" s="2"/>
      <c r="D70" s="315"/>
      <c r="E70" s="315"/>
      <c r="O70" s="2"/>
    </row>
    <row r="71" spans="2:37" ht="18.75" customHeight="1" x14ac:dyDescent="0.25">
      <c r="B71" s="2"/>
      <c r="D71" s="343" t="s">
        <v>39</v>
      </c>
      <c r="E71" s="343"/>
      <c r="F71" s="4" t="s">
        <v>58</v>
      </c>
      <c r="G71" s="3">
        <v>1</v>
      </c>
      <c r="O71" s="2"/>
    </row>
    <row r="72" spans="2:37" ht="3.95" customHeight="1" x14ac:dyDescent="0.25">
      <c r="B72" s="2"/>
      <c r="D72" s="315"/>
      <c r="E72" s="315"/>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v>0.69899999999999995</v>
      </c>
      <c r="H75" s="16">
        <v>0.7</v>
      </c>
      <c r="I75" s="16">
        <v>0.89900000000000002</v>
      </c>
      <c r="J75" s="16">
        <v>0.9</v>
      </c>
      <c r="K75" s="16">
        <v>0.999</v>
      </c>
      <c r="L75" s="16" t="s">
        <v>500</v>
      </c>
      <c r="M75" s="16">
        <v>1</v>
      </c>
      <c r="O75" s="2"/>
      <c r="AE75" s="3" t="s">
        <v>46</v>
      </c>
      <c r="AF75" s="3">
        <v>1</v>
      </c>
      <c r="AG75" s="3">
        <f>+IF(AF75&gt;=$G$71,1,0)</f>
        <v>1</v>
      </c>
      <c r="AH75" s="3">
        <f>+IF(AG75=0,0,IF(AG75=1,(SUM($AG$75:AG75)-1),1))</f>
        <v>0</v>
      </c>
      <c r="AI75" s="3">
        <f>+IF(AH75=0,0,IF(MOD(AH75,$U$69)=0,1,0))</f>
        <v>0</v>
      </c>
      <c r="AJ75" s="3">
        <f>+IF(AE75=$F$71,1,0)</f>
        <v>0</v>
      </c>
      <c r="AK75" s="3">
        <f>+MAX(AI75:AJ75)</f>
        <v>0</v>
      </c>
    </row>
    <row r="76" spans="2:37" x14ac:dyDescent="0.25">
      <c r="B76" s="2"/>
      <c r="D76" s="360" t="s">
        <v>40</v>
      </c>
      <c r="E76" s="360"/>
      <c r="F76" s="16" t="s">
        <v>500</v>
      </c>
      <c r="G76" s="16">
        <v>0.69899999999999995</v>
      </c>
      <c r="H76" s="16">
        <v>0.7</v>
      </c>
      <c r="I76" s="16">
        <v>0.89900000000000002</v>
      </c>
      <c r="J76" s="16">
        <v>0.9</v>
      </c>
      <c r="K76" s="16">
        <v>0.999</v>
      </c>
      <c r="L76" s="16" t="s">
        <v>500</v>
      </c>
      <c r="M76" s="16">
        <v>1</v>
      </c>
      <c r="O76" s="2"/>
      <c r="AE76" s="3" t="s">
        <v>40</v>
      </c>
      <c r="AF76" s="3">
        <v>2</v>
      </c>
      <c r="AG76" s="3">
        <f t="shared" ref="AG76:AG86" si="0">+IF(AF76&gt;=$G$71,1,0)</f>
        <v>1</v>
      </c>
      <c r="AH76" s="3">
        <f>+IF(AG76=0,0,IF(AG76=1,(SUM($AG$75:AG76)-1),1))</f>
        <v>1</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v>0.69899999999999995</v>
      </c>
      <c r="H77" s="16">
        <v>0.7</v>
      </c>
      <c r="I77" s="16">
        <v>0.89900000000000002</v>
      </c>
      <c r="J77" s="16">
        <v>0.9</v>
      </c>
      <c r="K77" s="16">
        <v>0.999</v>
      </c>
      <c r="L77" s="16" t="s">
        <v>500</v>
      </c>
      <c r="M77" s="16">
        <v>1</v>
      </c>
      <c r="O77" s="2"/>
      <c r="AE77" s="3" t="s">
        <v>47</v>
      </c>
      <c r="AF77" s="3">
        <v>3</v>
      </c>
      <c r="AG77" s="3">
        <f t="shared" si="0"/>
        <v>1</v>
      </c>
      <c r="AH77" s="3">
        <f>+IF(AG77=0,0,IF(AG77=1,(SUM($AG$75:AG77)-1),1))</f>
        <v>2</v>
      </c>
      <c r="AI77" s="3">
        <f t="shared" si="1"/>
        <v>0</v>
      </c>
      <c r="AJ77" s="3">
        <f t="shared" si="2"/>
        <v>0</v>
      </c>
      <c r="AK77" s="3">
        <f t="shared" si="3"/>
        <v>0</v>
      </c>
    </row>
    <row r="78" spans="2:37" x14ac:dyDescent="0.25">
      <c r="B78" s="2"/>
      <c r="D78" s="360" t="s">
        <v>48</v>
      </c>
      <c r="E78" s="360"/>
      <c r="F78" s="16" t="s">
        <v>500</v>
      </c>
      <c r="G78" s="16">
        <v>0.69899999999999995</v>
      </c>
      <c r="H78" s="16">
        <v>0.7</v>
      </c>
      <c r="I78" s="16">
        <v>0.89900000000000002</v>
      </c>
      <c r="J78" s="16">
        <v>0.9</v>
      </c>
      <c r="K78" s="16">
        <v>0.999</v>
      </c>
      <c r="L78" s="16" t="s">
        <v>500</v>
      </c>
      <c r="M78" s="16">
        <v>1</v>
      </c>
      <c r="O78" s="2"/>
      <c r="AE78" s="3" t="s">
        <v>48</v>
      </c>
      <c r="AF78" s="3">
        <v>4</v>
      </c>
      <c r="AG78" s="3">
        <f t="shared" si="0"/>
        <v>1</v>
      </c>
      <c r="AH78" s="3">
        <f>+IF(AG78=0,0,IF(AG78=1,(SUM($AG$75:AG78)-1),1))</f>
        <v>3</v>
      </c>
      <c r="AI78" s="3">
        <f t="shared" si="1"/>
        <v>0</v>
      </c>
      <c r="AJ78" s="3">
        <f t="shared" si="2"/>
        <v>0</v>
      </c>
      <c r="AK78" s="3">
        <f t="shared" si="3"/>
        <v>0</v>
      </c>
    </row>
    <row r="79" spans="2:37" x14ac:dyDescent="0.25">
      <c r="B79" s="2"/>
      <c r="D79" s="360" t="s">
        <v>49</v>
      </c>
      <c r="E79" s="360"/>
      <c r="F79" s="16" t="s">
        <v>500</v>
      </c>
      <c r="G79" s="16">
        <v>0.69899999999999995</v>
      </c>
      <c r="H79" s="16">
        <v>0.7</v>
      </c>
      <c r="I79" s="16">
        <v>0.89900000000000002</v>
      </c>
      <c r="J79" s="16">
        <v>0.9</v>
      </c>
      <c r="K79" s="16">
        <v>0.999</v>
      </c>
      <c r="L79" s="16" t="s">
        <v>500</v>
      </c>
      <c r="M79" s="16">
        <v>1</v>
      </c>
      <c r="O79" s="2"/>
      <c r="AE79" s="3" t="s">
        <v>49</v>
      </c>
      <c r="AF79" s="3">
        <v>5</v>
      </c>
      <c r="AG79" s="3">
        <f t="shared" si="0"/>
        <v>1</v>
      </c>
      <c r="AH79" s="3">
        <f>+IF(AG79=0,0,IF(AG79=1,(SUM($AG$75:AG79)-1),1))</f>
        <v>4</v>
      </c>
      <c r="AI79" s="3">
        <f t="shared" si="1"/>
        <v>0</v>
      </c>
      <c r="AJ79" s="3">
        <f t="shared" si="2"/>
        <v>0</v>
      </c>
      <c r="AK79" s="3">
        <f t="shared" si="3"/>
        <v>0</v>
      </c>
    </row>
    <row r="80" spans="2:37" x14ac:dyDescent="0.25">
      <c r="B80" s="2"/>
      <c r="D80" s="360" t="s">
        <v>50</v>
      </c>
      <c r="E80" s="360"/>
      <c r="F80" s="16" t="s">
        <v>500</v>
      </c>
      <c r="G80" s="16">
        <v>0.69899999999999995</v>
      </c>
      <c r="H80" s="16">
        <v>0.7</v>
      </c>
      <c r="I80" s="16">
        <v>0.89900000000000002</v>
      </c>
      <c r="J80" s="16">
        <v>0.9</v>
      </c>
      <c r="K80" s="16">
        <v>0.999</v>
      </c>
      <c r="L80" s="16" t="s">
        <v>500</v>
      </c>
      <c r="M80" s="16">
        <v>1</v>
      </c>
      <c r="O80" s="2"/>
      <c r="AE80" s="3" t="s">
        <v>50</v>
      </c>
      <c r="AF80" s="3">
        <v>6</v>
      </c>
      <c r="AG80" s="3">
        <f t="shared" si="0"/>
        <v>1</v>
      </c>
      <c r="AH80" s="3">
        <f>+IF(AG80=0,0,IF(AG80=1,(SUM($AG$75:AG80)-1),1))</f>
        <v>5</v>
      </c>
      <c r="AI80" s="3">
        <f t="shared" si="1"/>
        <v>0</v>
      </c>
      <c r="AJ80" s="3">
        <f t="shared" si="2"/>
        <v>0</v>
      </c>
      <c r="AK80" s="3">
        <f t="shared" si="3"/>
        <v>0</v>
      </c>
    </row>
    <row r="81" spans="2:37" x14ac:dyDescent="0.25">
      <c r="B81" s="2"/>
      <c r="D81" s="360" t="s">
        <v>53</v>
      </c>
      <c r="E81" s="360"/>
      <c r="F81" s="16" t="s">
        <v>500</v>
      </c>
      <c r="G81" s="16">
        <v>0.69899999999999995</v>
      </c>
      <c r="H81" s="16">
        <v>0.7</v>
      </c>
      <c r="I81" s="16">
        <v>0.89900000000000002</v>
      </c>
      <c r="J81" s="16">
        <v>0.9</v>
      </c>
      <c r="K81" s="16">
        <v>0.999</v>
      </c>
      <c r="L81" s="16" t="s">
        <v>500</v>
      </c>
      <c r="M81" s="16">
        <v>1</v>
      </c>
      <c r="O81" s="2"/>
      <c r="AE81" s="3" t="s">
        <v>53</v>
      </c>
      <c r="AF81" s="3">
        <v>7</v>
      </c>
      <c r="AG81" s="3">
        <f t="shared" si="0"/>
        <v>1</v>
      </c>
      <c r="AH81" s="3">
        <f>+IF(AG81=0,0,IF(AG81=1,(SUM($AG$75:AG81)-1),1))</f>
        <v>6</v>
      </c>
      <c r="AI81" s="3">
        <f t="shared" si="1"/>
        <v>0</v>
      </c>
      <c r="AJ81" s="3">
        <f t="shared" si="2"/>
        <v>0</v>
      </c>
      <c r="AK81" s="3">
        <f t="shared" si="3"/>
        <v>0</v>
      </c>
    </row>
    <row r="82" spans="2:37" x14ac:dyDescent="0.25">
      <c r="B82" s="2"/>
      <c r="D82" s="360" t="s">
        <v>54</v>
      </c>
      <c r="E82" s="360"/>
      <c r="F82" s="16" t="s">
        <v>500</v>
      </c>
      <c r="G82" s="16">
        <v>0.69899999999999995</v>
      </c>
      <c r="H82" s="16">
        <v>0.7</v>
      </c>
      <c r="I82" s="16">
        <v>0.89900000000000002</v>
      </c>
      <c r="J82" s="16">
        <v>0.9</v>
      </c>
      <c r="K82" s="16">
        <v>0.999</v>
      </c>
      <c r="L82" s="16" t="s">
        <v>500</v>
      </c>
      <c r="M82" s="16">
        <v>1</v>
      </c>
      <c r="O82" s="2"/>
      <c r="AE82" s="3" t="s">
        <v>54</v>
      </c>
      <c r="AF82" s="3">
        <v>8</v>
      </c>
      <c r="AG82" s="3">
        <f t="shared" si="0"/>
        <v>1</v>
      </c>
      <c r="AH82" s="3">
        <f>+IF(AG82=0,0,IF(AG82=1,(SUM($AG$75:AG82)-1),1))</f>
        <v>7</v>
      </c>
      <c r="AI82" s="3">
        <f t="shared" si="1"/>
        <v>0</v>
      </c>
      <c r="AJ82" s="3">
        <f t="shared" si="2"/>
        <v>0</v>
      </c>
      <c r="AK82" s="3">
        <f t="shared" si="3"/>
        <v>0</v>
      </c>
    </row>
    <row r="83" spans="2:37" x14ac:dyDescent="0.25">
      <c r="B83" s="2"/>
      <c r="D83" s="360" t="s">
        <v>55</v>
      </c>
      <c r="E83" s="360"/>
      <c r="F83" s="16" t="s">
        <v>500</v>
      </c>
      <c r="G83" s="16">
        <v>0.69899999999999995</v>
      </c>
      <c r="H83" s="16">
        <v>0.7</v>
      </c>
      <c r="I83" s="16">
        <v>0.89900000000000002</v>
      </c>
      <c r="J83" s="16">
        <v>0.9</v>
      </c>
      <c r="K83" s="16">
        <v>0.999</v>
      </c>
      <c r="L83" s="16" t="s">
        <v>500</v>
      </c>
      <c r="M83" s="16">
        <v>1</v>
      </c>
      <c r="O83" s="2"/>
      <c r="AE83" s="3" t="s">
        <v>55</v>
      </c>
      <c r="AF83" s="3">
        <v>9</v>
      </c>
      <c r="AG83" s="3">
        <f t="shared" si="0"/>
        <v>1</v>
      </c>
      <c r="AH83" s="3">
        <f>+IF(AG83=0,0,IF(AG83=1,(SUM($AG$75:AG83)-1),1))</f>
        <v>8</v>
      </c>
      <c r="AI83" s="3">
        <f t="shared" si="1"/>
        <v>0</v>
      </c>
      <c r="AJ83" s="3">
        <f t="shared" si="2"/>
        <v>0</v>
      </c>
      <c r="AK83" s="3">
        <f t="shared" si="3"/>
        <v>0</v>
      </c>
    </row>
    <row r="84" spans="2:37" x14ac:dyDescent="0.25">
      <c r="B84" s="2"/>
      <c r="D84" s="360" t="s">
        <v>56</v>
      </c>
      <c r="E84" s="360"/>
      <c r="F84" s="16" t="s">
        <v>500</v>
      </c>
      <c r="G84" s="16">
        <v>0.69899999999999995</v>
      </c>
      <c r="H84" s="16">
        <v>0.7</v>
      </c>
      <c r="I84" s="16">
        <v>0.89900000000000002</v>
      </c>
      <c r="J84" s="16">
        <v>0.9</v>
      </c>
      <c r="K84" s="16">
        <v>0.999</v>
      </c>
      <c r="L84" s="16" t="s">
        <v>500</v>
      </c>
      <c r="M84" s="16">
        <v>1</v>
      </c>
      <c r="O84" s="2"/>
      <c r="AE84" s="3" t="s">
        <v>56</v>
      </c>
      <c r="AF84" s="3">
        <v>10</v>
      </c>
      <c r="AG84" s="3">
        <f t="shared" si="0"/>
        <v>1</v>
      </c>
      <c r="AH84" s="3">
        <f>+IF(AG84=0,0,IF(AG84=1,(SUM($AG$75:AG84)-1),1))</f>
        <v>9</v>
      </c>
      <c r="AI84" s="3">
        <f t="shared" si="1"/>
        <v>0</v>
      </c>
      <c r="AJ84" s="3">
        <f t="shared" si="2"/>
        <v>0</v>
      </c>
      <c r="AK84" s="3">
        <f t="shared" si="3"/>
        <v>0</v>
      </c>
    </row>
    <row r="85" spans="2:37" x14ac:dyDescent="0.25">
      <c r="B85" s="2"/>
      <c r="D85" s="360" t="s">
        <v>57</v>
      </c>
      <c r="E85" s="360"/>
      <c r="F85" s="16" t="s">
        <v>500</v>
      </c>
      <c r="G85" s="16">
        <v>0.69899999999999995</v>
      </c>
      <c r="H85" s="16">
        <v>0.7</v>
      </c>
      <c r="I85" s="16">
        <v>0.89900000000000002</v>
      </c>
      <c r="J85" s="16">
        <v>0.9</v>
      </c>
      <c r="K85" s="16">
        <v>0.999</v>
      </c>
      <c r="L85" s="16" t="s">
        <v>500</v>
      </c>
      <c r="M85" s="16">
        <v>1</v>
      </c>
      <c r="O85" s="2"/>
      <c r="AE85" s="3" t="s">
        <v>57</v>
      </c>
      <c r="AF85" s="3">
        <v>11</v>
      </c>
      <c r="AG85" s="3">
        <f t="shared" si="0"/>
        <v>1</v>
      </c>
      <c r="AH85" s="3">
        <f>+IF(AG85=0,0,IF(AG85=1,(SUM($AG$75:AG85)-1),1))</f>
        <v>10</v>
      </c>
      <c r="AI85" s="3">
        <f t="shared" si="1"/>
        <v>0</v>
      </c>
      <c r="AJ85" s="3">
        <f t="shared" si="2"/>
        <v>0</v>
      </c>
      <c r="AK85" s="3">
        <f t="shared" si="3"/>
        <v>0</v>
      </c>
    </row>
    <row r="86" spans="2:37" x14ac:dyDescent="0.25">
      <c r="B86" s="2"/>
      <c r="D86" s="360" t="s">
        <v>58</v>
      </c>
      <c r="E86" s="360"/>
      <c r="F86" s="16" t="s">
        <v>500</v>
      </c>
      <c r="G86" s="496" t="s">
        <v>2214</v>
      </c>
      <c r="H86" s="497">
        <v>0.8</v>
      </c>
      <c r="I86" s="498">
        <v>0.89900000000000002</v>
      </c>
      <c r="J86" s="498">
        <v>0.9</v>
      </c>
      <c r="K86" s="498">
        <v>0.999</v>
      </c>
      <c r="L86" s="498" t="s">
        <v>500</v>
      </c>
      <c r="M86" s="498">
        <v>1</v>
      </c>
      <c r="O86" s="2"/>
      <c r="AE86" s="3" t="s">
        <v>58</v>
      </c>
      <c r="AF86" s="65">
        <v>12</v>
      </c>
      <c r="AG86" s="3">
        <f t="shared" si="0"/>
        <v>1</v>
      </c>
      <c r="AH86" s="3">
        <f>+IF(AG86=0,0,IF(AG86=1,(SUM($AG$75:AG86)-1),1))</f>
        <v>11</v>
      </c>
      <c r="AI86" s="3">
        <f t="shared" si="1"/>
        <v>0</v>
      </c>
      <c r="AJ86" s="3">
        <f t="shared" si="2"/>
        <v>1</v>
      </c>
      <c r="AK86" s="3">
        <f t="shared" si="3"/>
        <v>1</v>
      </c>
    </row>
    <row r="87" spans="2:37" ht="3.75" customHeight="1" x14ac:dyDescent="0.25">
      <c r="B87" s="2"/>
      <c r="O87" s="2"/>
    </row>
    <row r="88" spans="2:37" ht="267" customHeight="1" x14ac:dyDescent="0.25">
      <c r="B88" s="2"/>
      <c r="D88" s="338" t="s">
        <v>59</v>
      </c>
      <c r="E88" s="339"/>
      <c r="F88" s="412" t="s">
        <v>2215</v>
      </c>
      <c r="G88" s="415"/>
      <c r="H88" s="415"/>
      <c r="I88" s="415"/>
      <c r="J88" s="415"/>
      <c r="K88" s="415"/>
      <c r="L88" s="415"/>
      <c r="M88" s="416"/>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315" t="s">
        <v>60</v>
      </c>
      <c r="O94" s="2"/>
    </row>
    <row r="95" spans="2:37" ht="3.95" customHeight="1" x14ac:dyDescent="0.25">
      <c r="B95" s="2"/>
      <c r="O95" s="2"/>
    </row>
    <row r="96" spans="2:37" ht="20.100000000000001" customHeight="1" x14ac:dyDescent="0.25">
      <c r="B96" s="2"/>
      <c r="D96" s="337" t="s">
        <v>61</v>
      </c>
      <c r="E96" s="337"/>
      <c r="O96" s="2"/>
    </row>
    <row r="97" spans="2:15" ht="42" customHeight="1" x14ac:dyDescent="0.25">
      <c r="B97" s="2"/>
      <c r="D97" s="359" t="s">
        <v>35</v>
      </c>
      <c r="E97" s="359"/>
      <c r="F97" s="344" t="s">
        <v>2216</v>
      </c>
      <c r="G97" s="344"/>
      <c r="H97" s="344"/>
      <c r="I97" s="344"/>
      <c r="J97" s="344"/>
      <c r="K97" s="344"/>
      <c r="L97" s="344"/>
      <c r="M97" s="344"/>
      <c r="O97" s="2"/>
    </row>
    <row r="98" spans="2:15" ht="42" customHeight="1" x14ac:dyDescent="0.25">
      <c r="B98" s="2"/>
      <c r="D98" s="359" t="s">
        <v>36</v>
      </c>
      <c r="E98" s="359"/>
      <c r="F98" s="344" t="s">
        <v>2216</v>
      </c>
      <c r="G98" s="344"/>
      <c r="H98" s="344"/>
      <c r="I98" s="344"/>
      <c r="J98" s="344"/>
      <c r="K98" s="344"/>
      <c r="L98" s="344"/>
      <c r="M98" s="344"/>
      <c r="O98" s="2"/>
    </row>
    <row r="99" spans="2:15" ht="3.95" customHeight="1" x14ac:dyDescent="0.25">
      <c r="B99" s="2"/>
      <c r="O99" s="2"/>
    </row>
    <row r="100" spans="2:15" ht="149.25" customHeight="1" x14ac:dyDescent="0.25">
      <c r="B100" s="2"/>
      <c r="D100" s="338" t="s">
        <v>62</v>
      </c>
      <c r="E100" s="339"/>
      <c r="F100" s="425" t="s">
        <v>2217</v>
      </c>
      <c r="G100" s="469"/>
      <c r="H100" s="469"/>
      <c r="I100" s="469"/>
      <c r="J100" s="469"/>
      <c r="K100" s="469"/>
      <c r="L100" s="469"/>
      <c r="M100" s="470"/>
      <c r="O100" s="2"/>
    </row>
    <row r="101" spans="2:15" ht="3.95" customHeight="1" x14ac:dyDescent="0.25">
      <c r="B101" s="2"/>
      <c r="O101" s="2"/>
    </row>
    <row r="102" spans="2:15" ht="19.5" customHeight="1" x14ac:dyDescent="0.25">
      <c r="B102" s="2"/>
      <c r="D102" s="329" t="s">
        <v>64</v>
      </c>
      <c r="E102" s="330"/>
      <c r="F102" s="19" t="s">
        <v>65</v>
      </c>
      <c r="G102" s="4" t="s">
        <v>1</v>
      </c>
      <c r="K102" s="20"/>
      <c r="O102" s="2"/>
    </row>
    <row r="103" spans="2:15" ht="19.5" customHeight="1" x14ac:dyDescent="0.25">
      <c r="B103" s="2"/>
      <c r="D103" s="331"/>
      <c r="E103" s="332"/>
      <c r="F103" s="19" t="s">
        <v>66</v>
      </c>
      <c r="G103" s="4" t="s">
        <v>389</v>
      </c>
      <c r="K103" s="21"/>
      <c r="O103" s="2"/>
    </row>
    <row r="104" spans="2:15" ht="27.75" customHeight="1" x14ac:dyDescent="0.25">
      <c r="B104" s="2"/>
      <c r="D104" s="331"/>
      <c r="E104" s="332"/>
      <c r="F104" s="19" t="s">
        <v>67</v>
      </c>
      <c r="G104" s="333" t="s">
        <v>1846</v>
      </c>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
        <v>2218</v>
      </c>
      <c r="H108" s="334"/>
      <c r="I108" s="334"/>
      <c r="J108" s="334"/>
      <c r="K108" s="334"/>
      <c r="L108" s="334"/>
      <c r="M108" s="335"/>
      <c r="O108" s="2"/>
    </row>
    <row r="109" spans="2:15" ht="17.25" customHeight="1" x14ac:dyDescent="0.25">
      <c r="B109" s="2"/>
      <c r="D109" s="331"/>
      <c r="E109" s="332"/>
      <c r="F109" s="19" t="s">
        <v>2042</v>
      </c>
      <c r="G109" s="333" t="str">
        <f>+IF(M23="Si","Coordinador(a) Planeación y Sistemas","")</f>
        <v>Coordinador(a) Planeación y Sistemas</v>
      </c>
      <c r="H109" s="334"/>
      <c r="I109" s="334"/>
      <c r="J109" s="334"/>
      <c r="K109" s="334"/>
      <c r="L109" s="334"/>
      <c r="M109" s="335"/>
      <c r="O109" s="2"/>
    </row>
    <row r="110" spans="2:15" ht="17.25" customHeight="1" x14ac:dyDescent="0.25">
      <c r="B110" s="2"/>
      <c r="D110" s="331"/>
      <c r="E110" s="332"/>
      <c r="F110" s="19" t="s">
        <v>2043</v>
      </c>
      <c r="G110" s="333" t="str">
        <f>+IF(M24="Si","Coordinador(a) Centro Zonal","")</f>
        <v>Coordinador(a) Centro Zonal</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8:E110"/>
    <mergeCell ref="G108:M108"/>
    <mergeCell ref="G109:M109"/>
    <mergeCell ref="G110:M110"/>
    <mergeCell ref="D100:E100"/>
    <mergeCell ref="F100:M100"/>
    <mergeCell ref="D102:E104"/>
    <mergeCell ref="G104:M104"/>
    <mergeCell ref="D106:E106"/>
    <mergeCell ref="F106:M106"/>
    <mergeCell ref="D88:E88"/>
    <mergeCell ref="F88:M88"/>
    <mergeCell ref="D96:E96"/>
    <mergeCell ref="D97:E97"/>
    <mergeCell ref="F97:M97"/>
    <mergeCell ref="D98:E98"/>
    <mergeCell ref="F98:M98"/>
    <mergeCell ref="D81:E81"/>
    <mergeCell ref="D82:E82"/>
    <mergeCell ref="D83:E83"/>
    <mergeCell ref="D84:E84"/>
    <mergeCell ref="D85:E85"/>
    <mergeCell ref="D86:E86"/>
    <mergeCell ref="D75:E75"/>
    <mergeCell ref="D76:E76"/>
    <mergeCell ref="D77:E77"/>
    <mergeCell ref="D78:E78"/>
    <mergeCell ref="D79:E79"/>
    <mergeCell ref="D80:E80"/>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22:E22"/>
    <mergeCell ref="G22:H22"/>
    <mergeCell ref="K22:L22"/>
    <mergeCell ref="D23:E23"/>
    <mergeCell ref="G23:H23"/>
    <mergeCell ref="K23:L23"/>
    <mergeCell ref="C3:N5"/>
    <mergeCell ref="D10:E10"/>
    <mergeCell ref="D12:E12"/>
    <mergeCell ref="F12:M12"/>
    <mergeCell ref="D14:E14"/>
    <mergeCell ref="F14:M14"/>
  </mergeCells>
  <conditionalFormatting sqref="F44:M49">
    <cfRule type="expression" dxfId="2231" priority="21">
      <formula>+IF($F$43="no",1,0)</formula>
    </cfRule>
  </conditionalFormatting>
  <conditionalFormatting sqref="F47:M47">
    <cfRule type="expression" dxfId="2230" priority="19">
      <formula>+IF($Q$47=0,1,0)</formula>
    </cfRule>
  </conditionalFormatting>
  <conditionalFormatting sqref="F73:G73">
    <cfRule type="cellIs" dxfId="2229" priority="17" operator="equal">
      <formula>"optimo"</formula>
    </cfRule>
    <cfRule type="cellIs" dxfId="2228" priority="18" operator="equal">
      <formula>"critico"</formula>
    </cfRule>
  </conditionalFormatting>
  <conditionalFormatting sqref="H73:I73">
    <cfRule type="cellIs" dxfId="2227" priority="15" operator="equal">
      <formula>"Adecuado"</formula>
    </cfRule>
    <cfRule type="cellIs" dxfId="2226" priority="16" operator="equal">
      <formula>"en riesgo"</formula>
    </cfRule>
  </conditionalFormatting>
  <conditionalFormatting sqref="J73:K73">
    <cfRule type="cellIs" dxfId="2225" priority="13" operator="equal">
      <formula>"Adecuado"</formula>
    </cfRule>
    <cfRule type="cellIs" dxfId="2224" priority="14" operator="equal">
      <formula>"en riesgo"</formula>
    </cfRule>
  </conditionalFormatting>
  <conditionalFormatting sqref="L73:M73">
    <cfRule type="cellIs" dxfId="2223" priority="11" operator="equal">
      <formula>"optimo"</formula>
    </cfRule>
    <cfRule type="cellIs" dxfId="2222" priority="12" operator="equal">
      <formula>"critico"</formula>
    </cfRule>
  </conditionalFormatting>
  <conditionalFormatting sqref="F75:M85">
    <cfRule type="expression" dxfId="2221" priority="10">
      <formula>+IF($AK75=0,1)</formula>
    </cfRule>
  </conditionalFormatting>
  <conditionalFormatting sqref="F103:G104">
    <cfRule type="expression" dxfId="2220" priority="9">
      <formula>+IF($G$102="No",1,0)</formula>
    </cfRule>
  </conditionalFormatting>
  <conditionalFormatting sqref="F51">
    <cfRule type="expression" dxfId="2219" priority="8">
      <formula>+IF($F$43="no",1,0)</formula>
    </cfRule>
  </conditionalFormatting>
  <conditionalFormatting sqref="I51">
    <cfRule type="expression" dxfId="2218" priority="7">
      <formula>+IF($F$51="no",1,0)</formula>
    </cfRule>
  </conditionalFormatting>
  <conditionalFormatting sqref="F33:M33">
    <cfRule type="expression" dxfId="2217" priority="2">
      <formula>+IF($Q$30="NA",1,0)</formula>
    </cfRule>
  </conditionalFormatting>
  <conditionalFormatting sqref="F33:M33">
    <cfRule type="expression" dxfId="2216" priority="1">
      <formula>+IF($Q$33=0,1,0)</formula>
    </cfRule>
  </conditionalFormatting>
  <conditionalFormatting sqref="F32:M32">
    <cfRule type="expression" dxfId="2215" priority="4">
      <formula>+IF($Q$30="NA",1,0)</formula>
    </cfRule>
  </conditionalFormatting>
  <dataValidations count="1">
    <dataValidation type="list" allowBlank="1" showInputMessage="1" showErrorMessage="1" sqref="G33:M33">
      <formula1>INDIRECT($Q$30)</formula1>
    </dataValidation>
  </dataValidations>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3">
    <tabColor rgb="FF0070C0"/>
  </sheetPr>
  <dimension ref="B1:AV113"/>
  <sheetViews>
    <sheetView topLeftCell="A19" zoomScaleNormal="100" workbookViewId="0">
      <selection activeCell="F29" sqref="F29:M35"/>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239</v>
      </c>
      <c r="O10" s="2"/>
    </row>
    <row r="11" spans="2:24" ht="3.95" customHeight="1" x14ac:dyDescent="0.25">
      <c r="B11" s="2"/>
      <c r="D11" s="6"/>
      <c r="O11" s="2"/>
    </row>
    <row r="12" spans="2:24" ht="36" customHeight="1" x14ac:dyDescent="0.25">
      <c r="B12" s="2"/>
      <c r="D12" s="338" t="s">
        <v>5</v>
      </c>
      <c r="E12" s="339"/>
      <c r="F12" s="340" t="s">
        <v>240</v>
      </c>
      <c r="G12" s="341"/>
      <c r="H12" s="341"/>
      <c r="I12" s="341"/>
      <c r="J12" s="341"/>
      <c r="K12" s="341"/>
      <c r="L12" s="341"/>
      <c r="M12" s="342"/>
      <c r="O12" s="2"/>
      <c r="W12" s="3" t="str">
        <f>+F23</f>
        <v>Mensual</v>
      </c>
      <c r="X12" s="3" t="str">
        <f>+F71</f>
        <v>Enero</v>
      </c>
    </row>
    <row r="13" spans="2:24" ht="3.95" customHeight="1" x14ac:dyDescent="0.25">
      <c r="B13" s="2"/>
      <c r="O13" s="2"/>
    </row>
    <row r="14" spans="2:24" ht="38.25" customHeight="1" x14ac:dyDescent="0.25">
      <c r="B14" s="2"/>
      <c r="D14" s="338" t="s">
        <v>6</v>
      </c>
      <c r="E14" s="339"/>
      <c r="F14" s="340" t="s">
        <v>784</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17">
        <v>1</v>
      </c>
      <c r="G22" s="337" t="s">
        <v>9</v>
      </c>
      <c r="H22" s="337"/>
      <c r="I22" s="17">
        <v>1</v>
      </c>
      <c r="K22" s="337" t="s">
        <v>10</v>
      </c>
      <c r="L22" s="337"/>
      <c r="M22" s="9" t="s">
        <v>496</v>
      </c>
      <c r="O22" s="2"/>
    </row>
    <row r="23" spans="2:17" ht="19.5" customHeight="1" x14ac:dyDescent="0.25">
      <c r="B23" s="2"/>
      <c r="D23" s="337" t="s">
        <v>11</v>
      </c>
      <c r="E23" s="337"/>
      <c r="F23" s="4" t="s">
        <v>84</v>
      </c>
      <c r="G23" s="337" t="s">
        <v>12</v>
      </c>
      <c r="H23" s="337"/>
      <c r="I23" s="4" t="s">
        <v>497</v>
      </c>
      <c r="K23" s="337" t="s">
        <v>13</v>
      </c>
      <c r="L23" s="337"/>
      <c r="M23" s="9" t="s">
        <v>496</v>
      </c>
      <c r="O23" s="2"/>
    </row>
    <row r="24" spans="2:17" ht="20.100000000000001" customHeight="1" x14ac:dyDescent="0.25">
      <c r="B24" s="2"/>
      <c r="D24" s="337" t="s">
        <v>14</v>
      </c>
      <c r="E24" s="337"/>
      <c r="F24" s="4" t="s">
        <v>81</v>
      </c>
      <c r="G24" s="337" t="s">
        <v>15</v>
      </c>
      <c r="H24" s="337"/>
      <c r="I24" s="4" t="s">
        <v>103</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716</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proteccion</v>
      </c>
    </row>
    <row r="31" spans="2:17" ht="24" customHeight="1" x14ac:dyDescent="0.25">
      <c r="B31" s="2"/>
      <c r="D31" s="347"/>
      <c r="E31" s="348"/>
      <c r="F31" s="4" t="s">
        <v>202</v>
      </c>
      <c r="G31" s="340" t="s">
        <v>203</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785</v>
      </c>
      <c r="G33" s="340" t="s">
        <v>737</v>
      </c>
      <c r="H33" s="341"/>
      <c r="I33" s="341"/>
      <c r="J33" s="341"/>
      <c r="K33" s="341"/>
      <c r="L33" s="341"/>
      <c r="M33" s="342"/>
      <c r="O33" s="2"/>
      <c r="Q33" s="3">
        <f>+IFERROR(IF(VLOOKUP(G33,base!$A$26:$C$40,3,FALSE)=F31,1,0),"")</f>
        <v>1</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1715</v>
      </c>
      <c r="G35" s="340" t="s">
        <v>1591</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501</v>
      </c>
      <c r="G45" s="340" t="s">
        <v>515</v>
      </c>
      <c r="H45" s="341"/>
      <c r="I45" s="341"/>
      <c r="J45" s="341"/>
      <c r="K45" s="341"/>
      <c r="L45" s="341"/>
      <c r="M45" s="342"/>
      <c r="O45" s="2"/>
      <c r="Q45" s="3" t="str">
        <f>+IFERROR(VLOOKUP(G45,base!$A$41:$C$45,3,FALSE),"")</f>
        <v>misional</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503</v>
      </c>
      <c r="G47" s="340" t="s">
        <v>504</v>
      </c>
      <c r="H47" s="341"/>
      <c r="I47" s="341"/>
      <c r="J47" s="341"/>
      <c r="K47" s="341"/>
      <c r="L47" s="341"/>
      <c r="M47" s="342"/>
      <c r="O47" s="2"/>
      <c r="Q47" s="3">
        <f>+IF(VLOOKUP(G47,base!$A$46:$C$66,3,FALSE)=F45,1,0)</f>
        <v>1</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786</v>
      </c>
      <c r="G49" s="340" t="s">
        <v>717</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8"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60" customHeight="1" x14ac:dyDescent="0.25">
      <c r="B59" s="2"/>
      <c r="D59" s="337" t="s">
        <v>34</v>
      </c>
      <c r="E59" s="337"/>
      <c r="F59" s="344" t="s">
        <v>787</v>
      </c>
      <c r="G59" s="344"/>
      <c r="H59" s="344"/>
      <c r="I59" s="344"/>
      <c r="J59" s="344"/>
      <c r="K59" s="344"/>
      <c r="L59" s="344"/>
      <c r="M59" s="344"/>
      <c r="O59" s="2"/>
    </row>
    <row r="60" spans="2:15" ht="30" customHeight="1" x14ac:dyDescent="0.25">
      <c r="B60" s="2"/>
      <c r="D60" s="359" t="s">
        <v>35</v>
      </c>
      <c r="E60" s="359"/>
      <c r="F60" s="344" t="s">
        <v>788</v>
      </c>
      <c r="G60" s="344"/>
      <c r="H60" s="344"/>
      <c r="I60" s="344"/>
      <c r="J60" s="344"/>
      <c r="K60" s="344"/>
      <c r="L60" s="344"/>
      <c r="M60" s="344"/>
      <c r="O60" s="2"/>
    </row>
    <row r="61" spans="2:15" ht="29.25" customHeight="1" x14ac:dyDescent="0.25">
      <c r="B61" s="2"/>
      <c r="D61" s="359" t="s">
        <v>36</v>
      </c>
      <c r="E61" s="359"/>
      <c r="F61" s="344" t="s">
        <v>789</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43" t="s">
        <v>39</v>
      </c>
      <c r="E71" s="343"/>
      <c r="F71" s="4" t="s">
        <v>46</v>
      </c>
      <c r="G71" s="3">
        <v>1</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v>0.89900000000000002</v>
      </c>
      <c r="H75" s="16">
        <v>0.9</v>
      </c>
      <c r="I75" s="16">
        <v>0.94899999999999995</v>
      </c>
      <c r="J75" s="16">
        <v>0.95</v>
      </c>
      <c r="K75" s="16">
        <v>0.999</v>
      </c>
      <c r="L75" s="16" t="s">
        <v>500</v>
      </c>
      <c r="M75" s="16">
        <v>1</v>
      </c>
      <c r="O75" s="2"/>
      <c r="AE75" s="3" t="s">
        <v>46</v>
      </c>
      <c r="AF75" s="3">
        <v>1</v>
      </c>
      <c r="AG75" s="3">
        <f>+IF(AF75&gt;=$G$71,1,0)</f>
        <v>1</v>
      </c>
      <c r="AH75" s="3">
        <f>+IF(AG75=0,0,IF(AG75=1,(SUM($AG$75:AG75)-1),1))</f>
        <v>0</v>
      </c>
      <c r="AI75" s="3">
        <f>+IF(AH75=0,0,IF(MOD(AH75,$U$69)=0,1,0))</f>
        <v>0</v>
      </c>
      <c r="AJ75" s="3">
        <f>+IF(AE75=$F$71,1,0)</f>
        <v>1</v>
      </c>
      <c r="AK75" s="3">
        <f>+MAX(AI75:AJ75)</f>
        <v>1</v>
      </c>
    </row>
    <row r="76" spans="2:37" x14ac:dyDescent="0.25">
      <c r="B76" s="2"/>
      <c r="D76" s="360" t="s">
        <v>40</v>
      </c>
      <c r="E76" s="360"/>
      <c r="F76" s="16" t="s">
        <v>500</v>
      </c>
      <c r="G76" s="16">
        <v>0.89900000000000002</v>
      </c>
      <c r="H76" s="16">
        <v>0.9</v>
      </c>
      <c r="I76" s="16">
        <v>0.94899999999999995</v>
      </c>
      <c r="J76" s="16">
        <v>0.95</v>
      </c>
      <c r="K76" s="16">
        <v>0.999</v>
      </c>
      <c r="L76" s="16" t="s">
        <v>500</v>
      </c>
      <c r="M76" s="16">
        <v>1</v>
      </c>
      <c r="O76" s="2"/>
      <c r="AE76" s="3" t="s">
        <v>40</v>
      </c>
      <c r="AF76" s="3">
        <v>2</v>
      </c>
      <c r="AG76" s="3">
        <f t="shared" ref="AG76:AG86" si="0">+IF(AF76&gt;=$G$71,1,0)</f>
        <v>1</v>
      </c>
      <c r="AH76" s="3">
        <f>+IF(AG76=0,0,IF(AG76=1,(SUM($AG$75:AG76)-1),1))</f>
        <v>1</v>
      </c>
      <c r="AI76" s="3">
        <f t="shared" ref="AI76:AI86" si="1">+IF(AH76=0,0,IF(MOD(AH76,$U$69)=0,1,0))</f>
        <v>1</v>
      </c>
      <c r="AJ76" s="3">
        <f t="shared" ref="AJ76:AJ86" si="2">+IF(AE76=$F$71,1,0)</f>
        <v>0</v>
      </c>
      <c r="AK76" s="3">
        <f t="shared" ref="AK76:AK86" si="3">+MAX(AI76:AJ76)</f>
        <v>1</v>
      </c>
    </row>
    <row r="77" spans="2:37" x14ac:dyDescent="0.25">
      <c r="B77" s="2"/>
      <c r="D77" s="360" t="s">
        <v>47</v>
      </c>
      <c r="E77" s="360"/>
      <c r="F77" s="16" t="s">
        <v>500</v>
      </c>
      <c r="G77" s="16">
        <v>0.89900000000000002</v>
      </c>
      <c r="H77" s="16">
        <v>0.9</v>
      </c>
      <c r="I77" s="16">
        <v>0.94899999999999995</v>
      </c>
      <c r="J77" s="16">
        <v>0.95</v>
      </c>
      <c r="K77" s="16">
        <v>0.999</v>
      </c>
      <c r="L77" s="16" t="s">
        <v>500</v>
      </c>
      <c r="M77" s="16">
        <v>1</v>
      </c>
      <c r="O77" s="2"/>
      <c r="AE77" s="3" t="s">
        <v>47</v>
      </c>
      <c r="AF77" s="3">
        <v>3</v>
      </c>
      <c r="AG77" s="3">
        <f t="shared" si="0"/>
        <v>1</v>
      </c>
      <c r="AH77" s="3">
        <f>+IF(AG77=0,0,IF(AG77=1,(SUM($AG$75:AG77)-1),1))</f>
        <v>2</v>
      </c>
      <c r="AI77" s="3">
        <f t="shared" si="1"/>
        <v>1</v>
      </c>
      <c r="AJ77" s="3">
        <f t="shared" si="2"/>
        <v>0</v>
      </c>
      <c r="AK77" s="3">
        <f t="shared" si="3"/>
        <v>1</v>
      </c>
    </row>
    <row r="78" spans="2:37" x14ac:dyDescent="0.25">
      <c r="B78" s="2"/>
      <c r="D78" s="360" t="s">
        <v>48</v>
      </c>
      <c r="E78" s="360"/>
      <c r="F78" s="16" t="s">
        <v>500</v>
      </c>
      <c r="G78" s="16">
        <v>0.89900000000000002</v>
      </c>
      <c r="H78" s="16">
        <v>0.9</v>
      </c>
      <c r="I78" s="16">
        <v>0.94899999999999995</v>
      </c>
      <c r="J78" s="16">
        <v>0.95</v>
      </c>
      <c r="K78" s="16">
        <v>0.999</v>
      </c>
      <c r="L78" s="16" t="s">
        <v>500</v>
      </c>
      <c r="M78" s="16">
        <v>1</v>
      </c>
      <c r="O78" s="2"/>
      <c r="AE78" s="3" t="s">
        <v>48</v>
      </c>
      <c r="AF78" s="3">
        <v>4</v>
      </c>
      <c r="AG78" s="3">
        <f t="shared" si="0"/>
        <v>1</v>
      </c>
      <c r="AH78" s="3">
        <f>+IF(AG78=0,0,IF(AG78=1,(SUM($AG$75:AG78)-1),1))</f>
        <v>3</v>
      </c>
      <c r="AI78" s="3">
        <f t="shared" si="1"/>
        <v>1</v>
      </c>
      <c r="AJ78" s="3">
        <f t="shared" si="2"/>
        <v>0</v>
      </c>
      <c r="AK78" s="3">
        <f t="shared" si="3"/>
        <v>1</v>
      </c>
    </row>
    <row r="79" spans="2:37" x14ac:dyDescent="0.25">
      <c r="B79" s="2"/>
      <c r="D79" s="360" t="s">
        <v>49</v>
      </c>
      <c r="E79" s="360"/>
      <c r="F79" s="16" t="s">
        <v>500</v>
      </c>
      <c r="G79" s="16">
        <v>0.89900000000000002</v>
      </c>
      <c r="H79" s="16">
        <v>0.9</v>
      </c>
      <c r="I79" s="16">
        <v>0.94899999999999995</v>
      </c>
      <c r="J79" s="16">
        <v>0.95</v>
      </c>
      <c r="K79" s="16">
        <v>0.999</v>
      </c>
      <c r="L79" s="16" t="s">
        <v>500</v>
      </c>
      <c r="M79" s="16">
        <v>1</v>
      </c>
      <c r="O79" s="2"/>
      <c r="AE79" s="3" t="s">
        <v>49</v>
      </c>
      <c r="AF79" s="3">
        <v>5</v>
      </c>
      <c r="AG79" s="3">
        <f t="shared" si="0"/>
        <v>1</v>
      </c>
      <c r="AH79" s="3">
        <f>+IF(AG79=0,0,IF(AG79=1,(SUM($AG$75:AG79)-1),1))</f>
        <v>4</v>
      </c>
      <c r="AI79" s="3">
        <f t="shared" si="1"/>
        <v>1</v>
      </c>
      <c r="AJ79" s="3">
        <f t="shared" si="2"/>
        <v>0</v>
      </c>
      <c r="AK79" s="3">
        <f t="shared" si="3"/>
        <v>1</v>
      </c>
    </row>
    <row r="80" spans="2:37" x14ac:dyDescent="0.25">
      <c r="B80" s="2"/>
      <c r="D80" s="360" t="s">
        <v>50</v>
      </c>
      <c r="E80" s="360"/>
      <c r="F80" s="16" t="s">
        <v>500</v>
      </c>
      <c r="G80" s="16">
        <v>0.89900000000000002</v>
      </c>
      <c r="H80" s="16">
        <v>0.9</v>
      </c>
      <c r="I80" s="16">
        <v>0.94899999999999995</v>
      </c>
      <c r="J80" s="16">
        <v>0.95</v>
      </c>
      <c r="K80" s="16">
        <v>0.999</v>
      </c>
      <c r="L80" s="16" t="s">
        <v>500</v>
      </c>
      <c r="M80" s="16">
        <v>1</v>
      </c>
      <c r="O80" s="2"/>
      <c r="AE80" s="3" t="s">
        <v>50</v>
      </c>
      <c r="AF80" s="3">
        <v>6</v>
      </c>
      <c r="AG80" s="3">
        <f t="shared" si="0"/>
        <v>1</v>
      </c>
      <c r="AH80" s="3">
        <f>+IF(AG80=0,0,IF(AG80=1,(SUM($AG$75:AG80)-1),1))</f>
        <v>5</v>
      </c>
      <c r="AI80" s="3">
        <f t="shared" si="1"/>
        <v>1</v>
      </c>
      <c r="AJ80" s="3">
        <f t="shared" si="2"/>
        <v>0</v>
      </c>
      <c r="AK80" s="3">
        <f t="shared" si="3"/>
        <v>1</v>
      </c>
    </row>
    <row r="81" spans="2:37" x14ac:dyDescent="0.25">
      <c r="B81" s="2"/>
      <c r="D81" s="360" t="s">
        <v>53</v>
      </c>
      <c r="E81" s="360"/>
      <c r="F81" s="16" t="s">
        <v>500</v>
      </c>
      <c r="G81" s="16">
        <v>0.89900000000000002</v>
      </c>
      <c r="H81" s="16">
        <v>0.9</v>
      </c>
      <c r="I81" s="16">
        <v>0.94899999999999995</v>
      </c>
      <c r="J81" s="16">
        <v>0.95</v>
      </c>
      <c r="K81" s="16">
        <v>0.999</v>
      </c>
      <c r="L81" s="16" t="s">
        <v>500</v>
      </c>
      <c r="M81" s="16">
        <v>1</v>
      </c>
      <c r="O81" s="2"/>
      <c r="AE81" s="3" t="s">
        <v>53</v>
      </c>
      <c r="AF81" s="3">
        <v>7</v>
      </c>
      <c r="AG81" s="3">
        <f t="shared" si="0"/>
        <v>1</v>
      </c>
      <c r="AH81" s="3">
        <f>+IF(AG81=0,0,IF(AG81=1,(SUM($AG$75:AG81)-1),1))</f>
        <v>6</v>
      </c>
      <c r="AI81" s="3">
        <f t="shared" si="1"/>
        <v>1</v>
      </c>
      <c r="AJ81" s="3">
        <f t="shared" si="2"/>
        <v>0</v>
      </c>
      <c r="AK81" s="3">
        <f t="shared" si="3"/>
        <v>1</v>
      </c>
    </row>
    <row r="82" spans="2:37" x14ac:dyDescent="0.25">
      <c r="B82" s="2"/>
      <c r="D82" s="360" t="s">
        <v>54</v>
      </c>
      <c r="E82" s="360"/>
      <c r="F82" s="16" t="s">
        <v>500</v>
      </c>
      <c r="G82" s="16">
        <v>0.89900000000000002</v>
      </c>
      <c r="H82" s="16">
        <v>0.9</v>
      </c>
      <c r="I82" s="16">
        <v>0.94899999999999995</v>
      </c>
      <c r="J82" s="16">
        <v>0.95</v>
      </c>
      <c r="K82" s="16">
        <v>0.999</v>
      </c>
      <c r="L82" s="16" t="s">
        <v>500</v>
      </c>
      <c r="M82" s="16">
        <v>1</v>
      </c>
      <c r="O82" s="2"/>
      <c r="AE82" s="3" t="s">
        <v>54</v>
      </c>
      <c r="AF82" s="3">
        <v>8</v>
      </c>
      <c r="AG82" s="3">
        <f t="shared" si="0"/>
        <v>1</v>
      </c>
      <c r="AH82" s="3">
        <f>+IF(AG82=0,0,IF(AG82=1,(SUM($AG$75:AG82)-1),1))</f>
        <v>7</v>
      </c>
      <c r="AI82" s="3">
        <f t="shared" si="1"/>
        <v>1</v>
      </c>
      <c r="AJ82" s="3">
        <f t="shared" si="2"/>
        <v>0</v>
      </c>
      <c r="AK82" s="3">
        <f t="shared" si="3"/>
        <v>1</v>
      </c>
    </row>
    <row r="83" spans="2:37" x14ac:dyDescent="0.25">
      <c r="B83" s="2"/>
      <c r="D83" s="360" t="s">
        <v>55</v>
      </c>
      <c r="E83" s="360"/>
      <c r="F83" s="16" t="s">
        <v>500</v>
      </c>
      <c r="G83" s="16">
        <v>0.89900000000000002</v>
      </c>
      <c r="H83" s="16">
        <v>0.9</v>
      </c>
      <c r="I83" s="16">
        <v>0.94899999999999995</v>
      </c>
      <c r="J83" s="16">
        <v>0.95</v>
      </c>
      <c r="K83" s="16">
        <v>0.999</v>
      </c>
      <c r="L83" s="16" t="s">
        <v>500</v>
      </c>
      <c r="M83" s="16">
        <v>1</v>
      </c>
      <c r="O83" s="2"/>
      <c r="AE83" s="3" t="s">
        <v>55</v>
      </c>
      <c r="AF83" s="3">
        <v>9</v>
      </c>
      <c r="AG83" s="3">
        <f t="shared" si="0"/>
        <v>1</v>
      </c>
      <c r="AH83" s="3">
        <f>+IF(AG83=0,0,IF(AG83=1,(SUM($AG$75:AG83)-1),1))</f>
        <v>8</v>
      </c>
      <c r="AI83" s="3">
        <f t="shared" si="1"/>
        <v>1</v>
      </c>
      <c r="AJ83" s="3">
        <f t="shared" si="2"/>
        <v>0</v>
      </c>
      <c r="AK83" s="3">
        <f t="shared" si="3"/>
        <v>1</v>
      </c>
    </row>
    <row r="84" spans="2:37" x14ac:dyDescent="0.25">
      <c r="B84" s="2"/>
      <c r="D84" s="360" t="s">
        <v>56</v>
      </c>
      <c r="E84" s="360"/>
      <c r="F84" s="16" t="s">
        <v>500</v>
      </c>
      <c r="G84" s="16">
        <v>0.89900000000000002</v>
      </c>
      <c r="H84" s="16">
        <v>0.9</v>
      </c>
      <c r="I84" s="16">
        <v>0.94899999999999995</v>
      </c>
      <c r="J84" s="16">
        <v>0.95</v>
      </c>
      <c r="K84" s="16">
        <v>0.999</v>
      </c>
      <c r="L84" s="16" t="s">
        <v>500</v>
      </c>
      <c r="M84" s="16">
        <v>1</v>
      </c>
      <c r="O84" s="2"/>
      <c r="AE84" s="3" t="s">
        <v>56</v>
      </c>
      <c r="AF84" s="3">
        <v>10</v>
      </c>
      <c r="AG84" s="3">
        <f t="shared" si="0"/>
        <v>1</v>
      </c>
      <c r="AH84" s="3">
        <f>+IF(AG84=0,0,IF(AG84=1,(SUM($AG$75:AG84)-1),1))</f>
        <v>9</v>
      </c>
      <c r="AI84" s="3">
        <f t="shared" si="1"/>
        <v>1</v>
      </c>
      <c r="AJ84" s="3">
        <f t="shared" si="2"/>
        <v>0</v>
      </c>
      <c r="AK84" s="3">
        <f t="shared" si="3"/>
        <v>1</v>
      </c>
    </row>
    <row r="85" spans="2:37" x14ac:dyDescent="0.25">
      <c r="B85" s="2"/>
      <c r="D85" s="360" t="s">
        <v>57</v>
      </c>
      <c r="E85" s="360"/>
      <c r="F85" s="16" t="s">
        <v>500</v>
      </c>
      <c r="G85" s="16">
        <v>0.89900000000000002</v>
      </c>
      <c r="H85" s="16">
        <v>0.9</v>
      </c>
      <c r="I85" s="16">
        <v>0.94899999999999995</v>
      </c>
      <c r="J85" s="16">
        <v>0.95</v>
      </c>
      <c r="K85" s="16">
        <v>0.999</v>
      </c>
      <c r="L85" s="16" t="s">
        <v>500</v>
      </c>
      <c r="M85" s="16">
        <v>1</v>
      </c>
      <c r="O85" s="2"/>
      <c r="AE85" s="3" t="s">
        <v>57</v>
      </c>
      <c r="AF85" s="3">
        <v>11</v>
      </c>
      <c r="AG85" s="3">
        <f t="shared" si="0"/>
        <v>1</v>
      </c>
      <c r="AH85" s="3">
        <f>+IF(AG85=0,0,IF(AG85=1,(SUM($AG$75:AG85)-1),1))</f>
        <v>10</v>
      </c>
      <c r="AI85" s="3">
        <f t="shared" si="1"/>
        <v>1</v>
      </c>
      <c r="AJ85" s="3">
        <f t="shared" si="2"/>
        <v>0</v>
      </c>
      <c r="AK85" s="3">
        <f t="shared" si="3"/>
        <v>1</v>
      </c>
    </row>
    <row r="86" spans="2:37" x14ac:dyDescent="0.25">
      <c r="B86" s="2"/>
      <c r="D86" s="360" t="s">
        <v>58</v>
      </c>
      <c r="E86" s="360"/>
      <c r="F86" s="16" t="s">
        <v>500</v>
      </c>
      <c r="G86" s="16">
        <v>0.89900000000000002</v>
      </c>
      <c r="H86" s="16">
        <v>0.9</v>
      </c>
      <c r="I86" s="16">
        <v>0.94899999999999995</v>
      </c>
      <c r="J86" s="16">
        <v>0.95</v>
      </c>
      <c r="K86" s="16">
        <v>0.999</v>
      </c>
      <c r="L86" s="16" t="s">
        <v>500</v>
      </c>
      <c r="M86" s="16">
        <v>1</v>
      </c>
      <c r="O86" s="2"/>
      <c r="AE86" s="3" t="s">
        <v>58</v>
      </c>
      <c r="AF86" s="65">
        <v>12</v>
      </c>
      <c r="AG86" s="3">
        <f t="shared" si="0"/>
        <v>1</v>
      </c>
      <c r="AH86" s="3">
        <f>+IF(AG86=0,0,IF(AG86=1,(SUM($AG$75:AG86)-1),1))</f>
        <v>11</v>
      </c>
      <c r="AI86" s="3">
        <f t="shared" si="1"/>
        <v>1</v>
      </c>
      <c r="AJ86" s="3">
        <f t="shared" si="2"/>
        <v>0</v>
      </c>
      <c r="AK86" s="3">
        <f t="shared" si="3"/>
        <v>1</v>
      </c>
    </row>
    <row r="87" spans="2:37" ht="3.75" customHeight="1" x14ac:dyDescent="0.25">
      <c r="B87" s="2"/>
      <c r="O87" s="2"/>
    </row>
    <row r="88" spans="2:37" ht="264.75" customHeight="1" x14ac:dyDescent="0.25">
      <c r="B88" s="2"/>
      <c r="D88" s="338" t="s">
        <v>59</v>
      </c>
      <c r="E88" s="339"/>
      <c r="F88" s="420" t="s">
        <v>783</v>
      </c>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2" customHeight="1" x14ac:dyDescent="0.25">
      <c r="B97" s="2"/>
      <c r="D97" s="359" t="s">
        <v>35</v>
      </c>
      <c r="E97" s="359"/>
      <c r="F97" s="344" t="s">
        <v>782</v>
      </c>
      <c r="G97" s="344"/>
      <c r="H97" s="344"/>
      <c r="I97" s="344"/>
      <c r="J97" s="344"/>
      <c r="K97" s="344"/>
      <c r="L97" s="344"/>
      <c r="M97" s="344"/>
      <c r="O97" s="2"/>
    </row>
    <row r="98" spans="2:15" ht="42" customHeight="1" x14ac:dyDescent="0.25">
      <c r="B98" s="2"/>
      <c r="D98" s="359" t="s">
        <v>36</v>
      </c>
      <c r="E98" s="359"/>
      <c r="F98" s="344" t="s">
        <v>782</v>
      </c>
      <c r="G98" s="344"/>
      <c r="H98" s="344"/>
      <c r="I98" s="344"/>
      <c r="J98" s="344"/>
      <c r="K98" s="344"/>
      <c r="L98" s="344"/>
      <c r="M98" s="344"/>
      <c r="O98" s="2"/>
    </row>
    <row r="99" spans="2:15" ht="3.95" customHeight="1" x14ac:dyDescent="0.25">
      <c r="B99" s="2"/>
      <c r="O99" s="2"/>
    </row>
    <row r="100" spans="2:15" ht="253.5" customHeight="1" x14ac:dyDescent="0.25">
      <c r="B100" s="2"/>
      <c r="D100" s="338" t="s">
        <v>62</v>
      </c>
      <c r="E100" s="339"/>
      <c r="F100" s="340" t="s">
        <v>738</v>
      </c>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1</v>
      </c>
      <c r="K102" s="20"/>
      <c r="O102" s="2"/>
    </row>
    <row r="103" spans="2:15" ht="19.5" customHeight="1" x14ac:dyDescent="0.25">
      <c r="B103" s="2"/>
      <c r="D103" s="331"/>
      <c r="E103" s="332"/>
      <c r="F103" s="19" t="s">
        <v>66</v>
      </c>
      <c r="G103" s="4" t="s">
        <v>1785</v>
      </c>
      <c r="K103" s="21"/>
      <c r="O103" s="2"/>
    </row>
    <row r="104" spans="2:15" ht="27.75" customHeight="1" x14ac:dyDescent="0.25">
      <c r="B104" s="2"/>
      <c r="D104" s="331"/>
      <c r="E104" s="332"/>
      <c r="F104" s="19" t="s">
        <v>67</v>
      </c>
      <c r="G104" s="340" t="s">
        <v>1784</v>
      </c>
      <c r="H104" s="341"/>
      <c r="I104" s="341"/>
      <c r="J104" s="341"/>
      <c r="K104" s="341"/>
      <c r="L104" s="341"/>
      <c r="M104" s="342"/>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40" t="str">
        <f>+VLOOKUP(H10,tablero!$P$5:$R$201,3,FALSE)</f>
        <v>Subdirector(a) Adopciones</v>
      </c>
      <c r="H108" s="341"/>
      <c r="I108" s="341"/>
      <c r="J108" s="341"/>
      <c r="K108" s="341"/>
      <c r="L108" s="341"/>
      <c r="M108" s="342"/>
      <c r="O108" s="2"/>
    </row>
    <row r="109" spans="2:15" ht="17.25" customHeight="1" x14ac:dyDescent="0.25">
      <c r="B109" s="2"/>
      <c r="D109" s="331"/>
      <c r="E109" s="332"/>
      <c r="F109" s="19" t="s">
        <v>2042</v>
      </c>
      <c r="G109" s="340" t="str">
        <f>+IF(M23="Si","Coordinador(a) Planeación y Sistemas","")</f>
        <v>Coordinador(a) Planeación y Sistemas</v>
      </c>
      <c r="H109" s="341"/>
      <c r="I109" s="341"/>
      <c r="J109" s="341"/>
      <c r="K109" s="341"/>
      <c r="L109" s="341"/>
      <c r="M109" s="342"/>
      <c r="O109" s="2"/>
    </row>
    <row r="110" spans="2:15" ht="17.25" customHeight="1" x14ac:dyDescent="0.25">
      <c r="B110" s="2"/>
      <c r="D110" s="331"/>
      <c r="E110" s="332"/>
      <c r="F110" s="19" t="s">
        <v>2043</v>
      </c>
      <c r="G110" s="340" t="str">
        <f>+IF(M24="Si","Coordinador(a) Centro Zonal","")</f>
        <v/>
      </c>
      <c r="H110" s="341"/>
      <c r="I110" s="341"/>
      <c r="J110" s="341"/>
      <c r="K110" s="341"/>
      <c r="L110" s="341"/>
      <c r="M110" s="342"/>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214" priority="22">
      <formula>+IF($F$43="no",1,0)</formula>
    </cfRule>
  </conditionalFormatting>
  <conditionalFormatting sqref="F32:M33">
    <cfRule type="expression" dxfId="2213" priority="21">
      <formula>+IF($Q$30="NA",1,0)</formula>
    </cfRule>
  </conditionalFormatting>
  <conditionalFormatting sqref="F33:M33">
    <cfRule type="expression" dxfId="2212" priority="20">
      <formula>+IF($Q$33=0,1,0)</formula>
    </cfRule>
  </conditionalFormatting>
  <conditionalFormatting sqref="F47:M47">
    <cfRule type="expression" dxfId="2211" priority="19">
      <formula>+IF($Q$47=0,1,0)</formula>
    </cfRule>
  </conditionalFormatting>
  <conditionalFormatting sqref="F73:G73">
    <cfRule type="cellIs" dxfId="2210" priority="16" operator="equal">
      <formula>"optimo"</formula>
    </cfRule>
    <cfRule type="cellIs" dxfId="2209" priority="17" operator="equal">
      <formula>"critico"</formula>
    </cfRule>
  </conditionalFormatting>
  <conditionalFormatting sqref="H73:I73">
    <cfRule type="cellIs" dxfId="2208" priority="14" operator="equal">
      <formula>"Adecuado"</formula>
    </cfRule>
    <cfRule type="cellIs" dxfId="2207" priority="15" operator="equal">
      <formula>"en riesgo"</formula>
    </cfRule>
  </conditionalFormatting>
  <conditionalFormatting sqref="J73:K73">
    <cfRule type="cellIs" dxfId="2206" priority="12" operator="equal">
      <formula>"Adecuado"</formula>
    </cfRule>
    <cfRule type="cellIs" dxfId="2205" priority="13" operator="equal">
      <formula>"en riesgo"</formula>
    </cfRule>
  </conditionalFormatting>
  <conditionalFormatting sqref="L73:M73">
    <cfRule type="cellIs" dxfId="2204" priority="10" operator="equal">
      <formula>"optimo"</formula>
    </cfRule>
    <cfRule type="cellIs" dxfId="2203" priority="11" operator="equal">
      <formula>"critico"</formula>
    </cfRule>
  </conditionalFormatting>
  <conditionalFormatting sqref="F75:M86">
    <cfRule type="expression" dxfId="2202" priority="9">
      <formula>+IF($AK75=0,1)</formula>
    </cfRule>
  </conditionalFormatting>
  <conditionalFormatting sqref="F103:G104">
    <cfRule type="expression" dxfId="2201" priority="8">
      <formula>+IF($G$102="No",1,0)</formula>
    </cfRule>
  </conditionalFormatting>
  <conditionalFormatting sqref="F51">
    <cfRule type="expression" dxfId="2200" priority="7">
      <formula>+IF($F$43="no",1,0)</formula>
    </cfRule>
  </conditionalFormatting>
  <conditionalFormatting sqref="I51">
    <cfRule type="expression" dxfId="2199" priority="6">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4">
    <tabColor rgb="FF0070C0"/>
  </sheetPr>
  <dimension ref="B1:AV113"/>
  <sheetViews>
    <sheetView zoomScaleNormal="100" workbookViewId="0">
      <selection activeCell="P1" sqref="P1"/>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241</v>
      </c>
      <c r="O10" s="2"/>
    </row>
    <row r="11" spans="2:24" ht="3.95" customHeight="1" x14ac:dyDescent="0.25">
      <c r="B11" s="2"/>
      <c r="D11" s="6"/>
      <c r="O11" s="2"/>
    </row>
    <row r="12" spans="2:24" ht="36" customHeight="1" x14ac:dyDescent="0.25">
      <c r="B12" s="2"/>
      <c r="D12" s="338" t="s">
        <v>5</v>
      </c>
      <c r="E12" s="339"/>
      <c r="F12" s="340" t="s">
        <v>242</v>
      </c>
      <c r="G12" s="341"/>
      <c r="H12" s="341"/>
      <c r="I12" s="341"/>
      <c r="J12" s="341"/>
      <c r="K12" s="341"/>
      <c r="L12" s="341"/>
      <c r="M12" s="342"/>
      <c r="O12" s="2"/>
      <c r="W12" s="3" t="str">
        <f>+F23</f>
        <v>Mensual</v>
      </c>
      <c r="X12" s="3" t="str">
        <f>+F71</f>
        <v>Enero</v>
      </c>
    </row>
    <row r="13" spans="2:24" ht="3.95" customHeight="1" x14ac:dyDescent="0.25">
      <c r="B13" s="2"/>
      <c r="O13" s="2"/>
    </row>
    <row r="14" spans="2:24" ht="38.25" customHeight="1" x14ac:dyDescent="0.25">
      <c r="B14" s="2"/>
      <c r="D14" s="338" t="s">
        <v>6</v>
      </c>
      <c r="E14" s="339"/>
      <c r="F14" s="340" t="s">
        <v>887</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17">
        <v>0.63</v>
      </c>
      <c r="G22" s="337" t="s">
        <v>9</v>
      </c>
      <c r="H22" s="337"/>
      <c r="I22" s="17">
        <v>0.65</v>
      </c>
      <c r="K22" s="337" t="s">
        <v>10</v>
      </c>
      <c r="L22" s="337"/>
      <c r="M22" s="9" t="s">
        <v>496</v>
      </c>
      <c r="O22" s="2"/>
    </row>
    <row r="23" spans="2:17" ht="19.5" customHeight="1" x14ac:dyDescent="0.25">
      <c r="B23" s="2"/>
      <c r="D23" s="337" t="s">
        <v>11</v>
      </c>
      <c r="E23" s="337"/>
      <c r="F23" s="4" t="s">
        <v>84</v>
      </c>
      <c r="G23" s="337" t="s">
        <v>12</v>
      </c>
      <c r="H23" s="337"/>
      <c r="I23" s="4" t="s">
        <v>497</v>
      </c>
      <c r="K23" s="337" t="s">
        <v>13</v>
      </c>
      <c r="L23" s="337"/>
      <c r="M23" s="9" t="s">
        <v>496</v>
      </c>
      <c r="O23" s="2"/>
    </row>
    <row r="24" spans="2:17" ht="20.100000000000001" customHeight="1" x14ac:dyDescent="0.25">
      <c r="B24" s="2"/>
      <c r="D24" s="337" t="s">
        <v>14</v>
      </c>
      <c r="E24" s="337"/>
      <c r="F24" s="4" t="s">
        <v>498</v>
      </c>
      <c r="G24" s="337" t="s">
        <v>15</v>
      </c>
      <c r="H24" s="337"/>
      <c r="I24" s="4" t="s">
        <v>103</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716</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proteccion</v>
      </c>
    </row>
    <row r="31" spans="2:17" ht="24" customHeight="1" x14ac:dyDescent="0.25">
      <c r="B31" s="2"/>
      <c r="D31" s="347"/>
      <c r="E31" s="348"/>
      <c r="F31" s="4" t="s">
        <v>202</v>
      </c>
      <c r="G31" s="340" t="s">
        <v>203</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785</v>
      </c>
      <c r="G33" s="340" t="s">
        <v>737</v>
      </c>
      <c r="H33" s="341"/>
      <c r="I33" s="341"/>
      <c r="J33" s="341"/>
      <c r="K33" s="341"/>
      <c r="L33" s="341"/>
      <c r="M33" s="342"/>
      <c r="O33" s="2"/>
      <c r="Q33" s="3">
        <f>+IFERROR(IF(VLOOKUP(G33,base!$A$26:$C$40,3,FALSE)=F31,1,0),"")</f>
        <v>1</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1715</v>
      </c>
      <c r="G35" s="340" t="s">
        <v>1591</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501</v>
      </c>
      <c r="G45" s="340" t="s">
        <v>515</v>
      </c>
      <c r="H45" s="341"/>
      <c r="I45" s="341"/>
      <c r="J45" s="341"/>
      <c r="K45" s="341"/>
      <c r="L45" s="341"/>
      <c r="M45" s="342"/>
      <c r="O45" s="2"/>
      <c r="Q45" s="3" t="str">
        <f>+IFERROR(VLOOKUP(G45,base!$A$41:$C$45,3,FALSE),"")</f>
        <v>misional</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503</v>
      </c>
      <c r="G47" s="340" t="s">
        <v>504</v>
      </c>
      <c r="H47" s="341"/>
      <c r="I47" s="341"/>
      <c r="J47" s="341"/>
      <c r="K47" s="341"/>
      <c r="L47" s="341"/>
      <c r="M47" s="342"/>
      <c r="O47" s="2"/>
      <c r="Q47" s="3">
        <f>+IF(VLOOKUP(G47,base!$A$46:$C$66,3,FALSE)=F45,1,0)</f>
        <v>1</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786</v>
      </c>
      <c r="G49" s="340" t="s">
        <v>717</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496</v>
      </c>
      <c r="G51" s="337" t="s">
        <v>32</v>
      </c>
      <c r="H51" s="337"/>
      <c r="I51" s="17">
        <v>0.7</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60" customHeight="1" x14ac:dyDescent="0.25">
      <c r="B59" s="2"/>
      <c r="D59" s="337" t="s">
        <v>34</v>
      </c>
      <c r="E59" s="337"/>
      <c r="F59" s="344" t="s">
        <v>888</v>
      </c>
      <c r="G59" s="344"/>
      <c r="H59" s="344"/>
      <c r="I59" s="344"/>
      <c r="J59" s="344"/>
      <c r="K59" s="344"/>
      <c r="L59" s="344"/>
      <c r="M59" s="344"/>
      <c r="O59" s="2"/>
    </row>
    <row r="60" spans="2:15" ht="39" customHeight="1" x14ac:dyDescent="0.25">
      <c r="B60" s="2"/>
      <c r="D60" s="359" t="s">
        <v>35</v>
      </c>
      <c r="E60" s="359"/>
      <c r="F60" s="344" t="s">
        <v>889</v>
      </c>
      <c r="G60" s="344"/>
      <c r="H60" s="344"/>
      <c r="I60" s="344"/>
      <c r="J60" s="344"/>
      <c r="K60" s="344"/>
      <c r="L60" s="344"/>
      <c r="M60" s="344"/>
      <c r="O60" s="2"/>
    </row>
    <row r="61" spans="2:15" ht="39" customHeight="1" x14ac:dyDescent="0.25">
      <c r="B61" s="2"/>
      <c r="D61" s="359" t="s">
        <v>36</v>
      </c>
      <c r="E61" s="359"/>
      <c r="F61" s="344" t="s">
        <v>890</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43" t="s">
        <v>39</v>
      </c>
      <c r="E71" s="343"/>
      <c r="F71" s="4" t="s">
        <v>46</v>
      </c>
      <c r="G71" s="3">
        <v>1</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v>0.44900000000000001</v>
      </c>
      <c r="H75" s="16">
        <v>0.45</v>
      </c>
      <c r="I75" s="16">
        <v>0.499</v>
      </c>
      <c r="J75" s="16">
        <v>0.5</v>
      </c>
      <c r="K75" s="16">
        <v>0.54900000000000004</v>
      </c>
      <c r="L75" s="16">
        <v>0.55000000000000004</v>
      </c>
      <c r="M75" s="16" t="s">
        <v>500</v>
      </c>
      <c r="O75" s="2"/>
      <c r="AE75" s="3" t="s">
        <v>46</v>
      </c>
      <c r="AF75" s="3">
        <v>1</v>
      </c>
      <c r="AG75" s="3">
        <f>+IF(AF75&gt;=$G$71,1,0)</f>
        <v>1</v>
      </c>
      <c r="AH75" s="3">
        <f>+IF(AG75=0,0,IF(AG75=1,(SUM($AG$75:AG75)-1),1))</f>
        <v>0</v>
      </c>
      <c r="AI75" s="3">
        <f>+IF(AH75=0,0,IF(MOD(AH75,$U$69)=0,1,0))</f>
        <v>0</v>
      </c>
      <c r="AJ75" s="3">
        <f>+IF(AE75=$F$71,1,0)</f>
        <v>1</v>
      </c>
      <c r="AK75" s="3">
        <f>+MAX(AI75:AJ75)</f>
        <v>1</v>
      </c>
    </row>
    <row r="76" spans="2:37" x14ac:dyDescent="0.25">
      <c r="B76" s="2"/>
      <c r="D76" s="360" t="s">
        <v>40</v>
      </c>
      <c r="E76" s="360"/>
      <c r="F76" s="16" t="s">
        <v>500</v>
      </c>
      <c r="G76" s="16">
        <v>0.44900000000000001</v>
      </c>
      <c r="H76" s="16">
        <v>0.45</v>
      </c>
      <c r="I76" s="16">
        <v>0.499</v>
      </c>
      <c r="J76" s="16">
        <v>0.5</v>
      </c>
      <c r="K76" s="16">
        <v>0.54900000000000004</v>
      </c>
      <c r="L76" s="16">
        <v>0.55000000000000004</v>
      </c>
      <c r="M76" s="16" t="s">
        <v>500</v>
      </c>
      <c r="O76" s="2"/>
      <c r="AE76" s="3" t="s">
        <v>40</v>
      </c>
      <c r="AF76" s="3">
        <v>2</v>
      </c>
      <c r="AG76" s="3">
        <f t="shared" ref="AG76:AG86" si="0">+IF(AF76&gt;=$G$71,1,0)</f>
        <v>1</v>
      </c>
      <c r="AH76" s="3">
        <f>+IF(AG76=0,0,IF(AG76=1,(SUM($AG$75:AG76)-1),1))</f>
        <v>1</v>
      </c>
      <c r="AI76" s="3">
        <f t="shared" ref="AI76:AI86" si="1">+IF(AH76=0,0,IF(MOD(AH76,$U$69)=0,1,0))</f>
        <v>1</v>
      </c>
      <c r="AJ76" s="3">
        <f t="shared" ref="AJ76:AJ86" si="2">+IF(AE76=$F$71,1,0)</f>
        <v>0</v>
      </c>
      <c r="AK76" s="3">
        <f t="shared" ref="AK76:AK86" si="3">+MAX(AI76:AJ76)</f>
        <v>1</v>
      </c>
    </row>
    <row r="77" spans="2:37" x14ac:dyDescent="0.25">
      <c r="B77" s="2"/>
      <c r="D77" s="360" t="s">
        <v>47</v>
      </c>
      <c r="E77" s="360"/>
      <c r="F77" s="16" t="s">
        <v>500</v>
      </c>
      <c r="G77" s="16">
        <v>0.44900000000000001</v>
      </c>
      <c r="H77" s="16">
        <v>0.45</v>
      </c>
      <c r="I77" s="16">
        <v>0.499</v>
      </c>
      <c r="J77" s="16">
        <v>0.5</v>
      </c>
      <c r="K77" s="16">
        <v>0.54900000000000004</v>
      </c>
      <c r="L77" s="16">
        <v>0.55000000000000004</v>
      </c>
      <c r="M77" s="16" t="s">
        <v>500</v>
      </c>
      <c r="O77" s="2"/>
      <c r="AE77" s="3" t="s">
        <v>47</v>
      </c>
      <c r="AF77" s="3">
        <v>3</v>
      </c>
      <c r="AG77" s="3">
        <f t="shared" si="0"/>
        <v>1</v>
      </c>
      <c r="AH77" s="3">
        <f>+IF(AG77=0,0,IF(AG77=1,(SUM($AG$75:AG77)-1),1))</f>
        <v>2</v>
      </c>
      <c r="AI77" s="3">
        <f t="shared" si="1"/>
        <v>1</v>
      </c>
      <c r="AJ77" s="3">
        <f t="shared" si="2"/>
        <v>0</v>
      </c>
      <c r="AK77" s="3">
        <f t="shared" si="3"/>
        <v>1</v>
      </c>
    </row>
    <row r="78" spans="2:37" x14ac:dyDescent="0.25">
      <c r="B78" s="2"/>
      <c r="D78" s="360" t="s">
        <v>48</v>
      </c>
      <c r="E78" s="360"/>
      <c r="F78" s="16" t="s">
        <v>500</v>
      </c>
      <c r="G78" s="16">
        <v>0.44900000000000001</v>
      </c>
      <c r="H78" s="16">
        <v>0.45</v>
      </c>
      <c r="I78" s="16">
        <v>0.499</v>
      </c>
      <c r="J78" s="16">
        <v>0.5</v>
      </c>
      <c r="K78" s="16">
        <v>0.54900000000000004</v>
      </c>
      <c r="L78" s="16">
        <v>0.55000000000000004</v>
      </c>
      <c r="M78" s="16" t="s">
        <v>500</v>
      </c>
      <c r="O78" s="2"/>
      <c r="AE78" s="3" t="s">
        <v>48</v>
      </c>
      <c r="AF78" s="3">
        <v>4</v>
      </c>
      <c r="AG78" s="3">
        <f t="shared" si="0"/>
        <v>1</v>
      </c>
      <c r="AH78" s="3">
        <f>+IF(AG78=0,0,IF(AG78=1,(SUM($AG$75:AG78)-1),1))</f>
        <v>3</v>
      </c>
      <c r="AI78" s="3">
        <f t="shared" si="1"/>
        <v>1</v>
      </c>
      <c r="AJ78" s="3">
        <f t="shared" si="2"/>
        <v>0</v>
      </c>
      <c r="AK78" s="3">
        <f t="shared" si="3"/>
        <v>1</v>
      </c>
    </row>
    <row r="79" spans="2:37" x14ac:dyDescent="0.25">
      <c r="B79" s="2"/>
      <c r="D79" s="360" t="s">
        <v>49</v>
      </c>
      <c r="E79" s="360"/>
      <c r="F79" s="16" t="s">
        <v>500</v>
      </c>
      <c r="G79" s="16">
        <v>0.44900000000000001</v>
      </c>
      <c r="H79" s="16">
        <v>0.45</v>
      </c>
      <c r="I79" s="16">
        <v>0.499</v>
      </c>
      <c r="J79" s="16">
        <v>0.5</v>
      </c>
      <c r="K79" s="16">
        <v>0.54900000000000004</v>
      </c>
      <c r="L79" s="16">
        <v>0.55000000000000004</v>
      </c>
      <c r="M79" s="16" t="s">
        <v>500</v>
      </c>
      <c r="O79" s="2"/>
      <c r="AE79" s="3" t="s">
        <v>49</v>
      </c>
      <c r="AF79" s="3">
        <v>5</v>
      </c>
      <c r="AG79" s="3">
        <f t="shared" si="0"/>
        <v>1</v>
      </c>
      <c r="AH79" s="3">
        <f>+IF(AG79=0,0,IF(AG79=1,(SUM($AG$75:AG79)-1),1))</f>
        <v>4</v>
      </c>
      <c r="AI79" s="3">
        <f t="shared" si="1"/>
        <v>1</v>
      </c>
      <c r="AJ79" s="3">
        <f t="shared" si="2"/>
        <v>0</v>
      </c>
      <c r="AK79" s="3">
        <f t="shared" si="3"/>
        <v>1</v>
      </c>
    </row>
    <row r="80" spans="2:37" x14ac:dyDescent="0.25">
      <c r="B80" s="2"/>
      <c r="D80" s="360" t="s">
        <v>50</v>
      </c>
      <c r="E80" s="360"/>
      <c r="F80" s="16" t="s">
        <v>500</v>
      </c>
      <c r="G80" s="16">
        <v>0.44900000000000001</v>
      </c>
      <c r="H80" s="16">
        <v>0.45</v>
      </c>
      <c r="I80" s="16">
        <v>0.499</v>
      </c>
      <c r="J80" s="16">
        <v>0.5</v>
      </c>
      <c r="K80" s="16">
        <v>0.54900000000000004</v>
      </c>
      <c r="L80" s="16">
        <v>0.55000000000000004</v>
      </c>
      <c r="M80" s="16" t="s">
        <v>500</v>
      </c>
      <c r="O80" s="2"/>
      <c r="AE80" s="3" t="s">
        <v>50</v>
      </c>
      <c r="AF80" s="3">
        <v>6</v>
      </c>
      <c r="AG80" s="3">
        <f t="shared" si="0"/>
        <v>1</v>
      </c>
      <c r="AH80" s="3">
        <f>+IF(AG80=0,0,IF(AG80=1,(SUM($AG$75:AG80)-1),1))</f>
        <v>5</v>
      </c>
      <c r="AI80" s="3">
        <f t="shared" si="1"/>
        <v>1</v>
      </c>
      <c r="AJ80" s="3">
        <f t="shared" si="2"/>
        <v>0</v>
      </c>
      <c r="AK80" s="3">
        <f t="shared" si="3"/>
        <v>1</v>
      </c>
    </row>
    <row r="81" spans="2:37" x14ac:dyDescent="0.25">
      <c r="B81" s="2"/>
      <c r="D81" s="360" t="s">
        <v>53</v>
      </c>
      <c r="E81" s="360"/>
      <c r="F81" s="16" t="s">
        <v>500</v>
      </c>
      <c r="G81" s="16">
        <v>0.54900000000000004</v>
      </c>
      <c r="H81" s="16">
        <v>0.55000000000000004</v>
      </c>
      <c r="I81" s="16">
        <v>0.59899999999999998</v>
      </c>
      <c r="J81" s="16">
        <v>0.6</v>
      </c>
      <c r="K81" s="16">
        <v>0.64900000000000002</v>
      </c>
      <c r="L81" s="16">
        <v>0.65</v>
      </c>
      <c r="M81" s="16" t="s">
        <v>500</v>
      </c>
      <c r="O81" s="2"/>
      <c r="AE81" s="3" t="s">
        <v>53</v>
      </c>
      <c r="AF81" s="3">
        <v>7</v>
      </c>
      <c r="AG81" s="3">
        <f t="shared" si="0"/>
        <v>1</v>
      </c>
      <c r="AH81" s="3">
        <f>+IF(AG81=0,0,IF(AG81=1,(SUM($AG$75:AG81)-1),1))</f>
        <v>6</v>
      </c>
      <c r="AI81" s="3">
        <f t="shared" si="1"/>
        <v>1</v>
      </c>
      <c r="AJ81" s="3">
        <f t="shared" si="2"/>
        <v>0</v>
      </c>
      <c r="AK81" s="3">
        <f t="shared" si="3"/>
        <v>1</v>
      </c>
    </row>
    <row r="82" spans="2:37" x14ac:dyDescent="0.25">
      <c r="B82" s="2"/>
      <c r="D82" s="360" t="s">
        <v>54</v>
      </c>
      <c r="E82" s="360"/>
      <c r="F82" s="16" t="s">
        <v>500</v>
      </c>
      <c r="G82" s="16">
        <v>0.54900000000000004</v>
      </c>
      <c r="H82" s="16">
        <v>0.55000000000000004</v>
      </c>
      <c r="I82" s="16">
        <v>0.59899999999999998</v>
      </c>
      <c r="J82" s="16">
        <v>0.6</v>
      </c>
      <c r="K82" s="16">
        <v>0.64900000000000002</v>
      </c>
      <c r="L82" s="16">
        <v>0.65</v>
      </c>
      <c r="M82" s="16" t="s">
        <v>500</v>
      </c>
      <c r="O82" s="2"/>
      <c r="AE82" s="3" t="s">
        <v>54</v>
      </c>
      <c r="AF82" s="3">
        <v>8</v>
      </c>
      <c r="AG82" s="3">
        <f t="shared" si="0"/>
        <v>1</v>
      </c>
      <c r="AH82" s="3">
        <f>+IF(AG82=0,0,IF(AG82=1,(SUM($AG$75:AG82)-1),1))</f>
        <v>7</v>
      </c>
      <c r="AI82" s="3">
        <f t="shared" si="1"/>
        <v>1</v>
      </c>
      <c r="AJ82" s="3">
        <f t="shared" si="2"/>
        <v>0</v>
      </c>
      <c r="AK82" s="3">
        <f t="shared" si="3"/>
        <v>1</v>
      </c>
    </row>
    <row r="83" spans="2:37" x14ac:dyDescent="0.25">
      <c r="B83" s="2"/>
      <c r="D83" s="360" t="s">
        <v>55</v>
      </c>
      <c r="E83" s="360"/>
      <c r="F83" s="16" t="s">
        <v>500</v>
      </c>
      <c r="G83" s="16">
        <v>0.54900000000000004</v>
      </c>
      <c r="H83" s="16">
        <v>0.55000000000000004</v>
      </c>
      <c r="I83" s="16">
        <v>0.59899999999999998</v>
      </c>
      <c r="J83" s="16">
        <v>0.6</v>
      </c>
      <c r="K83" s="16">
        <v>0.64900000000000002</v>
      </c>
      <c r="L83" s="16">
        <v>0.65</v>
      </c>
      <c r="M83" s="16" t="s">
        <v>500</v>
      </c>
      <c r="O83" s="2"/>
      <c r="AE83" s="3" t="s">
        <v>55</v>
      </c>
      <c r="AF83" s="3">
        <v>9</v>
      </c>
      <c r="AG83" s="3">
        <f t="shared" si="0"/>
        <v>1</v>
      </c>
      <c r="AH83" s="3">
        <f>+IF(AG83=0,0,IF(AG83=1,(SUM($AG$75:AG83)-1),1))</f>
        <v>8</v>
      </c>
      <c r="AI83" s="3">
        <f t="shared" si="1"/>
        <v>1</v>
      </c>
      <c r="AJ83" s="3">
        <f t="shared" si="2"/>
        <v>0</v>
      </c>
      <c r="AK83" s="3">
        <f t="shared" si="3"/>
        <v>1</v>
      </c>
    </row>
    <row r="84" spans="2:37" x14ac:dyDescent="0.25">
      <c r="B84" s="2"/>
      <c r="D84" s="360" t="s">
        <v>56</v>
      </c>
      <c r="E84" s="360"/>
      <c r="F84" s="16" t="s">
        <v>500</v>
      </c>
      <c r="G84" s="16">
        <v>0.54900000000000004</v>
      </c>
      <c r="H84" s="16">
        <v>0.55000000000000004</v>
      </c>
      <c r="I84" s="16">
        <v>0.59899999999999998</v>
      </c>
      <c r="J84" s="16">
        <v>0.6</v>
      </c>
      <c r="K84" s="16">
        <v>0.64900000000000002</v>
      </c>
      <c r="L84" s="16">
        <v>0.65</v>
      </c>
      <c r="M84" s="16" t="s">
        <v>500</v>
      </c>
      <c r="O84" s="2"/>
      <c r="AE84" s="3" t="s">
        <v>56</v>
      </c>
      <c r="AF84" s="3">
        <v>10</v>
      </c>
      <c r="AG84" s="3">
        <f t="shared" si="0"/>
        <v>1</v>
      </c>
      <c r="AH84" s="3">
        <f>+IF(AG84=0,0,IF(AG84=1,(SUM($AG$75:AG84)-1),1))</f>
        <v>9</v>
      </c>
      <c r="AI84" s="3">
        <f t="shared" si="1"/>
        <v>1</v>
      </c>
      <c r="AJ84" s="3">
        <f t="shared" si="2"/>
        <v>0</v>
      </c>
      <c r="AK84" s="3">
        <f t="shared" si="3"/>
        <v>1</v>
      </c>
    </row>
    <row r="85" spans="2:37" x14ac:dyDescent="0.25">
      <c r="B85" s="2"/>
      <c r="D85" s="360" t="s">
        <v>57</v>
      </c>
      <c r="E85" s="360"/>
      <c r="F85" s="16" t="s">
        <v>500</v>
      </c>
      <c r="G85" s="16">
        <v>0.54900000000000004</v>
      </c>
      <c r="H85" s="16">
        <v>0.55000000000000004</v>
      </c>
      <c r="I85" s="16">
        <v>0.59899999999999998</v>
      </c>
      <c r="J85" s="16">
        <v>0.6</v>
      </c>
      <c r="K85" s="16">
        <v>0.64900000000000002</v>
      </c>
      <c r="L85" s="16">
        <v>0.65</v>
      </c>
      <c r="M85" s="16" t="s">
        <v>500</v>
      </c>
      <c r="O85" s="2"/>
      <c r="AE85" s="3" t="s">
        <v>57</v>
      </c>
      <c r="AF85" s="3">
        <v>11</v>
      </c>
      <c r="AG85" s="3">
        <f t="shared" si="0"/>
        <v>1</v>
      </c>
      <c r="AH85" s="3">
        <f>+IF(AG85=0,0,IF(AG85=1,(SUM($AG$75:AG85)-1),1))</f>
        <v>10</v>
      </c>
      <c r="AI85" s="3">
        <f t="shared" si="1"/>
        <v>1</v>
      </c>
      <c r="AJ85" s="3">
        <f t="shared" si="2"/>
        <v>0</v>
      </c>
      <c r="AK85" s="3">
        <f t="shared" si="3"/>
        <v>1</v>
      </c>
    </row>
    <row r="86" spans="2:37" x14ac:dyDescent="0.25">
      <c r="B86" s="2"/>
      <c r="D86" s="360" t="s">
        <v>58</v>
      </c>
      <c r="E86" s="360"/>
      <c r="F86" s="16" t="s">
        <v>500</v>
      </c>
      <c r="G86" s="16">
        <v>0.54900000000000004</v>
      </c>
      <c r="H86" s="16">
        <v>0.55000000000000004</v>
      </c>
      <c r="I86" s="16">
        <v>0.59899999999999998</v>
      </c>
      <c r="J86" s="16">
        <v>0.6</v>
      </c>
      <c r="K86" s="16">
        <v>0.64900000000000002</v>
      </c>
      <c r="L86" s="16">
        <v>0.65</v>
      </c>
      <c r="M86" s="16" t="s">
        <v>500</v>
      </c>
      <c r="O86" s="2"/>
      <c r="AE86" s="3" t="s">
        <v>58</v>
      </c>
      <c r="AF86" s="65">
        <v>12</v>
      </c>
      <c r="AG86" s="3">
        <f t="shared" si="0"/>
        <v>1</v>
      </c>
      <c r="AH86" s="3">
        <f>+IF(AG86=0,0,IF(AG86=1,(SUM($AG$75:AG86)-1),1))</f>
        <v>11</v>
      </c>
      <c r="AI86" s="3">
        <f t="shared" si="1"/>
        <v>1</v>
      </c>
      <c r="AJ86" s="3">
        <f t="shared" si="2"/>
        <v>0</v>
      </c>
      <c r="AK86" s="3">
        <f t="shared" si="3"/>
        <v>1</v>
      </c>
    </row>
    <row r="87" spans="2:37" ht="3.75" customHeight="1" x14ac:dyDescent="0.25">
      <c r="B87" s="2"/>
      <c r="O87" s="2"/>
    </row>
    <row r="88" spans="2:37" ht="387" customHeight="1" x14ac:dyDescent="0.25">
      <c r="B88" s="2"/>
      <c r="D88" s="338" t="s">
        <v>59</v>
      </c>
      <c r="E88" s="339"/>
      <c r="F88" s="420" t="s">
        <v>868</v>
      </c>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2" customHeight="1" x14ac:dyDescent="0.25">
      <c r="B97" s="2"/>
      <c r="D97" s="359" t="s">
        <v>35</v>
      </c>
      <c r="E97" s="359"/>
      <c r="F97" s="344" t="s">
        <v>782</v>
      </c>
      <c r="G97" s="344"/>
      <c r="H97" s="344"/>
      <c r="I97" s="344"/>
      <c r="J97" s="344"/>
      <c r="K97" s="344"/>
      <c r="L97" s="344"/>
      <c r="M97" s="344"/>
      <c r="O97" s="2"/>
    </row>
    <row r="98" spans="2:15" ht="42" customHeight="1" x14ac:dyDescent="0.25">
      <c r="B98" s="2"/>
      <c r="D98" s="359" t="s">
        <v>36</v>
      </c>
      <c r="E98" s="359"/>
      <c r="F98" s="344" t="s">
        <v>782</v>
      </c>
      <c r="G98" s="344"/>
      <c r="H98" s="344"/>
      <c r="I98" s="344"/>
      <c r="J98" s="344"/>
      <c r="K98" s="344"/>
      <c r="L98" s="344"/>
      <c r="M98" s="344"/>
      <c r="O98" s="2"/>
    </row>
    <row r="99" spans="2:15" ht="3.95" customHeight="1" x14ac:dyDescent="0.25">
      <c r="B99" s="2"/>
      <c r="O99" s="2"/>
    </row>
    <row r="100" spans="2:15" ht="131.25" customHeight="1" x14ac:dyDescent="0.25">
      <c r="B100" s="2"/>
      <c r="D100" s="338" t="s">
        <v>62</v>
      </c>
      <c r="E100" s="339"/>
      <c r="F100" s="340" t="s">
        <v>739</v>
      </c>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1</v>
      </c>
      <c r="K102" s="20"/>
      <c r="O102" s="2"/>
    </row>
    <row r="103" spans="2:15" ht="19.5" customHeight="1" x14ac:dyDescent="0.25">
      <c r="B103" s="2"/>
      <c r="D103" s="331"/>
      <c r="E103" s="332"/>
      <c r="F103" s="19" t="s">
        <v>66</v>
      </c>
      <c r="G103" s="4" t="s">
        <v>1787</v>
      </c>
      <c r="K103" s="21"/>
      <c r="O103" s="2"/>
    </row>
    <row r="104" spans="2:15" ht="39" customHeight="1" x14ac:dyDescent="0.25">
      <c r="B104" s="2"/>
      <c r="D104" s="331"/>
      <c r="E104" s="332"/>
      <c r="F104" s="19" t="s">
        <v>67</v>
      </c>
      <c r="G104" s="340" t="s">
        <v>1786</v>
      </c>
      <c r="H104" s="341"/>
      <c r="I104" s="341"/>
      <c r="J104" s="341"/>
      <c r="K104" s="341"/>
      <c r="L104" s="341"/>
      <c r="M104" s="342"/>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40" t="str">
        <f>+VLOOKUP(H10,tablero!$P$5:$R$201,3,FALSE)</f>
        <v>Subdirector(a) Adopciones</v>
      </c>
      <c r="H108" s="341"/>
      <c r="I108" s="341"/>
      <c r="J108" s="341"/>
      <c r="K108" s="341"/>
      <c r="L108" s="341"/>
      <c r="M108" s="342"/>
      <c r="O108" s="2"/>
    </row>
    <row r="109" spans="2:15" ht="17.25" customHeight="1" x14ac:dyDescent="0.25">
      <c r="B109" s="2"/>
      <c r="D109" s="331"/>
      <c r="E109" s="332"/>
      <c r="F109" s="19" t="s">
        <v>2042</v>
      </c>
      <c r="G109" s="340" t="str">
        <f>+IF(M23="Si","Coordinador(a) Planeación y Sistemas","")</f>
        <v>Coordinador(a) Planeación y Sistemas</v>
      </c>
      <c r="H109" s="341"/>
      <c r="I109" s="341"/>
      <c r="J109" s="341"/>
      <c r="K109" s="341"/>
      <c r="L109" s="341"/>
      <c r="M109" s="342"/>
      <c r="O109" s="2"/>
    </row>
    <row r="110" spans="2:15" ht="17.25" customHeight="1" x14ac:dyDescent="0.25">
      <c r="B110" s="2"/>
      <c r="D110" s="331"/>
      <c r="E110" s="332"/>
      <c r="F110" s="19" t="s">
        <v>2043</v>
      </c>
      <c r="G110" s="340" t="str">
        <f>+IF(M24="Si","Coordinador(a) Centro Zonal","")</f>
        <v/>
      </c>
      <c r="H110" s="341"/>
      <c r="I110" s="341"/>
      <c r="J110" s="341"/>
      <c r="K110" s="341"/>
      <c r="L110" s="341"/>
      <c r="M110" s="342"/>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198" priority="22">
      <formula>+IF($F$43="no",1,0)</formula>
    </cfRule>
  </conditionalFormatting>
  <conditionalFormatting sqref="F32:M33">
    <cfRule type="expression" dxfId="2197" priority="21">
      <formula>+IF($Q$30="NA",1,0)</formula>
    </cfRule>
  </conditionalFormatting>
  <conditionalFormatting sqref="F33:M33">
    <cfRule type="expression" dxfId="2196" priority="20">
      <formula>+IF($Q$33=0,1,0)</formula>
    </cfRule>
  </conditionalFormatting>
  <conditionalFormatting sqref="F47:M47">
    <cfRule type="expression" dxfId="2195" priority="19">
      <formula>+IF($Q$47=0,1,0)</formula>
    </cfRule>
  </conditionalFormatting>
  <conditionalFormatting sqref="F73:G73">
    <cfRule type="cellIs" dxfId="2194" priority="16" operator="equal">
      <formula>"optimo"</formula>
    </cfRule>
    <cfRule type="cellIs" dxfId="2193" priority="17" operator="equal">
      <formula>"critico"</formula>
    </cfRule>
  </conditionalFormatting>
  <conditionalFormatting sqref="H73:I73">
    <cfRule type="cellIs" dxfId="2192" priority="14" operator="equal">
      <formula>"Adecuado"</formula>
    </cfRule>
    <cfRule type="cellIs" dxfId="2191" priority="15" operator="equal">
      <formula>"en riesgo"</formula>
    </cfRule>
  </conditionalFormatting>
  <conditionalFormatting sqref="J73:K73">
    <cfRule type="cellIs" dxfId="2190" priority="12" operator="equal">
      <formula>"Adecuado"</formula>
    </cfRule>
    <cfRule type="cellIs" dxfId="2189" priority="13" operator="equal">
      <formula>"en riesgo"</formula>
    </cfRule>
  </conditionalFormatting>
  <conditionalFormatting sqref="L73:M73">
    <cfRule type="cellIs" dxfId="2188" priority="10" operator="equal">
      <formula>"optimo"</formula>
    </cfRule>
    <cfRule type="cellIs" dxfId="2187" priority="11" operator="equal">
      <formula>"critico"</formula>
    </cfRule>
  </conditionalFormatting>
  <conditionalFormatting sqref="F75:M86">
    <cfRule type="expression" dxfId="2186" priority="9">
      <formula>+IF($AK75=0,1)</formula>
    </cfRule>
  </conditionalFormatting>
  <conditionalFormatting sqref="F103:G104">
    <cfRule type="expression" dxfId="2185" priority="8">
      <formula>+IF($G$102="No",1,0)</formula>
    </cfRule>
  </conditionalFormatting>
  <conditionalFormatting sqref="F51">
    <cfRule type="expression" dxfId="2184" priority="7">
      <formula>+IF($F$43="no",1,0)</formula>
    </cfRule>
  </conditionalFormatting>
  <conditionalFormatting sqref="I51">
    <cfRule type="expression" dxfId="2183" priority="6">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5">
    <tabColor rgb="FF0070C0"/>
  </sheetPr>
  <dimension ref="B1:AV113"/>
  <sheetViews>
    <sheetView topLeftCell="A58" zoomScaleNormal="100" workbookViewId="0">
      <selection activeCell="A80" sqref="A80:XFD86"/>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243</v>
      </c>
      <c r="O10" s="2"/>
    </row>
    <row r="11" spans="2:24" ht="3.95" customHeight="1" x14ac:dyDescent="0.25">
      <c r="B11" s="2"/>
      <c r="D11" s="6"/>
      <c r="O11" s="2"/>
    </row>
    <row r="12" spans="2:24" ht="36" customHeight="1" x14ac:dyDescent="0.25">
      <c r="B12" s="2"/>
      <c r="D12" s="338" t="s">
        <v>5</v>
      </c>
      <c r="E12" s="339"/>
      <c r="F12" s="340" t="s">
        <v>244</v>
      </c>
      <c r="G12" s="341"/>
      <c r="H12" s="341"/>
      <c r="I12" s="341"/>
      <c r="J12" s="341"/>
      <c r="K12" s="341"/>
      <c r="L12" s="341"/>
      <c r="M12" s="342"/>
      <c r="O12" s="2"/>
      <c r="W12" s="3" t="str">
        <f>+F23</f>
        <v>Mensual</v>
      </c>
      <c r="X12" s="3" t="str">
        <f>+F71</f>
        <v>Enero</v>
      </c>
    </row>
    <row r="13" spans="2:24" ht="3.95" customHeight="1" x14ac:dyDescent="0.25">
      <c r="B13" s="2"/>
      <c r="O13" s="2"/>
    </row>
    <row r="14" spans="2:24" ht="38.25" customHeight="1" x14ac:dyDescent="0.25">
      <c r="B14" s="2"/>
      <c r="D14" s="338" t="s">
        <v>6</v>
      </c>
      <c r="E14" s="339"/>
      <c r="F14" s="340" t="s">
        <v>883</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17">
        <v>0.95</v>
      </c>
      <c r="G22" s="337" t="s">
        <v>9</v>
      </c>
      <c r="H22" s="337"/>
      <c r="I22" s="17">
        <v>1</v>
      </c>
      <c r="K22" s="337" t="s">
        <v>10</v>
      </c>
      <c r="L22" s="337"/>
      <c r="M22" s="9" t="s">
        <v>496</v>
      </c>
      <c r="O22" s="2"/>
    </row>
    <row r="23" spans="2:17" ht="19.5" customHeight="1" x14ac:dyDescent="0.25">
      <c r="B23" s="2"/>
      <c r="D23" s="337" t="s">
        <v>11</v>
      </c>
      <c r="E23" s="337"/>
      <c r="F23" s="4" t="s">
        <v>84</v>
      </c>
      <c r="G23" s="337" t="s">
        <v>12</v>
      </c>
      <c r="H23" s="337"/>
      <c r="I23" s="4" t="s">
        <v>497</v>
      </c>
      <c r="K23" s="337" t="s">
        <v>13</v>
      </c>
      <c r="L23" s="337"/>
      <c r="M23" s="9" t="s">
        <v>496</v>
      </c>
      <c r="O23" s="2"/>
    </row>
    <row r="24" spans="2:17" ht="20.100000000000001" customHeight="1" x14ac:dyDescent="0.25">
      <c r="B24" s="2"/>
      <c r="D24" s="337" t="s">
        <v>14</v>
      </c>
      <c r="E24" s="337"/>
      <c r="F24" s="4" t="s">
        <v>498</v>
      </c>
      <c r="G24" s="337" t="s">
        <v>15</v>
      </c>
      <c r="H24" s="337"/>
      <c r="I24" s="4" t="s">
        <v>533</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716</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proteccion</v>
      </c>
    </row>
    <row r="31" spans="2:17" ht="24" customHeight="1" x14ac:dyDescent="0.25">
      <c r="B31" s="2"/>
      <c r="D31" s="347"/>
      <c r="E31" s="348"/>
      <c r="F31" s="4" t="s">
        <v>202</v>
      </c>
      <c r="G31" s="340" t="s">
        <v>203</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785</v>
      </c>
      <c r="G33" s="340" t="s">
        <v>737</v>
      </c>
      <c r="H33" s="341"/>
      <c r="I33" s="341"/>
      <c r="J33" s="341"/>
      <c r="K33" s="341"/>
      <c r="L33" s="341"/>
      <c r="M33" s="342"/>
      <c r="O33" s="2"/>
      <c r="Q33" s="3">
        <f>+IFERROR(IF(VLOOKUP(G33,base!$A$26:$C$40,3,FALSE)=F31,1,0),"")</f>
        <v>1</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1715</v>
      </c>
      <c r="G35" s="340" t="s">
        <v>1591</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501</v>
      </c>
      <c r="G45" s="340" t="s">
        <v>515</v>
      </c>
      <c r="H45" s="341"/>
      <c r="I45" s="341"/>
      <c r="J45" s="341"/>
      <c r="K45" s="341"/>
      <c r="L45" s="341"/>
      <c r="M45" s="342"/>
      <c r="O45" s="2"/>
      <c r="Q45" s="3" t="str">
        <f>+IFERROR(VLOOKUP(G45,base!$A$41:$C$45,3,FALSE),"")</f>
        <v>misional</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503</v>
      </c>
      <c r="G47" s="340" t="s">
        <v>504</v>
      </c>
      <c r="H47" s="341"/>
      <c r="I47" s="341"/>
      <c r="J47" s="341"/>
      <c r="K47" s="341"/>
      <c r="L47" s="341"/>
      <c r="M47" s="342"/>
      <c r="O47" s="2"/>
      <c r="Q47" s="3">
        <f>+IF(VLOOKUP(G47,base!$A$46:$C$66,3,FALSE)=F45,1,0)</f>
        <v>1</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786</v>
      </c>
      <c r="G49" s="340" t="s">
        <v>717</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496</v>
      </c>
      <c r="G51" s="337" t="s">
        <v>32</v>
      </c>
      <c r="H51" s="337"/>
      <c r="I51" s="17">
        <v>1</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46.5" customHeight="1" x14ac:dyDescent="0.25">
      <c r="B59" s="2"/>
      <c r="D59" s="337" t="s">
        <v>34</v>
      </c>
      <c r="E59" s="337"/>
      <c r="F59" s="344" t="s">
        <v>884</v>
      </c>
      <c r="G59" s="344"/>
      <c r="H59" s="344"/>
      <c r="I59" s="344"/>
      <c r="J59" s="344"/>
      <c r="K59" s="344"/>
      <c r="L59" s="344"/>
      <c r="M59" s="344"/>
      <c r="O59" s="2"/>
    </row>
    <row r="60" spans="2:15" ht="32.25" customHeight="1" x14ac:dyDescent="0.25">
      <c r="B60" s="2"/>
      <c r="D60" s="359" t="s">
        <v>35</v>
      </c>
      <c r="E60" s="359"/>
      <c r="F60" s="344" t="s">
        <v>885</v>
      </c>
      <c r="G60" s="344"/>
      <c r="H60" s="344"/>
      <c r="I60" s="344"/>
      <c r="J60" s="344"/>
      <c r="K60" s="344"/>
      <c r="L60" s="344"/>
      <c r="M60" s="344"/>
      <c r="O60" s="2"/>
    </row>
    <row r="61" spans="2:15" ht="32.25" customHeight="1" x14ac:dyDescent="0.25">
      <c r="B61" s="2"/>
      <c r="D61" s="359" t="s">
        <v>36</v>
      </c>
      <c r="E61" s="359"/>
      <c r="F61" s="344" t="s">
        <v>886</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43" t="s">
        <v>39</v>
      </c>
      <c r="E71" s="343"/>
      <c r="F71" s="4" t="s">
        <v>46</v>
      </c>
      <c r="G71" s="3">
        <v>1</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v>0.84899999999999998</v>
      </c>
      <c r="H75" s="16">
        <v>0.85</v>
      </c>
      <c r="I75" s="16">
        <v>0.89900000000000002</v>
      </c>
      <c r="J75" s="16">
        <v>0.9</v>
      </c>
      <c r="K75" s="16">
        <v>0.999</v>
      </c>
      <c r="L75" s="16" t="s">
        <v>500</v>
      </c>
      <c r="M75" s="16">
        <v>1</v>
      </c>
      <c r="O75" s="2"/>
      <c r="AE75" s="3" t="s">
        <v>46</v>
      </c>
      <c r="AF75" s="3">
        <v>1</v>
      </c>
      <c r="AG75" s="3">
        <f>+IF(AF75&gt;=$G$71,1,0)</f>
        <v>1</v>
      </c>
      <c r="AH75" s="3">
        <f>+IF(AG75=0,0,IF(AG75=1,(SUM($AG$75:AG75)-1),1))</f>
        <v>0</v>
      </c>
      <c r="AI75" s="3">
        <f>+IF(AH75=0,0,IF(MOD(AH75,$U$69)=0,1,0))</f>
        <v>0</v>
      </c>
      <c r="AJ75" s="3">
        <f>+IF(AE75=$F$71,1,0)</f>
        <v>1</v>
      </c>
      <c r="AK75" s="3">
        <f>+MAX(AI75:AJ75)</f>
        <v>1</v>
      </c>
    </row>
    <row r="76" spans="2:37" x14ac:dyDescent="0.25">
      <c r="B76" s="2"/>
      <c r="D76" s="360" t="s">
        <v>40</v>
      </c>
      <c r="E76" s="360"/>
      <c r="F76" s="16" t="s">
        <v>500</v>
      </c>
      <c r="G76" s="16">
        <v>0.84899999999999998</v>
      </c>
      <c r="H76" s="16">
        <v>0.85</v>
      </c>
      <c r="I76" s="16">
        <v>0.89900000000000002</v>
      </c>
      <c r="J76" s="16">
        <v>0.9</v>
      </c>
      <c r="K76" s="16">
        <v>0.999</v>
      </c>
      <c r="L76" s="16" t="s">
        <v>500</v>
      </c>
      <c r="M76" s="16">
        <v>1</v>
      </c>
      <c r="O76" s="2"/>
      <c r="AE76" s="3" t="s">
        <v>40</v>
      </c>
      <c r="AF76" s="3">
        <v>2</v>
      </c>
      <c r="AG76" s="3">
        <f t="shared" ref="AG76:AG86" si="0">+IF(AF76&gt;=$G$71,1,0)</f>
        <v>1</v>
      </c>
      <c r="AH76" s="3">
        <f>+IF(AG76=0,0,IF(AG76=1,(SUM($AG$75:AG76)-1),1))</f>
        <v>1</v>
      </c>
      <c r="AI76" s="3">
        <f t="shared" ref="AI76:AI86" si="1">+IF(AH76=0,0,IF(MOD(AH76,$U$69)=0,1,0))</f>
        <v>1</v>
      </c>
      <c r="AJ76" s="3">
        <f t="shared" ref="AJ76:AJ86" si="2">+IF(AE76=$F$71,1,0)</f>
        <v>0</v>
      </c>
      <c r="AK76" s="3">
        <f t="shared" ref="AK76:AK86" si="3">+MAX(AI76:AJ76)</f>
        <v>1</v>
      </c>
    </row>
    <row r="77" spans="2:37" x14ac:dyDescent="0.25">
      <c r="B77" s="2"/>
      <c r="D77" s="360" t="s">
        <v>47</v>
      </c>
      <c r="E77" s="360"/>
      <c r="F77" s="16" t="s">
        <v>500</v>
      </c>
      <c r="G77" s="16">
        <v>0.84899999999999998</v>
      </c>
      <c r="H77" s="16">
        <v>0.85</v>
      </c>
      <c r="I77" s="16">
        <v>0.89900000000000002</v>
      </c>
      <c r="J77" s="16">
        <v>0.9</v>
      </c>
      <c r="K77" s="16">
        <v>0.999</v>
      </c>
      <c r="L77" s="16" t="s">
        <v>500</v>
      </c>
      <c r="M77" s="16">
        <v>1</v>
      </c>
      <c r="O77" s="2"/>
      <c r="AE77" s="3" t="s">
        <v>47</v>
      </c>
      <c r="AF77" s="3">
        <v>3</v>
      </c>
      <c r="AG77" s="3">
        <f t="shared" si="0"/>
        <v>1</v>
      </c>
      <c r="AH77" s="3">
        <f>+IF(AG77=0,0,IF(AG77=1,(SUM($AG$75:AG77)-1),1))</f>
        <v>2</v>
      </c>
      <c r="AI77" s="3">
        <f t="shared" si="1"/>
        <v>1</v>
      </c>
      <c r="AJ77" s="3">
        <f t="shared" si="2"/>
        <v>0</v>
      </c>
      <c r="AK77" s="3">
        <f t="shared" si="3"/>
        <v>1</v>
      </c>
    </row>
    <row r="78" spans="2:37" x14ac:dyDescent="0.25">
      <c r="B78" s="2"/>
      <c r="D78" s="360" t="s">
        <v>48</v>
      </c>
      <c r="E78" s="360"/>
      <c r="F78" s="16" t="s">
        <v>500</v>
      </c>
      <c r="G78" s="16">
        <v>0.84899999999999998</v>
      </c>
      <c r="H78" s="16">
        <v>0.85</v>
      </c>
      <c r="I78" s="16">
        <v>0.89900000000000002</v>
      </c>
      <c r="J78" s="16">
        <v>0.9</v>
      </c>
      <c r="K78" s="16">
        <v>0.999</v>
      </c>
      <c r="L78" s="16" t="s">
        <v>500</v>
      </c>
      <c r="M78" s="16">
        <v>1</v>
      </c>
      <c r="O78" s="2"/>
      <c r="AE78" s="3" t="s">
        <v>48</v>
      </c>
      <c r="AF78" s="3">
        <v>4</v>
      </c>
      <c r="AG78" s="3">
        <f t="shared" si="0"/>
        <v>1</v>
      </c>
      <c r="AH78" s="3">
        <f>+IF(AG78=0,0,IF(AG78=1,(SUM($AG$75:AG78)-1),1))</f>
        <v>3</v>
      </c>
      <c r="AI78" s="3">
        <f t="shared" si="1"/>
        <v>1</v>
      </c>
      <c r="AJ78" s="3">
        <f t="shared" si="2"/>
        <v>0</v>
      </c>
      <c r="AK78" s="3">
        <f t="shared" si="3"/>
        <v>1</v>
      </c>
    </row>
    <row r="79" spans="2:37" x14ac:dyDescent="0.25">
      <c r="B79" s="2"/>
      <c r="D79" s="360" t="s">
        <v>49</v>
      </c>
      <c r="E79" s="360"/>
      <c r="F79" s="16" t="s">
        <v>500</v>
      </c>
      <c r="G79" s="16">
        <v>0.84899999999999998</v>
      </c>
      <c r="H79" s="16">
        <v>0.85</v>
      </c>
      <c r="I79" s="16">
        <v>0.89900000000000002</v>
      </c>
      <c r="J79" s="16">
        <v>0.9</v>
      </c>
      <c r="K79" s="16">
        <v>0.999</v>
      </c>
      <c r="L79" s="16" t="s">
        <v>500</v>
      </c>
      <c r="M79" s="16">
        <v>1</v>
      </c>
      <c r="O79" s="2"/>
      <c r="AE79" s="3" t="s">
        <v>49</v>
      </c>
      <c r="AF79" s="3">
        <v>5</v>
      </c>
      <c r="AG79" s="3">
        <f t="shared" si="0"/>
        <v>1</v>
      </c>
      <c r="AH79" s="3">
        <f>+IF(AG79=0,0,IF(AG79=1,(SUM($AG$75:AG79)-1),1))</f>
        <v>4</v>
      </c>
      <c r="AI79" s="3">
        <f t="shared" si="1"/>
        <v>1</v>
      </c>
      <c r="AJ79" s="3">
        <f t="shared" si="2"/>
        <v>0</v>
      </c>
      <c r="AK79" s="3">
        <f t="shared" si="3"/>
        <v>1</v>
      </c>
    </row>
    <row r="80" spans="2:37" x14ac:dyDescent="0.25">
      <c r="B80" s="2"/>
      <c r="D80" s="360" t="s">
        <v>50</v>
      </c>
      <c r="E80" s="360"/>
      <c r="F80" s="16" t="s">
        <v>500</v>
      </c>
      <c r="G80" s="16">
        <v>0.84899999999999998</v>
      </c>
      <c r="H80" s="16">
        <v>0.85</v>
      </c>
      <c r="I80" s="16">
        <v>0.89900000000000002</v>
      </c>
      <c r="J80" s="16">
        <v>0.9</v>
      </c>
      <c r="K80" s="16">
        <v>0.999</v>
      </c>
      <c r="L80" s="16" t="s">
        <v>500</v>
      </c>
      <c r="M80" s="16">
        <v>1</v>
      </c>
      <c r="O80" s="2"/>
      <c r="AE80" s="3" t="s">
        <v>50</v>
      </c>
      <c r="AF80" s="3">
        <v>6</v>
      </c>
      <c r="AG80" s="3">
        <f t="shared" si="0"/>
        <v>1</v>
      </c>
      <c r="AH80" s="3">
        <f>+IF(AG80=0,0,IF(AG80=1,(SUM($AG$75:AG80)-1),1))</f>
        <v>5</v>
      </c>
      <c r="AI80" s="3">
        <f t="shared" si="1"/>
        <v>1</v>
      </c>
      <c r="AJ80" s="3">
        <f t="shared" si="2"/>
        <v>0</v>
      </c>
      <c r="AK80" s="3">
        <f t="shared" si="3"/>
        <v>1</v>
      </c>
    </row>
    <row r="81" spans="2:37" x14ac:dyDescent="0.25">
      <c r="B81" s="2"/>
      <c r="D81" s="360" t="s">
        <v>53</v>
      </c>
      <c r="E81" s="360"/>
      <c r="F81" s="16" t="s">
        <v>500</v>
      </c>
      <c r="G81" s="16">
        <v>0.84899999999999998</v>
      </c>
      <c r="H81" s="16">
        <v>0.85</v>
      </c>
      <c r="I81" s="16">
        <v>0.89900000000000002</v>
      </c>
      <c r="J81" s="16">
        <v>0.9</v>
      </c>
      <c r="K81" s="16">
        <v>0.999</v>
      </c>
      <c r="L81" s="16" t="s">
        <v>500</v>
      </c>
      <c r="M81" s="16">
        <v>1</v>
      </c>
      <c r="O81" s="2"/>
      <c r="AE81" s="3" t="s">
        <v>53</v>
      </c>
      <c r="AF81" s="3">
        <v>7</v>
      </c>
      <c r="AG81" s="3">
        <f t="shared" si="0"/>
        <v>1</v>
      </c>
      <c r="AH81" s="3">
        <f>+IF(AG81=0,0,IF(AG81=1,(SUM($AG$75:AG81)-1),1))</f>
        <v>6</v>
      </c>
      <c r="AI81" s="3">
        <f t="shared" si="1"/>
        <v>1</v>
      </c>
      <c r="AJ81" s="3">
        <f t="shared" si="2"/>
        <v>0</v>
      </c>
      <c r="AK81" s="3">
        <f t="shared" si="3"/>
        <v>1</v>
      </c>
    </row>
    <row r="82" spans="2:37" x14ac:dyDescent="0.25">
      <c r="B82" s="2"/>
      <c r="D82" s="360" t="s">
        <v>54</v>
      </c>
      <c r="E82" s="360"/>
      <c r="F82" s="16" t="s">
        <v>500</v>
      </c>
      <c r="G82" s="16">
        <v>0.84899999999999998</v>
      </c>
      <c r="H82" s="16">
        <v>0.85</v>
      </c>
      <c r="I82" s="16">
        <v>0.89900000000000002</v>
      </c>
      <c r="J82" s="16">
        <v>0.9</v>
      </c>
      <c r="K82" s="16">
        <v>0.999</v>
      </c>
      <c r="L82" s="16" t="s">
        <v>500</v>
      </c>
      <c r="M82" s="16">
        <v>1</v>
      </c>
      <c r="O82" s="2"/>
      <c r="AE82" s="3" t="s">
        <v>54</v>
      </c>
      <c r="AF82" s="3">
        <v>8</v>
      </c>
      <c r="AG82" s="3">
        <f t="shared" si="0"/>
        <v>1</v>
      </c>
      <c r="AH82" s="3">
        <f>+IF(AG82=0,0,IF(AG82=1,(SUM($AG$75:AG82)-1),1))</f>
        <v>7</v>
      </c>
      <c r="AI82" s="3">
        <f t="shared" si="1"/>
        <v>1</v>
      </c>
      <c r="AJ82" s="3">
        <f t="shared" si="2"/>
        <v>0</v>
      </c>
      <c r="AK82" s="3">
        <f t="shared" si="3"/>
        <v>1</v>
      </c>
    </row>
    <row r="83" spans="2:37" x14ac:dyDescent="0.25">
      <c r="B83" s="2"/>
      <c r="D83" s="360" t="s">
        <v>55</v>
      </c>
      <c r="E83" s="360"/>
      <c r="F83" s="16" t="s">
        <v>500</v>
      </c>
      <c r="G83" s="16">
        <v>0.84899999999999998</v>
      </c>
      <c r="H83" s="16">
        <v>0.85</v>
      </c>
      <c r="I83" s="16">
        <v>0.89900000000000002</v>
      </c>
      <c r="J83" s="16">
        <v>0.9</v>
      </c>
      <c r="K83" s="16">
        <v>0.999</v>
      </c>
      <c r="L83" s="16" t="s">
        <v>500</v>
      </c>
      <c r="M83" s="16">
        <v>1</v>
      </c>
      <c r="O83" s="2"/>
      <c r="AE83" s="3" t="s">
        <v>55</v>
      </c>
      <c r="AF83" s="3">
        <v>9</v>
      </c>
      <c r="AG83" s="3">
        <f t="shared" si="0"/>
        <v>1</v>
      </c>
      <c r="AH83" s="3">
        <f>+IF(AG83=0,0,IF(AG83=1,(SUM($AG$75:AG83)-1),1))</f>
        <v>8</v>
      </c>
      <c r="AI83" s="3">
        <f t="shared" si="1"/>
        <v>1</v>
      </c>
      <c r="AJ83" s="3">
        <f t="shared" si="2"/>
        <v>0</v>
      </c>
      <c r="AK83" s="3">
        <f t="shared" si="3"/>
        <v>1</v>
      </c>
    </row>
    <row r="84" spans="2:37" x14ac:dyDescent="0.25">
      <c r="B84" s="2"/>
      <c r="D84" s="360" t="s">
        <v>56</v>
      </c>
      <c r="E84" s="360"/>
      <c r="F84" s="16" t="s">
        <v>500</v>
      </c>
      <c r="G84" s="16">
        <v>0.84899999999999998</v>
      </c>
      <c r="H84" s="16">
        <v>0.85</v>
      </c>
      <c r="I84" s="16">
        <v>0.89900000000000002</v>
      </c>
      <c r="J84" s="16">
        <v>0.9</v>
      </c>
      <c r="K84" s="16">
        <v>0.999</v>
      </c>
      <c r="L84" s="16" t="s">
        <v>500</v>
      </c>
      <c r="M84" s="16">
        <v>1</v>
      </c>
      <c r="O84" s="2"/>
      <c r="AE84" s="3" t="s">
        <v>56</v>
      </c>
      <c r="AF84" s="3">
        <v>10</v>
      </c>
      <c r="AG84" s="3">
        <f t="shared" si="0"/>
        <v>1</v>
      </c>
      <c r="AH84" s="3">
        <f>+IF(AG84=0,0,IF(AG84=1,(SUM($AG$75:AG84)-1),1))</f>
        <v>9</v>
      </c>
      <c r="AI84" s="3">
        <f t="shared" si="1"/>
        <v>1</v>
      </c>
      <c r="AJ84" s="3">
        <f t="shared" si="2"/>
        <v>0</v>
      </c>
      <c r="AK84" s="3">
        <f t="shared" si="3"/>
        <v>1</v>
      </c>
    </row>
    <row r="85" spans="2:37" x14ac:dyDescent="0.25">
      <c r="B85" s="2"/>
      <c r="D85" s="360" t="s">
        <v>57</v>
      </c>
      <c r="E85" s="360"/>
      <c r="F85" s="16" t="s">
        <v>500</v>
      </c>
      <c r="G85" s="16">
        <v>0.84899999999999998</v>
      </c>
      <c r="H85" s="16">
        <v>0.85</v>
      </c>
      <c r="I85" s="16">
        <v>0.89900000000000002</v>
      </c>
      <c r="J85" s="16">
        <v>0.9</v>
      </c>
      <c r="K85" s="16">
        <v>0.999</v>
      </c>
      <c r="L85" s="16" t="s">
        <v>500</v>
      </c>
      <c r="M85" s="16">
        <v>1</v>
      </c>
      <c r="O85" s="2"/>
      <c r="AE85" s="3" t="s">
        <v>57</v>
      </c>
      <c r="AF85" s="3">
        <v>11</v>
      </c>
      <c r="AG85" s="3">
        <f t="shared" si="0"/>
        <v>1</v>
      </c>
      <c r="AH85" s="3">
        <f>+IF(AG85=0,0,IF(AG85=1,(SUM($AG$75:AG85)-1),1))</f>
        <v>10</v>
      </c>
      <c r="AI85" s="3">
        <f t="shared" si="1"/>
        <v>1</v>
      </c>
      <c r="AJ85" s="3">
        <f t="shared" si="2"/>
        <v>0</v>
      </c>
      <c r="AK85" s="3">
        <f t="shared" si="3"/>
        <v>1</v>
      </c>
    </row>
    <row r="86" spans="2:37" x14ac:dyDescent="0.25">
      <c r="B86" s="2"/>
      <c r="D86" s="360" t="s">
        <v>58</v>
      </c>
      <c r="E86" s="360"/>
      <c r="F86" s="16" t="s">
        <v>500</v>
      </c>
      <c r="G86" s="16">
        <v>0.84899999999999998</v>
      </c>
      <c r="H86" s="16">
        <v>0.85</v>
      </c>
      <c r="I86" s="16">
        <v>0.89900000000000002</v>
      </c>
      <c r="J86" s="16">
        <v>0.9</v>
      </c>
      <c r="K86" s="16">
        <v>0.999</v>
      </c>
      <c r="L86" s="16" t="s">
        <v>500</v>
      </c>
      <c r="M86" s="16">
        <v>1</v>
      </c>
      <c r="O86" s="2"/>
      <c r="AE86" s="3" t="s">
        <v>58</v>
      </c>
      <c r="AF86" s="65">
        <v>12</v>
      </c>
      <c r="AG86" s="3">
        <f t="shared" si="0"/>
        <v>1</v>
      </c>
      <c r="AH86" s="3">
        <f>+IF(AG86=0,0,IF(AG86=1,(SUM($AG$75:AG86)-1),1))</f>
        <v>11</v>
      </c>
      <c r="AI86" s="3">
        <f t="shared" si="1"/>
        <v>1</v>
      </c>
      <c r="AJ86" s="3">
        <f t="shared" si="2"/>
        <v>0</v>
      </c>
      <c r="AK86" s="3">
        <f t="shared" si="3"/>
        <v>1</v>
      </c>
    </row>
    <row r="87" spans="2:37" ht="3.75" customHeight="1" x14ac:dyDescent="0.25">
      <c r="B87" s="2"/>
      <c r="O87" s="2"/>
    </row>
    <row r="88" spans="2:37" ht="199.5" customHeight="1" x14ac:dyDescent="0.25">
      <c r="B88" s="2"/>
      <c r="D88" s="338" t="s">
        <v>59</v>
      </c>
      <c r="E88" s="339"/>
      <c r="F88" s="420" t="s">
        <v>870</v>
      </c>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2" customHeight="1" x14ac:dyDescent="0.25">
      <c r="B97" s="2"/>
      <c r="D97" s="359" t="s">
        <v>35</v>
      </c>
      <c r="E97" s="359"/>
      <c r="F97" s="344" t="s">
        <v>869</v>
      </c>
      <c r="G97" s="344"/>
      <c r="H97" s="344"/>
      <c r="I97" s="344"/>
      <c r="J97" s="344"/>
      <c r="K97" s="344"/>
      <c r="L97" s="344"/>
      <c r="M97" s="344"/>
      <c r="O97" s="2"/>
    </row>
    <row r="98" spans="2:15" ht="42" customHeight="1" x14ac:dyDescent="0.25">
      <c r="B98" s="2"/>
      <c r="D98" s="359" t="s">
        <v>36</v>
      </c>
      <c r="E98" s="359"/>
      <c r="F98" s="344" t="s">
        <v>869</v>
      </c>
      <c r="G98" s="344"/>
      <c r="H98" s="344"/>
      <c r="I98" s="344"/>
      <c r="J98" s="344"/>
      <c r="K98" s="344"/>
      <c r="L98" s="344"/>
      <c r="M98" s="344"/>
      <c r="O98" s="2"/>
    </row>
    <row r="99" spans="2:15" ht="3.95" customHeight="1" x14ac:dyDescent="0.25">
      <c r="B99" s="2"/>
      <c r="O99" s="2"/>
    </row>
    <row r="100" spans="2:15" ht="141.75" customHeight="1" x14ac:dyDescent="0.25">
      <c r="B100" s="2"/>
      <c r="D100" s="338" t="s">
        <v>62</v>
      </c>
      <c r="E100" s="339"/>
      <c r="F100" s="340" t="s">
        <v>740</v>
      </c>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1</v>
      </c>
      <c r="K102" s="20"/>
      <c r="O102" s="2"/>
    </row>
    <row r="103" spans="2:15" ht="19.5" customHeight="1" x14ac:dyDescent="0.25">
      <c r="B103" s="2"/>
      <c r="D103" s="331"/>
      <c r="E103" s="332"/>
      <c r="F103" s="19" t="s">
        <v>66</v>
      </c>
      <c r="G103" s="4" t="s">
        <v>1788</v>
      </c>
      <c r="K103" s="21"/>
      <c r="O103" s="2"/>
    </row>
    <row r="104" spans="2:15" ht="27.75" customHeight="1" x14ac:dyDescent="0.25">
      <c r="B104" s="2"/>
      <c r="D104" s="331"/>
      <c r="E104" s="332"/>
      <c r="F104" s="19" t="s">
        <v>67</v>
      </c>
      <c r="G104" s="340" t="s">
        <v>244</v>
      </c>
      <c r="H104" s="341"/>
      <c r="I104" s="341"/>
      <c r="J104" s="341"/>
      <c r="K104" s="341"/>
      <c r="L104" s="341"/>
      <c r="M104" s="342"/>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40" t="str">
        <f>+VLOOKUP(H10,tablero!$P$5:$R$201,3,FALSE)</f>
        <v>Subdirector(a) Adopciones</v>
      </c>
      <c r="H108" s="341"/>
      <c r="I108" s="341"/>
      <c r="J108" s="341"/>
      <c r="K108" s="341"/>
      <c r="L108" s="341"/>
      <c r="M108" s="342"/>
      <c r="O108" s="2"/>
    </row>
    <row r="109" spans="2:15" ht="17.25" customHeight="1" x14ac:dyDescent="0.25">
      <c r="B109" s="2"/>
      <c r="D109" s="331"/>
      <c r="E109" s="332"/>
      <c r="F109" s="19" t="s">
        <v>2042</v>
      </c>
      <c r="G109" s="340" t="str">
        <f>+IF(M23="Si","Coordinador(a) Planeación y Sistemas","")</f>
        <v>Coordinador(a) Planeación y Sistemas</v>
      </c>
      <c r="H109" s="341"/>
      <c r="I109" s="341"/>
      <c r="J109" s="341"/>
      <c r="K109" s="341"/>
      <c r="L109" s="341"/>
      <c r="M109" s="342"/>
      <c r="O109" s="2"/>
    </row>
    <row r="110" spans="2:15" ht="17.25" customHeight="1" x14ac:dyDescent="0.25">
      <c r="B110" s="2"/>
      <c r="D110" s="331"/>
      <c r="E110" s="332"/>
      <c r="F110" s="19" t="s">
        <v>2043</v>
      </c>
      <c r="G110" s="340" t="str">
        <f>+IF(M24="Si","Coordinador(a) Centro Zonal","")</f>
        <v/>
      </c>
      <c r="H110" s="341"/>
      <c r="I110" s="341"/>
      <c r="J110" s="341"/>
      <c r="K110" s="341"/>
      <c r="L110" s="341"/>
      <c r="M110" s="342"/>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182" priority="22">
      <formula>+IF($F$43="no",1,0)</formula>
    </cfRule>
  </conditionalFormatting>
  <conditionalFormatting sqref="F32:M33">
    <cfRule type="expression" dxfId="2181" priority="21">
      <formula>+IF($Q$30="NA",1,0)</formula>
    </cfRule>
  </conditionalFormatting>
  <conditionalFormatting sqref="F33:M33">
    <cfRule type="expression" dxfId="2180" priority="20">
      <formula>+IF($Q$33=0,1,0)</formula>
    </cfRule>
  </conditionalFormatting>
  <conditionalFormatting sqref="F47:M47">
    <cfRule type="expression" dxfId="2179" priority="19">
      <formula>+IF($Q$47=0,1,0)</formula>
    </cfRule>
  </conditionalFormatting>
  <conditionalFormatting sqref="F73:G73">
    <cfRule type="cellIs" dxfId="2178" priority="16" operator="equal">
      <formula>"optimo"</formula>
    </cfRule>
    <cfRule type="cellIs" dxfId="2177" priority="17" operator="equal">
      <formula>"critico"</formula>
    </cfRule>
  </conditionalFormatting>
  <conditionalFormatting sqref="H73:I73">
    <cfRule type="cellIs" dxfId="2176" priority="14" operator="equal">
      <formula>"Adecuado"</formula>
    </cfRule>
    <cfRule type="cellIs" dxfId="2175" priority="15" operator="equal">
      <formula>"en riesgo"</formula>
    </cfRule>
  </conditionalFormatting>
  <conditionalFormatting sqref="J73:K73">
    <cfRule type="cellIs" dxfId="2174" priority="12" operator="equal">
      <formula>"Adecuado"</formula>
    </cfRule>
    <cfRule type="cellIs" dxfId="2173" priority="13" operator="equal">
      <formula>"en riesgo"</formula>
    </cfRule>
  </conditionalFormatting>
  <conditionalFormatting sqref="L73:M73">
    <cfRule type="cellIs" dxfId="2172" priority="10" operator="equal">
      <formula>"optimo"</formula>
    </cfRule>
    <cfRule type="cellIs" dxfId="2171" priority="11" operator="equal">
      <formula>"critico"</formula>
    </cfRule>
  </conditionalFormatting>
  <conditionalFormatting sqref="F75:M86">
    <cfRule type="expression" dxfId="2170" priority="9">
      <formula>+IF($AK75=0,1)</formula>
    </cfRule>
  </conditionalFormatting>
  <conditionalFormatting sqref="F103:G104">
    <cfRule type="expression" dxfId="2169" priority="8">
      <formula>+IF($G$102="No",1,0)</formula>
    </cfRule>
  </conditionalFormatting>
  <conditionalFormatting sqref="F51">
    <cfRule type="expression" dxfId="2168" priority="7">
      <formula>+IF($F$43="no",1,0)</formula>
    </cfRule>
  </conditionalFormatting>
  <conditionalFormatting sqref="I51">
    <cfRule type="expression" dxfId="2167" priority="6">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6">
    <tabColor rgb="FF0070C0"/>
  </sheetPr>
  <dimension ref="B1:AV113"/>
  <sheetViews>
    <sheetView topLeftCell="A64" zoomScaleNormal="100" workbookViewId="0">
      <selection activeCell="J80" sqref="J80:K8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245</v>
      </c>
      <c r="O10" s="2"/>
    </row>
    <row r="11" spans="2:24" ht="3.95" customHeight="1" x14ac:dyDescent="0.25">
      <c r="B11" s="2"/>
      <c r="D11" s="6"/>
      <c r="O11" s="2"/>
    </row>
    <row r="12" spans="2:24" ht="36" customHeight="1" x14ac:dyDescent="0.25">
      <c r="B12" s="2"/>
      <c r="D12" s="338" t="s">
        <v>5</v>
      </c>
      <c r="E12" s="339"/>
      <c r="F12" s="340" t="s">
        <v>246</v>
      </c>
      <c r="G12" s="341"/>
      <c r="H12" s="341"/>
      <c r="I12" s="341"/>
      <c r="J12" s="341"/>
      <c r="K12" s="341"/>
      <c r="L12" s="341"/>
      <c r="M12" s="342"/>
      <c r="O12" s="2"/>
      <c r="W12" s="3" t="str">
        <f>+F23</f>
        <v>Semestral</v>
      </c>
      <c r="X12" s="3" t="str">
        <f>+F71</f>
        <v>Junio</v>
      </c>
    </row>
    <row r="13" spans="2:24" ht="3.95" customHeight="1" x14ac:dyDescent="0.25">
      <c r="B13" s="2"/>
      <c r="O13" s="2"/>
    </row>
    <row r="14" spans="2:24" ht="38.25" customHeight="1" x14ac:dyDescent="0.25">
      <c r="B14" s="2"/>
      <c r="D14" s="338" t="s">
        <v>6</v>
      </c>
      <c r="E14" s="339"/>
      <c r="F14" s="340" t="s">
        <v>879</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17" t="s">
        <v>512</v>
      </c>
      <c r="G22" s="337" t="s">
        <v>9</v>
      </c>
      <c r="H22" s="337"/>
      <c r="I22" s="17">
        <v>0.1</v>
      </c>
      <c r="K22" s="337" t="s">
        <v>10</v>
      </c>
      <c r="L22" s="337"/>
      <c r="M22" s="9" t="s">
        <v>496</v>
      </c>
      <c r="O22" s="2"/>
    </row>
    <row r="23" spans="2:17" ht="19.5" customHeight="1" x14ac:dyDescent="0.25">
      <c r="B23" s="2"/>
      <c r="D23" s="337" t="s">
        <v>11</v>
      </c>
      <c r="E23" s="337"/>
      <c r="F23" s="4" t="s">
        <v>104</v>
      </c>
      <c r="G23" s="337" t="s">
        <v>12</v>
      </c>
      <c r="H23" s="337"/>
      <c r="I23" s="4" t="s">
        <v>497</v>
      </c>
      <c r="K23" s="337" t="s">
        <v>13</v>
      </c>
      <c r="L23" s="337"/>
      <c r="M23" s="9" t="s">
        <v>496</v>
      </c>
      <c r="O23" s="2"/>
    </row>
    <row r="24" spans="2:17" ht="20.100000000000001" customHeight="1" x14ac:dyDescent="0.25">
      <c r="B24" s="2"/>
      <c r="D24" s="337" t="s">
        <v>14</v>
      </c>
      <c r="E24" s="337"/>
      <c r="F24" s="4" t="s">
        <v>666</v>
      </c>
      <c r="G24" s="337" t="s">
        <v>15</v>
      </c>
      <c r="H24" s="337"/>
      <c r="I24" s="4" t="s">
        <v>103</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716</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proteccion</v>
      </c>
    </row>
    <row r="31" spans="2:17" ht="24" customHeight="1" x14ac:dyDescent="0.25">
      <c r="B31" s="2"/>
      <c r="D31" s="347"/>
      <c r="E31" s="348"/>
      <c r="F31" s="4" t="s">
        <v>202</v>
      </c>
      <c r="G31" s="340" t="s">
        <v>203</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785</v>
      </c>
      <c r="G33" s="340" t="s">
        <v>737</v>
      </c>
      <c r="H33" s="341"/>
      <c r="I33" s="341"/>
      <c r="J33" s="341"/>
      <c r="K33" s="341"/>
      <c r="L33" s="341"/>
      <c r="M33" s="342"/>
      <c r="O33" s="2"/>
      <c r="Q33" s="3">
        <f>+IFERROR(IF(VLOOKUP(G33,base!$A$26:$C$40,3,FALSE)=F31,1,0),"")</f>
        <v>1</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1715</v>
      </c>
      <c r="G35" s="340" t="s">
        <v>1591</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2</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500</v>
      </c>
      <c r="G45" s="340" t="s">
        <v>512</v>
      </c>
      <c r="H45" s="341"/>
      <c r="I45" s="341"/>
      <c r="J45" s="341"/>
      <c r="K45" s="341"/>
      <c r="L45" s="341"/>
      <c r="M45" s="342"/>
      <c r="O45" s="2"/>
      <c r="Q45" s="3" t="str">
        <f>+IFERROR(VLOOKUP(G45,base!$A$41:$C$45,3,FALSE),"")</f>
        <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500</v>
      </c>
      <c r="G47" s="340" t="s">
        <v>512</v>
      </c>
      <c r="H47" s="341"/>
      <c r="I47" s="341"/>
      <c r="J47" s="341"/>
      <c r="K47" s="341"/>
      <c r="L47" s="341"/>
      <c r="M47" s="342"/>
      <c r="O47" s="2"/>
      <c r="Q47" s="3" t="e">
        <f>+IF(VLOOKUP(G47,base!$A$46:$C$66,3,FALSE)=F45,1,0)</f>
        <v>#N/A</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786</v>
      </c>
      <c r="G49" s="340" t="s">
        <v>717</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17"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46.5" customHeight="1" x14ac:dyDescent="0.25">
      <c r="B59" s="2"/>
      <c r="D59" s="337" t="s">
        <v>34</v>
      </c>
      <c r="E59" s="337"/>
      <c r="F59" s="344" t="s">
        <v>880</v>
      </c>
      <c r="G59" s="344"/>
      <c r="H59" s="344"/>
      <c r="I59" s="344"/>
      <c r="J59" s="344"/>
      <c r="K59" s="344"/>
      <c r="L59" s="344"/>
      <c r="M59" s="344"/>
      <c r="O59" s="2"/>
    </row>
    <row r="60" spans="2:15" ht="32.25" customHeight="1" x14ac:dyDescent="0.25">
      <c r="B60" s="2"/>
      <c r="D60" s="359" t="s">
        <v>35</v>
      </c>
      <c r="E60" s="359"/>
      <c r="F60" s="344" t="s">
        <v>881</v>
      </c>
      <c r="G60" s="344"/>
      <c r="H60" s="344"/>
      <c r="I60" s="344"/>
      <c r="J60" s="344"/>
      <c r="K60" s="344"/>
      <c r="L60" s="344"/>
      <c r="M60" s="344"/>
      <c r="O60" s="2"/>
    </row>
    <row r="61" spans="2:15" ht="32.25" customHeight="1" x14ac:dyDescent="0.25">
      <c r="B61" s="2"/>
      <c r="D61" s="359" t="s">
        <v>36</v>
      </c>
      <c r="E61" s="359"/>
      <c r="F61" s="344" t="s">
        <v>882</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6</v>
      </c>
    </row>
    <row r="70" spans="2:37" ht="3.95" customHeight="1" x14ac:dyDescent="0.25">
      <c r="B70" s="2"/>
      <c r="D70" s="7"/>
      <c r="E70" s="7"/>
      <c r="O70" s="2"/>
    </row>
    <row r="71" spans="2:37" ht="18.75" customHeight="1" x14ac:dyDescent="0.25">
      <c r="B71" s="2"/>
      <c r="D71" s="343" t="s">
        <v>39</v>
      </c>
      <c r="E71" s="343"/>
      <c r="F71" s="4" t="s">
        <v>50</v>
      </c>
      <c r="G71" s="3">
        <v>6</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52</v>
      </c>
      <c r="G74" s="15" t="s">
        <v>670</v>
      </c>
      <c r="H74" s="15" t="s">
        <v>52</v>
      </c>
      <c r="I74" s="15" t="s">
        <v>670</v>
      </c>
      <c r="J74" s="15" t="s">
        <v>52</v>
      </c>
      <c r="K74" s="15" t="s">
        <v>670</v>
      </c>
      <c r="L74" s="15" t="s">
        <v>52</v>
      </c>
      <c r="M74" s="15" t="s">
        <v>670</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60" t="s">
        <v>50</v>
      </c>
      <c r="E80" s="360"/>
      <c r="F80" s="16" t="s">
        <v>500</v>
      </c>
      <c r="G80" s="16">
        <v>0.2</v>
      </c>
      <c r="H80" s="16">
        <v>0.19900000000000001</v>
      </c>
      <c r="I80" s="16">
        <v>0.15</v>
      </c>
      <c r="J80" s="16">
        <v>0.14899999999999999</v>
      </c>
      <c r="K80" s="16">
        <v>0.10100000000000001</v>
      </c>
      <c r="L80" s="16">
        <v>0.1</v>
      </c>
      <c r="M80" s="16" t="s">
        <v>500</v>
      </c>
      <c r="O80" s="2"/>
      <c r="AE80" s="3" t="s">
        <v>50</v>
      </c>
      <c r="AF80" s="3">
        <v>6</v>
      </c>
      <c r="AG80" s="3">
        <f t="shared" si="0"/>
        <v>1</v>
      </c>
      <c r="AH80" s="3">
        <f>+IF(AG80=0,0,IF(AG80=1,(SUM($AG$75:AG80)-1),1))</f>
        <v>0</v>
      </c>
      <c r="AI80" s="3">
        <f t="shared" si="1"/>
        <v>0</v>
      </c>
      <c r="AJ80" s="3">
        <f t="shared" si="2"/>
        <v>1</v>
      </c>
      <c r="AK80" s="3">
        <f t="shared" si="3"/>
        <v>1</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1</v>
      </c>
      <c r="AI81" s="3">
        <f t="shared" si="1"/>
        <v>0</v>
      </c>
      <c r="AJ81" s="3">
        <f t="shared" si="2"/>
        <v>0</v>
      </c>
      <c r="AK81" s="3">
        <f t="shared" si="3"/>
        <v>0</v>
      </c>
    </row>
    <row r="82" spans="2:37" x14ac:dyDescent="0.25">
      <c r="B82" s="2"/>
      <c r="D82" s="360" t="s">
        <v>54</v>
      </c>
      <c r="E82" s="360"/>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2</v>
      </c>
      <c r="AI82" s="3">
        <f t="shared" si="1"/>
        <v>0</v>
      </c>
      <c r="AJ82" s="3">
        <f t="shared" si="2"/>
        <v>0</v>
      </c>
      <c r="AK82" s="3">
        <f t="shared" si="3"/>
        <v>0</v>
      </c>
    </row>
    <row r="83" spans="2:37" x14ac:dyDescent="0.25">
      <c r="B83" s="2"/>
      <c r="D83" s="360" t="s">
        <v>55</v>
      </c>
      <c r="E83" s="360"/>
      <c r="F83" s="16" t="s">
        <v>500</v>
      </c>
      <c r="G83" s="16" t="s">
        <v>500</v>
      </c>
      <c r="H83" s="16" t="s">
        <v>500</v>
      </c>
      <c r="I83" s="16" t="s">
        <v>500</v>
      </c>
      <c r="J83" s="16" t="s">
        <v>500</v>
      </c>
      <c r="K83" s="16" t="s">
        <v>500</v>
      </c>
      <c r="L83" s="16" t="s">
        <v>500</v>
      </c>
      <c r="M83" s="16" t="s">
        <v>500</v>
      </c>
      <c r="O83" s="2"/>
      <c r="AE83" s="3" t="s">
        <v>55</v>
      </c>
      <c r="AF83" s="3">
        <v>9</v>
      </c>
      <c r="AG83" s="3">
        <f t="shared" si="0"/>
        <v>1</v>
      </c>
      <c r="AH83" s="3">
        <f>+IF(AG83=0,0,IF(AG83=1,(SUM($AG$75:AG83)-1),1))</f>
        <v>3</v>
      </c>
      <c r="AI83" s="3">
        <f t="shared" si="1"/>
        <v>0</v>
      </c>
      <c r="AJ83" s="3">
        <f t="shared" si="2"/>
        <v>0</v>
      </c>
      <c r="AK83" s="3">
        <f t="shared" si="3"/>
        <v>0</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4</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5</v>
      </c>
      <c r="AI85" s="3">
        <f t="shared" si="1"/>
        <v>0</v>
      </c>
      <c r="AJ85" s="3">
        <f t="shared" si="2"/>
        <v>0</v>
      </c>
      <c r="AK85" s="3">
        <f t="shared" si="3"/>
        <v>0</v>
      </c>
    </row>
    <row r="86" spans="2:37" x14ac:dyDescent="0.25">
      <c r="B86" s="2"/>
      <c r="D86" s="360" t="s">
        <v>58</v>
      </c>
      <c r="E86" s="360"/>
      <c r="F86" s="16" t="s">
        <v>500</v>
      </c>
      <c r="G86" s="16">
        <v>0.2</v>
      </c>
      <c r="H86" s="16">
        <v>0.19900000000000001</v>
      </c>
      <c r="I86" s="16">
        <v>0.15</v>
      </c>
      <c r="J86" s="16">
        <v>0.14899999999999999</v>
      </c>
      <c r="K86" s="16">
        <v>0.10100000000000001</v>
      </c>
      <c r="L86" s="16">
        <v>0.1</v>
      </c>
      <c r="M86" s="16" t="s">
        <v>500</v>
      </c>
      <c r="O86" s="2"/>
      <c r="AE86" s="3" t="s">
        <v>58</v>
      </c>
      <c r="AF86" s="65">
        <v>12</v>
      </c>
      <c r="AG86" s="3">
        <f t="shared" si="0"/>
        <v>1</v>
      </c>
      <c r="AH86" s="3">
        <f>+IF(AG86=0,0,IF(AG86=1,(SUM($AG$75:AG86)-1),1))</f>
        <v>6</v>
      </c>
      <c r="AI86" s="3">
        <f t="shared" si="1"/>
        <v>1</v>
      </c>
      <c r="AJ86" s="3">
        <f t="shared" si="2"/>
        <v>0</v>
      </c>
      <c r="AK86" s="3">
        <f t="shared" si="3"/>
        <v>1</v>
      </c>
    </row>
    <row r="87" spans="2:37" ht="3.75" customHeight="1" x14ac:dyDescent="0.25">
      <c r="B87" s="2"/>
      <c r="O87" s="2"/>
    </row>
    <row r="88" spans="2:37" ht="205.5" customHeight="1" x14ac:dyDescent="0.25">
      <c r="B88" s="2"/>
      <c r="D88" s="338" t="s">
        <v>59</v>
      </c>
      <c r="E88" s="339"/>
      <c r="F88" s="420" t="s">
        <v>1790</v>
      </c>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2" customHeight="1" x14ac:dyDescent="0.25">
      <c r="B97" s="2"/>
      <c r="D97" s="359" t="s">
        <v>35</v>
      </c>
      <c r="E97" s="359"/>
      <c r="F97" s="344" t="s">
        <v>863</v>
      </c>
      <c r="G97" s="344"/>
      <c r="H97" s="344"/>
      <c r="I97" s="344"/>
      <c r="J97" s="344"/>
      <c r="K97" s="344"/>
      <c r="L97" s="344"/>
      <c r="M97" s="344"/>
      <c r="O97" s="2"/>
    </row>
    <row r="98" spans="2:15" ht="42" customHeight="1" x14ac:dyDescent="0.25">
      <c r="B98" s="2"/>
      <c r="D98" s="359" t="s">
        <v>36</v>
      </c>
      <c r="E98" s="359"/>
      <c r="F98" s="344" t="s">
        <v>869</v>
      </c>
      <c r="G98" s="344"/>
      <c r="H98" s="344"/>
      <c r="I98" s="344"/>
      <c r="J98" s="344"/>
      <c r="K98" s="344"/>
      <c r="L98" s="344"/>
      <c r="M98" s="344"/>
      <c r="O98" s="2"/>
    </row>
    <row r="99" spans="2:15" ht="3.95" customHeight="1" x14ac:dyDescent="0.25">
      <c r="B99" s="2"/>
      <c r="O99" s="2"/>
    </row>
    <row r="100" spans="2:15" ht="160.5" customHeight="1" x14ac:dyDescent="0.25">
      <c r="B100" s="2"/>
      <c r="D100" s="338" t="s">
        <v>62</v>
      </c>
      <c r="E100" s="339"/>
      <c r="F100" s="340" t="s">
        <v>741</v>
      </c>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1</v>
      </c>
      <c r="K102" s="20"/>
      <c r="O102" s="2"/>
    </row>
    <row r="103" spans="2:15" ht="19.5" customHeight="1" x14ac:dyDescent="0.25">
      <c r="B103" s="2"/>
      <c r="D103" s="331"/>
      <c r="E103" s="332"/>
      <c r="F103" s="19" t="s">
        <v>66</v>
      </c>
      <c r="G103" s="4" t="s">
        <v>245</v>
      </c>
      <c r="K103" s="21"/>
      <c r="O103" s="2"/>
    </row>
    <row r="104" spans="2:15" ht="27.75" customHeight="1" x14ac:dyDescent="0.25">
      <c r="B104" s="2"/>
      <c r="D104" s="331"/>
      <c r="E104" s="332"/>
      <c r="F104" s="19" t="s">
        <v>67</v>
      </c>
      <c r="G104" s="340" t="s">
        <v>1789</v>
      </c>
      <c r="H104" s="341"/>
      <c r="I104" s="341"/>
      <c r="J104" s="341"/>
      <c r="K104" s="341"/>
      <c r="L104" s="341"/>
      <c r="M104" s="342"/>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40" t="str">
        <f>+VLOOKUP(H10,tablero!$P$5:$R$201,3,FALSE)</f>
        <v>Subdirector(a) Adopciones</v>
      </c>
      <c r="H108" s="341"/>
      <c r="I108" s="341"/>
      <c r="J108" s="341"/>
      <c r="K108" s="341"/>
      <c r="L108" s="341"/>
      <c r="M108" s="342"/>
      <c r="O108" s="2"/>
    </row>
    <row r="109" spans="2:15" ht="17.25" customHeight="1" x14ac:dyDescent="0.25">
      <c r="B109" s="2"/>
      <c r="D109" s="331"/>
      <c r="E109" s="332"/>
      <c r="F109" s="19" t="s">
        <v>2042</v>
      </c>
      <c r="G109" s="340" t="str">
        <f>+IF(M23="Si","Coordinador(a) Planeación y Sistemas","")</f>
        <v>Coordinador(a) Planeación y Sistemas</v>
      </c>
      <c r="H109" s="341"/>
      <c r="I109" s="341"/>
      <c r="J109" s="341"/>
      <c r="K109" s="341"/>
      <c r="L109" s="341"/>
      <c r="M109" s="342"/>
      <c r="O109" s="2"/>
    </row>
    <row r="110" spans="2:15" ht="17.25" customHeight="1" x14ac:dyDescent="0.25">
      <c r="B110" s="2"/>
      <c r="D110" s="331"/>
      <c r="E110" s="332"/>
      <c r="F110" s="19" t="s">
        <v>2043</v>
      </c>
      <c r="G110" s="340" t="str">
        <f>+IF(M24="Si","Coordinador(a) Centro Zonal","")</f>
        <v/>
      </c>
      <c r="H110" s="341"/>
      <c r="I110" s="341"/>
      <c r="J110" s="341"/>
      <c r="K110" s="341"/>
      <c r="L110" s="341"/>
      <c r="M110" s="342"/>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166" priority="32">
      <formula>+IF($F$43="no",1,0)</formula>
    </cfRule>
  </conditionalFormatting>
  <conditionalFormatting sqref="F32:M33">
    <cfRule type="expression" dxfId="2165" priority="31">
      <formula>+IF($Q$30="NA",1,0)</formula>
    </cfRule>
  </conditionalFormatting>
  <conditionalFormatting sqref="F33:M33">
    <cfRule type="expression" dxfId="2164" priority="30">
      <formula>+IF($Q$33=0,1,0)</formula>
    </cfRule>
  </conditionalFormatting>
  <conditionalFormatting sqref="F47:M47">
    <cfRule type="expression" dxfId="2163" priority="29">
      <formula>+IF($Q$47=0,1,0)</formula>
    </cfRule>
  </conditionalFormatting>
  <conditionalFormatting sqref="F73:G73">
    <cfRule type="cellIs" dxfId="2162" priority="16" operator="equal">
      <formula>"optimo"</formula>
    </cfRule>
    <cfRule type="cellIs" dxfId="2161" priority="17" operator="equal">
      <formula>"critico"</formula>
    </cfRule>
  </conditionalFormatting>
  <conditionalFormatting sqref="H73:I73">
    <cfRule type="cellIs" dxfId="2160" priority="14" operator="equal">
      <formula>"Adecuado"</formula>
    </cfRule>
    <cfRule type="cellIs" dxfId="2159" priority="15" operator="equal">
      <formula>"en riesgo"</formula>
    </cfRule>
  </conditionalFormatting>
  <conditionalFormatting sqref="J73:K73">
    <cfRule type="cellIs" dxfId="2158" priority="12" operator="equal">
      <formula>"Adecuado"</formula>
    </cfRule>
    <cfRule type="cellIs" dxfId="2157" priority="13" operator="equal">
      <formula>"en riesgo"</formula>
    </cfRule>
  </conditionalFormatting>
  <conditionalFormatting sqref="L73:M73">
    <cfRule type="cellIs" dxfId="2156" priority="10" operator="equal">
      <formula>"optimo"</formula>
    </cfRule>
    <cfRule type="cellIs" dxfId="2155" priority="11" operator="equal">
      <formula>"critico"</formula>
    </cfRule>
  </conditionalFormatting>
  <conditionalFormatting sqref="F75:M86">
    <cfRule type="expression" dxfId="2154" priority="9">
      <formula>+IF($AK75=0,1)</formula>
    </cfRule>
  </conditionalFormatting>
  <conditionalFormatting sqref="F103:G104">
    <cfRule type="expression" dxfId="2153" priority="8">
      <formula>+IF($G$102="No",1,0)</formula>
    </cfRule>
  </conditionalFormatting>
  <conditionalFormatting sqref="F51">
    <cfRule type="expression" dxfId="2152" priority="7">
      <formula>+IF($F$43="no",1,0)</formula>
    </cfRule>
  </conditionalFormatting>
  <conditionalFormatting sqref="I51">
    <cfRule type="expression" dxfId="2151" priority="6">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7">
    <tabColor rgb="FF0070C0"/>
  </sheetPr>
  <dimension ref="B1:AV113"/>
  <sheetViews>
    <sheetView zoomScaleNormal="100" workbookViewId="0">
      <selection activeCell="F14" sqref="F14:M14"/>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248</v>
      </c>
      <c r="O10" s="2"/>
    </row>
    <row r="11" spans="2:24" ht="3.95" customHeight="1" x14ac:dyDescent="0.25">
      <c r="B11" s="2"/>
      <c r="D11" s="6"/>
      <c r="O11" s="2"/>
    </row>
    <row r="12" spans="2:24" ht="36" customHeight="1" x14ac:dyDescent="0.25">
      <c r="B12" s="2"/>
      <c r="D12" s="338" t="s">
        <v>5</v>
      </c>
      <c r="E12" s="339"/>
      <c r="F12" s="340" t="s">
        <v>249</v>
      </c>
      <c r="G12" s="341"/>
      <c r="H12" s="341"/>
      <c r="I12" s="341"/>
      <c r="J12" s="341"/>
      <c r="K12" s="341"/>
      <c r="L12" s="341"/>
      <c r="M12" s="342"/>
      <c r="O12" s="2"/>
      <c r="W12" s="3" t="str">
        <f>+F23</f>
        <v>Semestral</v>
      </c>
      <c r="X12" s="3" t="str">
        <f>+F71</f>
        <v>Junio</v>
      </c>
    </row>
    <row r="13" spans="2:24" ht="3.95" customHeight="1" x14ac:dyDescent="0.25">
      <c r="B13" s="2"/>
      <c r="O13" s="2"/>
    </row>
    <row r="14" spans="2:24" ht="60.75" customHeight="1" x14ac:dyDescent="0.25">
      <c r="B14" s="2"/>
      <c r="D14" s="338" t="s">
        <v>6</v>
      </c>
      <c r="E14" s="339"/>
      <c r="F14" s="340" t="s">
        <v>2161</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17" t="s">
        <v>512</v>
      </c>
      <c r="G22" s="337" t="s">
        <v>9</v>
      </c>
      <c r="H22" s="337"/>
      <c r="I22" s="17">
        <v>0.25</v>
      </c>
      <c r="K22" s="337" t="s">
        <v>10</v>
      </c>
      <c r="L22" s="337"/>
      <c r="M22" s="9" t="s">
        <v>496</v>
      </c>
      <c r="O22" s="2"/>
    </row>
    <row r="23" spans="2:17" ht="19.5" customHeight="1" x14ac:dyDescent="0.25">
      <c r="B23" s="2"/>
      <c r="D23" s="337" t="s">
        <v>11</v>
      </c>
      <c r="E23" s="337"/>
      <c r="F23" s="4" t="s">
        <v>104</v>
      </c>
      <c r="G23" s="337" t="s">
        <v>12</v>
      </c>
      <c r="H23" s="337"/>
      <c r="I23" s="4" t="s">
        <v>497</v>
      </c>
      <c r="K23" s="337" t="s">
        <v>13</v>
      </c>
      <c r="L23" s="337"/>
      <c r="M23" s="9" t="s">
        <v>496</v>
      </c>
      <c r="O23" s="2"/>
    </row>
    <row r="24" spans="2:17" ht="20.100000000000001" customHeight="1" x14ac:dyDescent="0.25">
      <c r="B24" s="2"/>
      <c r="D24" s="337" t="s">
        <v>14</v>
      </c>
      <c r="E24" s="337"/>
      <c r="F24" s="4" t="s">
        <v>498</v>
      </c>
      <c r="G24" s="337" t="s">
        <v>15</v>
      </c>
      <c r="H24" s="337"/>
      <c r="I24" s="4" t="s">
        <v>103</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716</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proteccion</v>
      </c>
    </row>
    <row r="31" spans="2:17" ht="24" customHeight="1" x14ac:dyDescent="0.25">
      <c r="B31" s="2"/>
      <c r="D31" s="347"/>
      <c r="E31" s="348"/>
      <c r="F31" s="4" t="s">
        <v>202</v>
      </c>
      <c r="G31" s="340" t="s">
        <v>203</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785</v>
      </c>
      <c r="G33" s="340" t="s">
        <v>737</v>
      </c>
      <c r="H33" s="341"/>
      <c r="I33" s="341"/>
      <c r="J33" s="341"/>
      <c r="K33" s="341"/>
      <c r="L33" s="341"/>
      <c r="M33" s="342"/>
      <c r="O33" s="2"/>
      <c r="Q33" s="3">
        <f>+IFERROR(IF(VLOOKUP(G33,base!$A$26:$C$40,3,FALSE)=F31,1,0),"")</f>
        <v>1</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1715</v>
      </c>
      <c r="G35" s="340" t="s">
        <v>1591</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501</v>
      </c>
      <c r="G45" s="340" t="s">
        <v>515</v>
      </c>
      <c r="H45" s="341"/>
      <c r="I45" s="341"/>
      <c r="J45" s="341"/>
      <c r="K45" s="341"/>
      <c r="L45" s="341"/>
      <c r="M45" s="342"/>
      <c r="O45" s="2"/>
      <c r="Q45" s="3" t="str">
        <f>+IFERROR(VLOOKUP(G45,base!$A$41:$C$45,3,FALSE),"")</f>
        <v>misional</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503</v>
      </c>
      <c r="G47" s="340" t="s">
        <v>504</v>
      </c>
      <c r="H47" s="341"/>
      <c r="I47" s="341"/>
      <c r="J47" s="341"/>
      <c r="K47" s="341"/>
      <c r="L47" s="341"/>
      <c r="M47" s="342"/>
      <c r="O47" s="2"/>
      <c r="Q47" s="3">
        <f>+IF(VLOOKUP(G47,base!$A$46:$C$66,3,FALSE)=F45,1,0)</f>
        <v>1</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786</v>
      </c>
      <c r="G49" s="340" t="s">
        <v>717</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496</v>
      </c>
      <c r="G51" s="337" t="s">
        <v>32</v>
      </c>
      <c r="H51" s="337"/>
      <c r="I51" s="17">
        <v>1</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63" customHeight="1" x14ac:dyDescent="0.25">
      <c r="B59" s="2"/>
      <c r="D59" s="337" t="s">
        <v>34</v>
      </c>
      <c r="E59" s="337"/>
      <c r="F59" s="344" t="s">
        <v>1791</v>
      </c>
      <c r="G59" s="344"/>
      <c r="H59" s="344"/>
      <c r="I59" s="344"/>
      <c r="J59" s="344"/>
      <c r="K59" s="344"/>
      <c r="L59" s="344"/>
      <c r="M59" s="344"/>
      <c r="O59" s="2"/>
    </row>
    <row r="60" spans="2:15" ht="38.25" customHeight="1" x14ac:dyDescent="0.25">
      <c r="B60" s="2"/>
      <c r="D60" s="359" t="s">
        <v>35</v>
      </c>
      <c r="E60" s="359"/>
      <c r="F60" s="344" t="s">
        <v>1792</v>
      </c>
      <c r="G60" s="344"/>
      <c r="H60" s="344"/>
      <c r="I60" s="344"/>
      <c r="J60" s="344"/>
      <c r="K60" s="344"/>
      <c r="L60" s="344"/>
      <c r="M60" s="344"/>
      <c r="O60" s="2"/>
    </row>
    <row r="61" spans="2:15" ht="32.25" customHeight="1" x14ac:dyDescent="0.25">
      <c r="B61" s="2"/>
      <c r="D61" s="359" t="s">
        <v>36</v>
      </c>
      <c r="E61" s="359"/>
      <c r="F61" s="344" t="s">
        <v>1793</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6</v>
      </c>
    </row>
    <row r="70" spans="2:37" ht="3.95" customHeight="1" x14ac:dyDescent="0.25">
      <c r="B70" s="2"/>
      <c r="D70" s="7"/>
      <c r="E70" s="7"/>
      <c r="O70" s="2"/>
    </row>
    <row r="71" spans="2:37" ht="18.75" customHeight="1" x14ac:dyDescent="0.25">
      <c r="B71" s="2"/>
      <c r="D71" s="343" t="s">
        <v>39</v>
      </c>
      <c r="E71" s="343"/>
      <c r="F71" s="4" t="s">
        <v>50</v>
      </c>
      <c r="G71" s="3">
        <v>6</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60" t="s">
        <v>50</v>
      </c>
      <c r="E80" s="360"/>
      <c r="F80" s="16" t="s">
        <v>500</v>
      </c>
      <c r="G80" s="16">
        <v>0.14899999999999999</v>
      </c>
      <c r="H80" s="16">
        <v>0.15</v>
      </c>
      <c r="I80" s="16">
        <v>0.19900000000000001</v>
      </c>
      <c r="J80" s="16">
        <v>0.2</v>
      </c>
      <c r="K80" s="16">
        <v>0.249</v>
      </c>
      <c r="L80" s="16">
        <v>0.25</v>
      </c>
      <c r="M80" s="16" t="s">
        <v>500</v>
      </c>
      <c r="O80" s="2"/>
      <c r="AE80" s="3" t="s">
        <v>50</v>
      </c>
      <c r="AF80" s="3">
        <v>6</v>
      </c>
      <c r="AG80" s="3">
        <f t="shared" si="0"/>
        <v>1</v>
      </c>
      <c r="AH80" s="3">
        <f>+IF(AG80=0,0,IF(AG80=1,(SUM($AG$75:AG80)-1),1))</f>
        <v>0</v>
      </c>
      <c r="AI80" s="3">
        <f t="shared" si="1"/>
        <v>0</v>
      </c>
      <c r="AJ80" s="3">
        <f t="shared" si="2"/>
        <v>1</v>
      </c>
      <c r="AK80" s="3">
        <f t="shared" si="3"/>
        <v>1</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1</v>
      </c>
      <c r="AI81" s="3">
        <f t="shared" si="1"/>
        <v>0</v>
      </c>
      <c r="AJ81" s="3">
        <f t="shared" si="2"/>
        <v>0</v>
      </c>
      <c r="AK81" s="3">
        <f t="shared" si="3"/>
        <v>0</v>
      </c>
    </row>
    <row r="82" spans="2:37" x14ac:dyDescent="0.25">
      <c r="B82" s="2"/>
      <c r="D82" s="360" t="s">
        <v>54</v>
      </c>
      <c r="E82" s="360"/>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2</v>
      </c>
      <c r="AI82" s="3">
        <f t="shared" si="1"/>
        <v>0</v>
      </c>
      <c r="AJ82" s="3">
        <f t="shared" si="2"/>
        <v>0</v>
      </c>
      <c r="AK82" s="3">
        <f t="shared" si="3"/>
        <v>0</v>
      </c>
    </row>
    <row r="83" spans="2:37" x14ac:dyDescent="0.25">
      <c r="B83" s="2"/>
      <c r="D83" s="360" t="s">
        <v>55</v>
      </c>
      <c r="E83" s="360"/>
      <c r="F83" s="16" t="s">
        <v>500</v>
      </c>
      <c r="G83" s="16" t="s">
        <v>500</v>
      </c>
      <c r="H83" s="16" t="s">
        <v>500</v>
      </c>
      <c r="I83" s="16" t="s">
        <v>500</v>
      </c>
      <c r="J83" s="16" t="s">
        <v>500</v>
      </c>
      <c r="K83" s="16" t="s">
        <v>500</v>
      </c>
      <c r="L83" s="16" t="s">
        <v>500</v>
      </c>
      <c r="M83" s="16" t="s">
        <v>500</v>
      </c>
      <c r="O83" s="2"/>
      <c r="AE83" s="3" t="s">
        <v>55</v>
      </c>
      <c r="AF83" s="3">
        <v>9</v>
      </c>
      <c r="AG83" s="3">
        <f t="shared" si="0"/>
        <v>1</v>
      </c>
      <c r="AH83" s="3">
        <f>+IF(AG83=0,0,IF(AG83=1,(SUM($AG$75:AG83)-1),1))</f>
        <v>3</v>
      </c>
      <c r="AI83" s="3">
        <f t="shared" si="1"/>
        <v>0</v>
      </c>
      <c r="AJ83" s="3">
        <f t="shared" si="2"/>
        <v>0</v>
      </c>
      <c r="AK83" s="3">
        <f t="shared" si="3"/>
        <v>0</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4</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5</v>
      </c>
      <c r="AI85" s="3">
        <f t="shared" si="1"/>
        <v>0</v>
      </c>
      <c r="AJ85" s="3">
        <f t="shared" si="2"/>
        <v>0</v>
      </c>
      <c r="AK85" s="3">
        <f t="shared" si="3"/>
        <v>0</v>
      </c>
    </row>
    <row r="86" spans="2:37" x14ac:dyDescent="0.25">
      <c r="B86" s="2"/>
      <c r="D86" s="360" t="s">
        <v>58</v>
      </c>
      <c r="E86" s="360"/>
      <c r="F86" s="16" t="s">
        <v>500</v>
      </c>
      <c r="G86" s="16">
        <v>0.14899999999999999</v>
      </c>
      <c r="H86" s="16">
        <v>0.15</v>
      </c>
      <c r="I86" s="16">
        <v>0.19900000000000001</v>
      </c>
      <c r="J86" s="16">
        <v>0.2</v>
      </c>
      <c r="K86" s="16">
        <v>0.249</v>
      </c>
      <c r="L86" s="16">
        <v>0.25</v>
      </c>
      <c r="M86" s="16" t="s">
        <v>500</v>
      </c>
      <c r="O86" s="2"/>
      <c r="AE86" s="3" t="s">
        <v>58</v>
      </c>
      <c r="AF86" s="65">
        <v>12</v>
      </c>
      <c r="AG86" s="3">
        <f t="shared" si="0"/>
        <v>1</v>
      </c>
      <c r="AH86" s="3">
        <f>+IF(AG86=0,0,IF(AG86=1,(SUM($AG$75:AG86)-1),1))</f>
        <v>6</v>
      </c>
      <c r="AI86" s="3">
        <f t="shared" si="1"/>
        <v>1</v>
      </c>
      <c r="AJ86" s="3">
        <f t="shared" si="2"/>
        <v>0</v>
      </c>
      <c r="AK86" s="3">
        <f t="shared" si="3"/>
        <v>1</v>
      </c>
    </row>
    <row r="87" spans="2:37" ht="3.75" customHeight="1" x14ac:dyDescent="0.25">
      <c r="B87" s="2"/>
      <c r="O87" s="2"/>
    </row>
    <row r="88" spans="2:37" ht="129.75" customHeight="1" x14ac:dyDescent="0.25">
      <c r="B88" s="2"/>
      <c r="D88" s="338" t="s">
        <v>59</v>
      </c>
      <c r="E88" s="339"/>
      <c r="F88" s="425" t="s">
        <v>1794</v>
      </c>
      <c r="G88" s="426"/>
      <c r="H88" s="426"/>
      <c r="I88" s="426"/>
      <c r="J88" s="426"/>
      <c r="K88" s="426"/>
      <c r="L88" s="426"/>
      <c r="M88" s="427"/>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2" customHeight="1" x14ac:dyDescent="0.25">
      <c r="B97" s="2"/>
      <c r="D97" s="359" t="s">
        <v>35</v>
      </c>
      <c r="E97" s="359"/>
      <c r="F97" s="344" t="s">
        <v>871</v>
      </c>
      <c r="G97" s="344"/>
      <c r="H97" s="344"/>
      <c r="I97" s="344"/>
      <c r="J97" s="344"/>
      <c r="K97" s="344"/>
      <c r="L97" s="344"/>
      <c r="M97" s="344"/>
      <c r="O97" s="2"/>
    </row>
    <row r="98" spans="2:15" ht="42" customHeight="1" x14ac:dyDescent="0.25">
      <c r="B98" s="2"/>
      <c r="D98" s="359" t="s">
        <v>36</v>
      </c>
      <c r="E98" s="359"/>
      <c r="F98" s="344" t="s">
        <v>871</v>
      </c>
      <c r="G98" s="344"/>
      <c r="H98" s="344"/>
      <c r="I98" s="344"/>
      <c r="J98" s="344"/>
      <c r="K98" s="344"/>
      <c r="L98" s="344"/>
      <c r="M98" s="344"/>
      <c r="O98" s="2"/>
    </row>
    <row r="99" spans="2:15" ht="3.95" customHeight="1" x14ac:dyDescent="0.25">
      <c r="B99" s="2"/>
      <c r="O99" s="2"/>
    </row>
    <row r="100" spans="2:15" ht="384" customHeight="1" x14ac:dyDescent="0.25">
      <c r="B100" s="2"/>
      <c r="D100" s="338" t="s">
        <v>62</v>
      </c>
      <c r="E100" s="339"/>
      <c r="F100" s="340" t="s">
        <v>1795</v>
      </c>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2</v>
      </c>
      <c r="K102" s="20"/>
      <c r="O102" s="2"/>
    </row>
    <row r="103" spans="2:15" ht="19.5" customHeight="1" x14ac:dyDescent="0.25">
      <c r="B103" s="2"/>
      <c r="D103" s="331"/>
      <c r="E103" s="332"/>
      <c r="F103" s="19" t="s">
        <v>66</v>
      </c>
      <c r="G103" s="4"/>
      <c r="K103" s="21"/>
      <c r="O103" s="2"/>
    </row>
    <row r="104" spans="2:15" ht="27.75" customHeight="1" x14ac:dyDescent="0.25">
      <c r="B104" s="2"/>
      <c r="D104" s="331"/>
      <c r="E104" s="332"/>
      <c r="F104" s="19" t="s">
        <v>67</v>
      </c>
      <c r="G104" s="333"/>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1802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Subdirector(a) Responsabilidad penal</v>
      </c>
      <c r="H108" s="334"/>
      <c r="I108" s="334"/>
      <c r="J108" s="334"/>
      <c r="K108" s="334"/>
      <c r="L108" s="334"/>
      <c r="M108" s="335"/>
      <c r="O108" s="2"/>
    </row>
    <row r="109" spans="2:15" ht="17.25" customHeight="1" x14ac:dyDescent="0.25">
      <c r="B109" s="2"/>
      <c r="D109" s="331"/>
      <c r="E109" s="332"/>
      <c r="F109" s="19" t="s">
        <v>2042</v>
      </c>
      <c r="G109" s="333" t="str">
        <f>+IF(M23="Si","Coordinador(a) Planeación y Sistemas","")</f>
        <v>Coordinador(a) Planeación y Sistemas</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150" priority="31">
      <formula>+IF($F$43="no",1,0)</formula>
    </cfRule>
  </conditionalFormatting>
  <conditionalFormatting sqref="F32:M33">
    <cfRule type="expression" dxfId="2149" priority="30">
      <formula>+IF($Q$30="NA",1,0)</formula>
    </cfRule>
  </conditionalFormatting>
  <conditionalFormatting sqref="F33:M33">
    <cfRule type="expression" dxfId="2148" priority="29">
      <formula>+IF($Q$33=0,1,0)</formula>
    </cfRule>
  </conditionalFormatting>
  <conditionalFormatting sqref="F47:M47">
    <cfRule type="expression" dxfId="2147" priority="28">
      <formula>+IF($Q$47=0,1,0)</formula>
    </cfRule>
  </conditionalFormatting>
  <conditionalFormatting sqref="F73:G73">
    <cfRule type="cellIs" dxfId="2146" priority="15" operator="equal">
      <formula>"optimo"</formula>
    </cfRule>
    <cfRule type="cellIs" dxfId="2145" priority="16" operator="equal">
      <formula>"critico"</formula>
    </cfRule>
  </conditionalFormatting>
  <conditionalFormatting sqref="H73:I73">
    <cfRule type="cellIs" dxfId="2144" priority="13" operator="equal">
      <formula>"Adecuado"</formula>
    </cfRule>
    <cfRule type="cellIs" dxfId="2143" priority="14" operator="equal">
      <formula>"en riesgo"</formula>
    </cfRule>
  </conditionalFormatting>
  <conditionalFormatting sqref="J73:K73">
    <cfRule type="cellIs" dxfId="2142" priority="11" operator="equal">
      <formula>"Adecuado"</formula>
    </cfRule>
    <cfRule type="cellIs" dxfId="2141" priority="12" operator="equal">
      <formula>"en riesgo"</formula>
    </cfRule>
  </conditionalFormatting>
  <conditionalFormatting sqref="L73:M73">
    <cfRule type="cellIs" dxfId="2140" priority="9" operator="equal">
      <formula>"optimo"</formula>
    </cfRule>
    <cfRule type="cellIs" dxfId="2139" priority="10" operator="equal">
      <formula>"critico"</formula>
    </cfRule>
  </conditionalFormatting>
  <conditionalFormatting sqref="F75:M86">
    <cfRule type="expression" dxfId="2138" priority="8">
      <formula>+IF($AK75=0,1)</formula>
    </cfRule>
  </conditionalFormatting>
  <conditionalFormatting sqref="F103:G104">
    <cfRule type="expression" dxfId="2137" priority="7">
      <formula>+IF($G$102="No",1,0)</formula>
    </cfRule>
  </conditionalFormatting>
  <conditionalFormatting sqref="F51">
    <cfRule type="expression" dxfId="2136" priority="6">
      <formula>+IF($F$43="no",1,0)</formula>
    </cfRule>
  </conditionalFormatting>
  <conditionalFormatting sqref="I51">
    <cfRule type="expression" dxfId="2135" priority="5">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8">
    <tabColor rgb="FF0070C0"/>
  </sheetPr>
  <dimension ref="B1:AV113"/>
  <sheetViews>
    <sheetView topLeftCell="A61" zoomScaleNormal="100" workbookViewId="0">
      <selection activeCell="J80" sqref="J80:K8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250</v>
      </c>
      <c r="O10" s="2"/>
    </row>
    <row r="11" spans="2:24" ht="3.95" customHeight="1" x14ac:dyDescent="0.25">
      <c r="B11" s="2"/>
      <c r="D11" s="6"/>
      <c r="O11" s="2"/>
    </row>
    <row r="12" spans="2:24" ht="36" customHeight="1" x14ac:dyDescent="0.25">
      <c r="B12" s="2"/>
      <c r="D12" s="338" t="s">
        <v>5</v>
      </c>
      <c r="E12" s="339"/>
      <c r="F12" s="340" t="s">
        <v>251</v>
      </c>
      <c r="G12" s="341"/>
      <c r="H12" s="341"/>
      <c r="I12" s="341"/>
      <c r="J12" s="341"/>
      <c r="K12" s="341"/>
      <c r="L12" s="341"/>
      <c r="M12" s="342"/>
      <c r="O12" s="2"/>
      <c r="W12" s="3" t="str">
        <f>+F23</f>
        <v>Semestral</v>
      </c>
      <c r="X12" s="3" t="str">
        <f>+F71</f>
        <v>Junio</v>
      </c>
    </row>
    <row r="13" spans="2:24" ht="3.95" customHeight="1" x14ac:dyDescent="0.25">
      <c r="B13" s="2"/>
      <c r="O13" s="2"/>
    </row>
    <row r="14" spans="2:24" ht="38.25" customHeight="1" x14ac:dyDescent="0.25">
      <c r="B14" s="2"/>
      <c r="D14" s="338" t="s">
        <v>6</v>
      </c>
      <c r="E14" s="339"/>
      <c r="F14" s="340" t="s">
        <v>1796</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17">
        <v>0.1</v>
      </c>
      <c r="G22" s="337" t="s">
        <v>9</v>
      </c>
      <c r="H22" s="337"/>
      <c r="I22" s="17">
        <v>0.12</v>
      </c>
      <c r="K22" s="337" t="s">
        <v>10</v>
      </c>
      <c r="L22" s="337"/>
      <c r="M22" s="9" t="s">
        <v>496</v>
      </c>
      <c r="O22" s="2"/>
    </row>
    <row r="23" spans="2:17" ht="19.5" customHeight="1" x14ac:dyDescent="0.25">
      <c r="B23" s="2"/>
      <c r="D23" s="337" t="s">
        <v>11</v>
      </c>
      <c r="E23" s="337"/>
      <c r="F23" s="4" t="s">
        <v>104</v>
      </c>
      <c r="G23" s="337" t="s">
        <v>12</v>
      </c>
      <c r="H23" s="337"/>
      <c r="I23" s="4" t="s">
        <v>497</v>
      </c>
      <c r="K23" s="337" t="s">
        <v>13</v>
      </c>
      <c r="L23" s="337"/>
      <c r="M23" s="9" t="s">
        <v>2</v>
      </c>
      <c r="O23" s="2"/>
    </row>
    <row r="24" spans="2:17" ht="20.100000000000001" customHeight="1" x14ac:dyDescent="0.25">
      <c r="B24" s="2"/>
      <c r="D24" s="337" t="s">
        <v>14</v>
      </c>
      <c r="E24" s="337"/>
      <c r="F24" s="4" t="s">
        <v>498</v>
      </c>
      <c r="G24" s="337" t="s">
        <v>15</v>
      </c>
      <c r="H24" s="337"/>
      <c r="I24" s="4" t="s">
        <v>533</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716</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proteccion</v>
      </c>
    </row>
    <row r="31" spans="2:17" ht="24" customHeight="1" x14ac:dyDescent="0.25">
      <c r="B31" s="2"/>
      <c r="D31" s="347"/>
      <c r="E31" s="348"/>
      <c r="F31" s="4" t="s">
        <v>202</v>
      </c>
      <c r="G31" s="340" t="s">
        <v>203</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873</v>
      </c>
      <c r="G33" s="340" t="s">
        <v>742</v>
      </c>
      <c r="H33" s="341"/>
      <c r="I33" s="341"/>
      <c r="J33" s="341"/>
      <c r="K33" s="341"/>
      <c r="L33" s="341"/>
      <c r="M33" s="342"/>
      <c r="O33" s="2"/>
      <c r="Q33" s="3">
        <f>+IFERROR(IF(VLOOKUP(G33,base!$A$26:$C$40,3,FALSE)=F31,1,0),"")</f>
        <v>1</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1715</v>
      </c>
      <c r="G35" s="340" t="s">
        <v>1591</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501</v>
      </c>
      <c r="G45" s="340" t="s">
        <v>515</v>
      </c>
      <c r="H45" s="341"/>
      <c r="I45" s="341"/>
      <c r="J45" s="341"/>
      <c r="K45" s="341"/>
      <c r="L45" s="341"/>
      <c r="M45" s="342"/>
      <c r="O45" s="2"/>
      <c r="Q45" s="3" t="str">
        <f>+IFERROR(VLOOKUP(G45,base!$A$41:$C$45,3,FALSE),"")</f>
        <v>misional</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503</v>
      </c>
      <c r="G47" s="340" t="s">
        <v>504</v>
      </c>
      <c r="H47" s="341"/>
      <c r="I47" s="341"/>
      <c r="J47" s="341"/>
      <c r="K47" s="341"/>
      <c r="L47" s="341"/>
      <c r="M47" s="342"/>
      <c r="O47" s="2"/>
      <c r="Q47" s="3">
        <f>+IF(VLOOKUP(G47,base!$A$46:$C$66,3,FALSE)=F45,1,0)</f>
        <v>1</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786</v>
      </c>
      <c r="G49" s="340" t="s">
        <v>717</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496</v>
      </c>
      <c r="G51" s="337" t="s">
        <v>32</v>
      </c>
      <c r="H51" s="337"/>
      <c r="I51" s="17">
        <v>0.5</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37" t="s">
        <v>34</v>
      </c>
      <c r="E59" s="337"/>
      <c r="F59" s="344" t="s">
        <v>1797</v>
      </c>
      <c r="G59" s="344"/>
      <c r="H59" s="344"/>
      <c r="I59" s="344"/>
      <c r="J59" s="344"/>
      <c r="K59" s="344"/>
      <c r="L59" s="344"/>
      <c r="M59" s="344"/>
      <c r="O59" s="2"/>
    </row>
    <row r="60" spans="2:15" ht="38.25" customHeight="1" x14ac:dyDescent="0.25">
      <c r="B60" s="2"/>
      <c r="D60" s="359" t="s">
        <v>35</v>
      </c>
      <c r="E60" s="359"/>
      <c r="F60" s="344" t="s">
        <v>1798</v>
      </c>
      <c r="G60" s="344"/>
      <c r="H60" s="344"/>
      <c r="I60" s="344"/>
      <c r="J60" s="344"/>
      <c r="K60" s="344"/>
      <c r="L60" s="344"/>
      <c r="M60" s="344"/>
      <c r="O60" s="2"/>
    </row>
    <row r="61" spans="2:15" ht="32.25" customHeight="1" x14ac:dyDescent="0.25">
      <c r="B61" s="2"/>
      <c r="D61" s="359" t="s">
        <v>36</v>
      </c>
      <c r="E61" s="359"/>
      <c r="F61" s="344" t="s">
        <v>1799</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6</v>
      </c>
    </row>
    <row r="70" spans="2:37" ht="3.95" customHeight="1" x14ac:dyDescent="0.25">
      <c r="B70" s="2"/>
      <c r="D70" s="7"/>
      <c r="E70" s="7"/>
      <c r="O70" s="2"/>
    </row>
    <row r="71" spans="2:37" ht="18.75" customHeight="1" x14ac:dyDescent="0.25">
      <c r="B71" s="2"/>
      <c r="D71" s="343" t="s">
        <v>39</v>
      </c>
      <c r="E71" s="343"/>
      <c r="F71" s="4" t="s">
        <v>50</v>
      </c>
      <c r="G71" s="3">
        <v>6</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60" t="s">
        <v>50</v>
      </c>
      <c r="E80" s="360"/>
      <c r="F80" s="16" t="s">
        <v>500</v>
      </c>
      <c r="G80" s="16">
        <v>9.9000000000000005E-2</v>
      </c>
      <c r="H80" s="16">
        <v>0.1</v>
      </c>
      <c r="I80" s="16">
        <v>0.109</v>
      </c>
      <c r="J80" s="16">
        <v>0.11</v>
      </c>
      <c r="K80" s="16">
        <v>0.11899999999999999</v>
      </c>
      <c r="L80" s="16">
        <v>0.12</v>
      </c>
      <c r="M80" s="16" t="s">
        <v>500</v>
      </c>
      <c r="O80" s="2"/>
      <c r="AE80" s="3" t="s">
        <v>50</v>
      </c>
      <c r="AF80" s="3">
        <v>6</v>
      </c>
      <c r="AG80" s="3">
        <f t="shared" si="0"/>
        <v>1</v>
      </c>
      <c r="AH80" s="3">
        <f>+IF(AG80=0,0,IF(AG80=1,(SUM($AG$75:AG80)-1),1))</f>
        <v>0</v>
      </c>
      <c r="AI80" s="3">
        <f t="shared" si="1"/>
        <v>0</v>
      </c>
      <c r="AJ80" s="3">
        <f t="shared" si="2"/>
        <v>1</v>
      </c>
      <c r="AK80" s="3">
        <f t="shared" si="3"/>
        <v>1</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1</v>
      </c>
      <c r="AI81" s="3">
        <f t="shared" si="1"/>
        <v>0</v>
      </c>
      <c r="AJ81" s="3">
        <f t="shared" si="2"/>
        <v>0</v>
      </c>
      <c r="AK81" s="3">
        <f t="shared" si="3"/>
        <v>0</v>
      </c>
    </row>
    <row r="82" spans="2:37" x14ac:dyDescent="0.25">
      <c r="B82" s="2"/>
      <c r="D82" s="360" t="s">
        <v>54</v>
      </c>
      <c r="E82" s="360"/>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2</v>
      </c>
      <c r="AI82" s="3">
        <f t="shared" si="1"/>
        <v>0</v>
      </c>
      <c r="AJ82" s="3">
        <f t="shared" si="2"/>
        <v>0</v>
      </c>
      <c r="AK82" s="3">
        <f t="shared" si="3"/>
        <v>0</v>
      </c>
    </row>
    <row r="83" spans="2:37" x14ac:dyDescent="0.25">
      <c r="B83" s="2"/>
      <c r="D83" s="360" t="s">
        <v>55</v>
      </c>
      <c r="E83" s="360"/>
      <c r="F83" s="16" t="s">
        <v>500</v>
      </c>
      <c r="G83" s="16" t="s">
        <v>500</v>
      </c>
      <c r="H83" s="16" t="s">
        <v>500</v>
      </c>
      <c r="I83" s="16" t="s">
        <v>500</v>
      </c>
      <c r="J83" s="16" t="s">
        <v>500</v>
      </c>
      <c r="K83" s="16" t="s">
        <v>500</v>
      </c>
      <c r="L83" s="16" t="s">
        <v>500</v>
      </c>
      <c r="M83" s="16" t="s">
        <v>500</v>
      </c>
      <c r="O83" s="2"/>
      <c r="AE83" s="3" t="s">
        <v>55</v>
      </c>
      <c r="AF83" s="3">
        <v>9</v>
      </c>
      <c r="AG83" s="3">
        <f t="shared" si="0"/>
        <v>1</v>
      </c>
      <c r="AH83" s="3">
        <f>+IF(AG83=0,0,IF(AG83=1,(SUM($AG$75:AG83)-1),1))</f>
        <v>3</v>
      </c>
      <c r="AI83" s="3">
        <f t="shared" si="1"/>
        <v>0</v>
      </c>
      <c r="AJ83" s="3">
        <f t="shared" si="2"/>
        <v>0</v>
      </c>
      <c r="AK83" s="3">
        <f t="shared" si="3"/>
        <v>0</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4</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5</v>
      </c>
      <c r="AI85" s="3">
        <f t="shared" si="1"/>
        <v>0</v>
      </c>
      <c r="AJ85" s="3">
        <f t="shared" si="2"/>
        <v>0</v>
      </c>
      <c r="AK85" s="3">
        <f t="shared" si="3"/>
        <v>0</v>
      </c>
    </row>
    <row r="86" spans="2:37" x14ac:dyDescent="0.25">
      <c r="B86" s="2"/>
      <c r="D86" s="360" t="s">
        <v>58</v>
      </c>
      <c r="E86" s="360"/>
      <c r="F86" s="16" t="s">
        <v>500</v>
      </c>
      <c r="G86" s="16">
        <v>9.9000000000000005E-2</v>
      </c>
      <c r="H86" s="16">
        <v>0.1</v>
      </c>
      <c r="I86" s="16">
        <v>0.109</v>
      </c>
      <c r="J86" s="16">
        <v>0.11</v>
      </c>
      <c r="K86" s="16">
        <v>0.11899999999999999</v>
      </c>
      <c r="L86" s="16">
        <v>0.12</v>
      </c>
      <c r="M86" s="16" t="s">
        <v>500</v>
      </c>
      <c r="O86" s="2"/>
      <c r="AE86" s="3" t="s">
        <v>58</v>
      </c>
      <c r="AF86" s="65">
        <v>12</v>
      </c>
      <c r="AG86" s="3">
        <f t="shared" si="0"/>
        <v>1</v>
      </c>
      <c r="AH86" s="3">
        <f>+IF(AG86=0,0,IF(AG86=1,(SUM($AG$75:AG86)-1),1))</f>
        <v>6</v>
      </c>
      <c r="AI86" s="3">
        <f t="shared" si="1"/>
        <v>1</v>
      </c>
      <c r="AJ86" s="3">
        <f t="shared" si="2"/>
        <v>0</v>
      </c>
      <c r="AK86" s="3">
        <f t="shared" si="3"/>
        <v>1</v>
      </c>
    </row>
    <row r="87" spans="2:37" ht="3.75" customHeight="1" x14ac:dyDescent="0.25">
      <c r="B87" s="2"/>
      <c r="O87" s="2"/>
    </row>
    <row r="88" spans="2:37" ht="105.75" customHeight="1" x14ac:dyDescent="0.25">
      <c r="B88" s="2"/>
      <c r="D88" s="338" t="s">
        <v>59</v>
      </c>
      <c r="E88" s="339"/>
      <c r="F88" s="425" t="s">
        <v>1800</v>
      </c>
      <c r="G88" s="426"/>
      <c r="H88" s="426"/>
      <c r="I88" s="426"/>
      <c r="J88" s="426"/>
      <c r="K88" s="426"/>
      <c r="L88" s="426"/>
      <c r="M88" s="427"/>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2" customHeight="1" x14ac:dyDescent="0.25">
      <c r="B97" s="2"/>
      <c r="D97" s="359" t="s">
        <v>35</v>
      </c>
      <c r="E97" s="359"/>
      <c r="F97" s="344" t="s">
        <v>871</v>
      </c>
      <c r="G97" s="344"/>
      <c r="H97" s="344"/>
      <c r="I97" s="344"/>
      <c r="J97" s="344"/>
      <c r="K97" s="344"/>
      <c r="L97" s="344"/>
      <c r="M97" s="344"/>
      <c r="O97" s="2"/>
    </row>
    <row r="98" spans="2:15" ht="42" customHeight="1" x14ac:dyDescent="0.25">
      <c r="B98" s="2"/>
      <c r="D98" s="359" t="s">
        <v>36</v>
      </c>
      <c r="E98" s="359"/>
      <c r="F98" s="344" t="s">
        <v>871</v>
      </c>
      <c r="G98" s="344"/>
      <c r="H98" s="344"/>
      <c r="I98" s="344"/>
      <c r="J98" s="344"/>
      <c r="K98" s="344"/>
      <c r="L98" s="344"/>
      <c r="M98" s="344"/>
      <c r="O98" s="2"/>
    </row>
    <row r="99" spans="2:15" ht="3.95" customHeight="1" x14ac:dyDescent="0.25">
      <c r="B99" s="2"/>
      <c r="O99" s="2"/>
    </row>
    <row r="100" spans="2:15" ht="291.75" customHeight="1" x14ac:dyDescent="0.25">
      <c r="B100" s="2"/>
      <c r="D100" s="338" t="s">
        <v>62</v>
      </c>
      <c r="E100" s="339"/>
      <c r="F100" s="340" t="s">
        <v>1801</v>
      </c>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2</v>
      </c>
      <c r="K102" s="20"/>
      <c r="O102" s="2"/>
    </row>
    <row r="103" spans="2:15" ht="19.5" customHeight="1" x14ac:dyDescent="0.25">
      <c r="B103" s="2"/>
      <c r="D103" s="331"/>
      <c r="E103" s="332"/>
      <c r="F103" s="19" t="s">
        <v>66</v>
      </c>
      <c r="G103" s="4"/>
      <c r="K103" s="21"/>
      <c r="O103" s="2"/>
    </row>
    <row r="104" spans="2:15" ht="27.75" customHeight="1" x14ac:dyDescent="0.25">
      <c r="B104" s="2"/>
      <c r="D104" s="331"/>
      <c r="E104" s="332"/>
      <c r="F104" s="19" t="s">
        <v>67</v>
      </c>
      <c r="G104" s="333"/>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Subdirector(a) Responsabilidad penal</v>
      </c>
      <c r="H108" s="334"/>
      <c r="I108" s="334"/>
      <c r="J108" s="334"/>
      <c r="K108" s="334"/>
      <c r="L108" s="334"/>
      <c r="M108" s="335"/>
      <c r="O108" s="2"/>
    </row>
    <row r="109" spans="2:15" ht="17.25" customHeight="1" x14ac:dyDescent="0.25">
      <c r="B109" s="2"/>
      <c r="D109" s="331"/>
      <c r="E109" s="332"/>
      <c r="F109" s="19" t="s">
        <v>2042</v>
      </c>
      <c r="G109" s="333" t="str">
        <f>+IF(M23="Si","Coordinador(a) Planeación y Sistemas","")</f>
        <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134" priority="31">
      <formula>+IF($F$43="no",1,0)</formula>
    </cfRule>
  </conditionalFormatting>
  <conditionalFormatting sqref="F32:M33">
    <cfRule type="expression" dxfId="2133" priority="30">
      <formula>+IF($Q$30="NA",1,0)</formula>
    </cfRule>
  </conditionalFormatting>
  <conditionalFormatting sqref="F33:M33">
    <cfRule type="expression" dxfId="2132" priority="29">
      <formula>+IF($Q$33=0,1,0)</formula>
    </cfRule>
  </conditionalFormatting>
  <conditionalFormatting sqref="F47:M47">
    <cfRule type="expression" dxfId="2131" priority="28">
      <formula>+IF($Q$47=0,1,0)</formula>
    </cfRule>
  </conditionalFormatting>
  <conditionalFormatting sqref="F73:G73">
    <cfRule type="cellIs" dxfId="2130" priority="15" operator="equal">
      <formula>"optimo"</formula>
    </cfRule>
    <cfRule type="cellIs" dxfId="2129" priority="16" operator="equal">
      <formula>"critico"</formula>
    </cfRule>
  </conditionalFormatting>
  <conditionalFormatting sqref="H73:I73">
    <cfRule type="cellIs" dxfId="2128" priority="13" operator="equal">
      <formula>"Adecuado"</formula>
    </cfRule>
    <cfRule type="cellIs" dxfId="2127" priority="14" operator="equal">
      <formula>"en riesgo"</formula>
    </cfRule>
  </conditionalFormatting>
  <conditionalFormatting sqref="J73:K73">
    <cfRule type="cellIs" dxfId="2126" priority="11" operator="equal">
      <formula>"Adecuado"</formula>
    </cfRule>
    <cfRule type="cellIs" dxfId="2125" priority="12" operator="equal">
      <formula>"en riesgo"</formula>
    </cfRule>
  </conditionalFormatting>
  <conditionalFormatting sqref="L73:M73">
    <cfRule type="cellIs" dxfId="2124" priority="9" operator="equal">
      <formula>"optimo"</formula>
    </cfRule>
    <cfRule type="cellIs" dxfId="2123" priority="10" operator="equal">
      <formula>"critico"</formula>
    </cfRule>
  </conditionalFormatting>
  <conditionalFormatting sqref="F75:M86">
    <cfRule type="expression" dxfId="2122" priority="8">
      <formula>+IF($AK75=0,1)</formula>
    </cfRule>
  </conditionalFormatting>
  <conditionalFormatting sqref="F103:G104">
    <cfRule type="expression" dxfId="2121" priority="7">
      <formula>+IF($G$102="No",1,0)</formula>
    </cfRule>
  </conditionalFormatting>
  <conditionalFormatting sqref="F51">
    <cfRule type="expression" dxfId="2120" priority="6">
      <formula>+IF($F$43="no",1,0)</formula>
    </cfRule>
  </conditionalFormatting>
  <conditionalFormatting sqref="I51">
    <cfRule type="expression" dxfId="2119" priority="5">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9">
    <tabColor rgb="FF0070C0"/>
  </sheetPr>
  <dimension ref="B1:AV113"/>
  <sheetViews>
    <sheetView zoomScaleNormal="100" workbookViewId="0">
      <selection activeCell="P1" sqref="P1"/>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252</v>
      </c>
      <c r="O10" s="2"/>
    </row>
    <row r="11" spans="2:24" ht="3.95" customHeight="1" x14ac:dyDescent="0.25">
      <c r="B11" s="2"/>
      <c r="D11" s="6"/>
      <c r="O11" s="2"/>
    </row>
    <row r="12" spans="2:24" ht="36" customHeight="1" x14ac:dyDescent="0.25">
      <c r="B12" s="2"/>
      <c r="D12" s="338" t="s">
        <v>5</v>
      </c>
      <c r="E12" s="339"/>
      <c r="F12" s="340" t="s">
        <v>253</v>
      </c>
      <c r="G12" s="341"/>
      <c r="H12" s="341"/>
      <c r="I12" s="341"/>
      <c r="J12" s="341"/>
      <c r="K12" s="341"/>
      <c r="L12" s="341"/>
      <c r="M12" s="342"/>
      <c r="O12" s="2"/>
      <c r="W12" s="3" t="str">
        <f>+F23</f>
        <v>Trimestral</v>
      </c>
      <c r="X12" s="3" t="str">
        <f>+F71</f>
        <v>Marzo</v>
      </c>
    </row>
    <row r="13" spans="2:24" ht="3.95" customHeight="1" x14ac:dyDescent="0.25">
      <c r="B13" s="2"/>
      <c r="O13" s="2"/>
    </row>
    <row r="14" spans="2:24" ht="38.25" customHeight="1" x14ac:dyDescent="0.25">
      <c r="B14" s="2"/>
      <c r="D14" s="338" t="s">
        <v>6</v>
      </c>
      <c r="E14" s="339"/>
      <c r="F14" s="340" t="s">
        <v>875</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17" t="s">
        <v>512</v>
      </c>
      <c r="G22" s="337" t="s">
        <v>9</v>
      </c>
      <c r="H22" s="337"/>
      <c r="I22" s="17">
        <v>0.25</v>
      </c>
      <c r="K22" s="337" t="s">
        <v>10</v>
      </c>
      <c r="L22" s="337"/>
      <c r="M22" s="9" t="s">
        <v>496</v>
      </c>
      <c r="O22" s="2"/>
    </row>
    <row r="23" spans="2:17" ht="19.5" customHeight="1" x14ac:dyDescent="0.25">
      <c r="B23" s="2"/>
      <c r="D23" s="337" t="s">
        <v>11</v>
      </c>
      <c r="E23" s="337"/>
      <c r="F23" s="4" t="s">
        <v>71</v>
      </c>
      <c r="G23" s="337" t="s">
        <v>12</v>
      </c>
      <c r="H23" s="337"/>
      <c r="I23" s="4" t="s">
        <v>497</v>
      </c>
      <c r="K23" s="337" t="s">
        <v>13</v>
      </c>
      <c r="L23" s="337"/>
      <c r="M23" s="9" t="s">
        <v>496</v>
      </c>
      <c r="O23" s="2"/>
    </row>
    <row r="24" spans="2:17" ht="20.100000000000001" customHeight="1" x14ac:dyDescent="0.25">
      <c r="B24" s="2"/>
      <c r="D24" s="337" t="s">
        <v>14</v>
      </c>
      <c r="E24" s="337"/>
      <c r="F24" s="4" t="s">
        <v>498</v>
      </c>
      <c r="G24" s="337" t="s">
        <v>15</v>
      </c>
      <c r="H24" s="337"/>
      <c r="I24" s="4" t="s">
        <v>533</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716</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proteccion</v>
      </c>
    </row>
    <row r="31" spans="2:17" ht="24" customHeight="1" x14ac:dyDescent="0.25">
      <c r="B31" s="2"/>
      <c r="D31" s="347"/>
      <c r="E31" s="348"/>
      <c r="F31" s="4" t="s">
        <v>202</v>
      </c>
      <c r="G31" s="340" t="s">
        <v>203</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873</v>
      </c>
      <c r="G33" s="340" t="s">
        <v>742</v>
      </c>
      <c r="H33" s="341"/>
      <c r="I33" s="341"/>
      <c r="J33" s="341"/>
      <c r="K33" s="341"/>
      <c r="L33" s="341"/>
      <c r="M33" s="342"/>
      <c r="O33" s="2"/>
      <c r="Q33" s="3">
        <f>+IFERROR(IF(VLOOKUP(G33,base!$A$26:$C$40,3,FALSE)=F31,1,0),"")</f>
        <v>1</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1715</v>
      </c>
      <c r="G35" s="340" t="s">
        <v>1591</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501</v>
      </c>
      <c r="G45" s="340" t="s">
        <v>515</v>
      </c>
      <c r="H45" s="341"/>
      <c r="I45" s="341"/>
      <c r="J45" s="341"/>
      <c r="K45" s="341"/>
      <c r="L45" s="341"/>
      <c r="M45" s="342"/>
      <c r="O45" s="2"/>
      <c r="Q45" s="3" t="str">
        <f>+IFERROR(VLOOKUP(G45,base!$A$41:$C$45,3,FALSE),"")</f>
        <v>misional</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503</v>
      </c>
      <c r="G47" s="340" t="s">
        <v>504</v>
      </c>
      <c r="H47" s="341"/>
      <c r="I47" s="341"/>
      <c r="J47" s="341"/>
      <c r="K47" s="341"/>
      <c r="L47" s="341"/>
      <c r="M47" s="342"/>
      <c r="O47" s="2"/>
      <c r="Q47" s="3">
        <f>+IF(VLOOKUP(G47,base!$A$46:$C$66,3,FALSE)=F45,1,0)</f>
        <v>1</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786</v>
      </c>
      <c r="G49" s="340" t="s">
        <v>717</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496</v>
      </c>
      <c r="G51" s="337" t="s">
        <v>32</v>
      </c>
      <c r="H51" s="337"/>
      <c r="I51" s="17">
        <v>1</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37" t="s">
        <v>34</v>
      </c>
      <c r="E59" s="337"/>
      <c r="F59" s="344" t="s">
        <v>876</v>
      </c>
      <c r="G59" s="344"/>
      <c r="H59" s="344"/>
      <c r="I59" s="344"/>
      <c r="J59" s="344"/>
      <c r="K59" s="344"/>
      <c r="L59" s="344"/>
      <c r="M59" s="344"/>
      <c r="O59" s="2"/>
    </row>
    <row r="60" spans="2:15" ht="38.25" customHeight="1" x14ac:dyDescent="0.25">
      <c r="B60" s="2"/>
      <c r="D60" s="359" t="s">
        <v>35</v>
      </c>
      <c r="E60" s="359"/>
      <c r="F60" s="344" t="s">
        <v>877</v>
      </c>
      <c r="G60" s="344"/>
      <c r="H60" s="344"/>
      <c r="I60" s="344"/>
      <c r="J60" s="344"/>
      <c r="K60" s="344"/>
      <c r="L60" s="344"/>
      <c r="M60" s="344"/>
      <c r="O60" s="2"/>
    </row>
    <row r="61" spans="2:15" ht="32.25" customHeight="1" x14ac:dyDescent="0.25">
      <c r="B61" s="2"/>
      <c r="D61" s="359" t="s">
        <v>36</v>
      </c>
      <c r="E61" s="359"/>
      <c r="F61" s="344" t="s">
        <v>878</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43" t="s">
        <v>39</v>
      </c>
      <c r="E71" s="343"/>
      <c r="F71" s="4" t="s">
        <v>47</v>
      </c>
      <c r="G71" s="3">
        <v>3</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v>3.9E-2</v>
      </c>
      <c r="H77" s="16">
        <v>0.04</v>
      </c>
      <c r="I77" s="16">
        <v>6.9000000000000006E-2</v>
      </c>
      <c r="J77" s="16">
        <v>7.0000000000000007E-2</v>
      </c>
      <c r="K77" s="16">
        <v>9.9000000000000005E-2</v>
      </c>
      <c r="L77" s="16">
        <v>0.1</v>
      </c>
      <c r="M77" s="16" t="s">
        <v>500</v>
      </c>
      <c r="O77" s="2"/>
      <c r="AE77" s="3" t="s">
        <v>47</v>
      </c>
      <c r="AF77" s="3">
        <v>3</v>
      </c>
      <c r="AG77" s="3">
        <f t="shared" si="0"/>
        <v>1</v>
      </c>
      <c r="AH77" s="3">
        <f>+IF(AG77=0,0,IF(AG77=1,(SUM($AG$75:AG77)-1),1))</f>
        <v>0</v>
      </c>
      <c r="AI77" s="3">
        <f t="shared" si="1"/>
        <v>0</v>
      </c>
      <c r="AJ77" s="3">
        <f t="shared" si="2"/>
        <v>1</v>
      </c>
      <c r="AK77" s="3">
        <f t="shared" si="3"/>
        <v>1</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2</v>
      </c>
      <c r="AI79" s="3">
        <f t="shared" si="1"/>
        <v>0</v>
      </c>
      <c r="AJ79" s="3">
        <f t="shared" si="2"/>
        <v>0</v>
      </c>
      <c r="AK79" s="3">
        <f t="shared" si="3"/>
        <v>0</v>
      </c>
    </row>
    <row r="80" spans="2:37" x14ac:dyDescent="0.25">
      <c r="B80" s="2"/>
      <c r="D80" s="360" t="s">
        <v>50</v>
      </c>
      <c r="E80" s="360"/>
      <c r="F80" s="16" t="s">
        <v>500</v>
      </c>
      <c r="G80" s="16">
        <v>8.8999999999999996E-2</v>
      </c>
      <c r="H80" s="16">
        <v>0.09</v>
      </c>
      <c r="I80" s="16">
        <v>0.11899999999999999</v>
      </c>
      <c r="J80" s="16">
        <v>0.12</v>
      </c>
      <c r="K80" s="16">
        <v>0.14899999999999999</v>
      </c>
      <c r="L80" s="16">
        <v>0.15</v>
      </c>
      <c r="M80" s="16" t="s">
        <v>500</v>
      </c>
      <c r="O80" s="2"/>
      <c r="AE80" s="3" t="s">
        <v>50</v>
      </c>
      <c r="AF80" s="3">
        <v>6</v>
      </c>
      <c r="AG80" s="3">
        <f t="shared" si="0"/>
        <v>1</v>
      </c>
      <c r="AH80" s="3">
        <f>+IF(AG80=0,0,IF(AG80=1,(SUM($AG$75:AG80)-1),1))</f>
        <v>3</v>
      </c>
      <c r="AI80" s="3">
        <f t="shared" si="1"/>
        <v>1</v>
      </c>
      <c r="AJ80" s="3">
        <f t="shared" si="2"/>
        <v>0</v>
      </c>
      <c r="AK80" s="3">
        <f t="shared" si="3"/>
        <v>1</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4</v>
      </c>
      <c r="AI81" s="3">
        <f t="shared" si="1"/>
        <v>0</v>
      </c>
      <c r="AJ81" s="3">
        <f t="shared" si="2"/>
        <v>0</v>
      </c>
      <c r="AK81" s="3">
        <f t="shared" si="3"/>
        <v>0</v>
      </c>
    </row>
    <row r="82" spans="2:37" x14ac:dyDescent="0.25">
      <c r="B82" s="2"/>
      <c r="D82" s="360" t="s">
        <v>54</v>
      </c>
      <c r="E82" s="360"/>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60" t="s">
        <v>55</v>
      </c>
      <c r="E83" s="360"/>
      <c r="F83" s="16" t="s">
        <v>500</v>
      </c>
      <c r="G83" s="16">
        <v>0.13900000000000001</v>
      </c>
      <c r="H83" s="16">
        <v>0.14000000000000001</v>
      </c>
      <c r="I83" s="16">
        <v>0.16900000000000001</v>
      </c>
      <c r="J83" s="16">
        <v>0.17</v>
      </c>
      <c r="K83" s="16">
        <v>0.19900000000000001</v>
      </c>
      <c r="L83" s="16">
        <v>0.2</v>
      </c>
      <c r="M83" s="16" t="s">
        <v>500</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60" t="s">
        <v>58</v>
      </c>
      <c r="E86" s="360"/>
      <c r="F86" s="16" t="s">
        <v>500</v>
      </c>
      <c r="G86" s="16">
        <v>0.189</v>
      </c>
      <c r="H86" s="16">
        <v>0.19</v>
      </c>
      <c r="I86" s="16">
        <v>0.219</v>
      </c>
      <c r="J86" s="16">
        <v>0.22</v>
      </c>
      <c r="K86" s="16">
        <v>0.249</v>
      </c>
      <c r="L86" s="16">
        <v>0.25</v>
      </c>
      <c r="M86" s="16" t="s">
        <v>500</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75.75" customHeight="1" x14ac:dyDescent="0.25">
      <c r="B88" s="2"/>
      <c r="D88" s="338" t="s">
        <v>59</v>
      </c>
      <c r="E88" s="339"/>
      <c r="F88" s="425" t="s">
        <v>1803</v>
      </c>
      <c r="G88" s="426"/>
      <c r="H88" s="426"/>
      <c r="I88" s="426"/>
      <c r="J88" s="426"/>
      <c r="K88" s="426"/>
      <c r="L88" s="426"/>
      <c r="M88" s="427"/>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2" customHeight="1" x14ac:dyDescent="0.25">
      <c r="B97" s="2"/>
      <c r="D97" s="359" t="s">
        <v>35</v>
      </c>
      <c r="E97" s="359"/>
      <c r="F97" s="344" t="s">
        <v>2156</v>
      </c>
      <c r="G97" s="344"/>
      <c r="H97" s="344"/>
      <c r="I97" s="344"/>
      <c r="J97" s="344"/>
      <c r="K97" s="344"/>
      <c r="L97" s="344"/>
      <c r="M97" s="344"/>
      <c r="O97" s="2"/>
    </row>
    <row r="98" spans="2:15" ht="42" customHeight="1" x14ac:dyDescent="0.25">
      <c r="B98" s="2"/>
      <c r="D98" s="359" t="s">
        <v>36</v>
      </c>
      <c r="E98" s="359"/>
      <c r="F98" s="344" t="s">
        <v>2156</v>
      </c>
      <c r="G98" s="344"/>
      <c r="H98" s="344"/>
      <c r="I98" s="344"/>
      <c r="J98" s="344"/>
      <c r="K98" s="344"/>
      <c r="L98" s="344"/>
      <c r="M98" s="344"/>
      <c r="O98" s="2"/>
    </row>
    <row r="99" spans="2:15" ht="3.95" customHeight="1" x14ac:dyDescent="0.25">
      <c r="B99" s="2"/>
      <c r="O99" s="2"/>
    </row>
    <row r="100" spans="2:15" ht="160.5" customHeight="1" x14ac:dyDescent="0.25">
      <c r="B100" s="2"/>
      <c r="D100" s="338" t="s">
        <v>62</v>
      </c>
      <c r="E100" s="339"/>
      <c r="F100" s="340" t="s">
        <v>1804</v>
      </c>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2</v>
      </c>
      <c r="K102" s="20"/>
      <c r="O102" s="2"/>
    </row>
    <row r="103" spans="2:15" ht="19.5" customHeight="1" x14ac:dyDescent="0.25">
      <c r="B103" s="2"/>
      <c r="D103" s="331"/>
      <c r="E103" s="332"/>
      <c r="F103" s="19" t="s">
        <v>66</v>
      </c>
      <c r="G103" s="4"/>
      <c r="K103" s="21"/>
      <c r="O103" s="2"/>
    </row>
    <row r="104" spans="2:15" ht="27.75" customHeight="1" x14ac:dyDescent="0.25">
      <c r="B104" s="2"/>
      <c r="D104" s="331"/>
      <c r="E104" s="332"/>
      <c r="F104" s="19" t="s">
        <v>67</v>
      </c>
      <c r="G104" s="333"/>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1805</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Subdirector(a) Responsabilidad penal</v>
      </c>
      <c r="H108" s="334"/>
      <c r="I108" s="334"/>
      <c r="J108" s="334"/>
      <c r="K108" s="334"/>
      <c r="L108" s="334"/>
      <c r="M108" s="335"/>
      <c r="O108" s="2"/>
    </row>
    <row r="109" spans="2:15" ht="17.25" customHeight="1" x14ac:dyDescent="0.25">
      <c r="B109" s="2"/>
      <c r="D109" s="331"/>
      <c r="E109" s="332"/>
      <c r="F109" s="19" t="s">
        <v>2042</v>
      </c>
      <c r="G109" s="333" t="str">
        <f>+IF(M23="Si","Coordinador(a) Planeación y Sistemas","")</f>
        <v>Coordinador(a) Planeación y Sistemas</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118" priority="31">
      <formula>+IF($F$43="no",1,0)</formula>
    </cfRule>
  </conditionalFormatting>
  <conditionalFormatting sqref="F32:M33">
    <cfRule type="expression" dxfId="2117" priority="30">
      <formula>+IF($Q$30="NA",1,0)</formula>
    </cfRule>
  </conditionalFormatting>
  <conditionalFormatting sqref="F33:M33">
    <cfRule type="expression" dxfId="2116" priority="29">
      <formula>+IF($Q$33=0,1,0)</formula>
    </cfRule>
  </conditionalFormatting>
  <conditionalFormatting sqref="F47:M47">
    <cfRule type="expression" dxfId="2115" priority="28">
      <formula>+IF($Q$47=0,1,0)</formula>
    </cfRule>
  </conditionalFormatting>
  <conditionalFormatting sqref="F73:G73">
    <cfRule type="cellIs" dxfId="2114" priority="14" operator="equal">
      <formula>"optimo"</formula>
    </cfRule>
    <cfRule type="cellIs" dxfId="2113" priority="15" operator="equal">
      <formula>"critico"</formula>
    </cfRule>
  </conditionalFormatting>
  <conditionalFormatting sqref="H73:I73">
    <cfRule type="cellIs" dxfId="2112" priority="12" operator="equal">
      <formula>"Adecuado"</formula>
    </cfRule>
    <cfRule type="cellIs" dxfId="2111" priority="13" operator="equal">
      <formula>"en riesgo"</formula>
    </cfRule>
  </conditionalFormatting>
  <conditionalFormatting sqref="J73:K73">
    <cfRule type="cellIs" dxfId="2110" priority="10" operator="equal">
      <formula>"Adecuado"</formula>
    </cfRule>
    <cfRule type="cellIs" dxfId="2109" priority="11" operator="equal">
      <formula>"en riesgo"</formula>
    </cfRule>
  </conditionalFormatting>
  <conditionalFormatting sqref="L73:M73">
    <cfRule type="cellIs" dxfId="2108" priority="8" operator="equal">
      <formula>"optimo"</formula>
    </cfRule>
    <cfRule type="cellIs" dxfId="2107" priority="9" operator="equal">
      <formula>"critico"</formula>
    </cfRule>
  </conditionalFormatting>
  <conditionalFormatting sqref="F75:M86">
    <cfRule type="expression" dxfId="2106" priority="7">
      <formula>+IF($AK75=0,1)</formula>
    </cfRule>
  </conditionalFormatting>
  <conditionalFormatting sqref="F103:G104">
    <cfRule type="expression" dxfId="2105" priority="6">
      <formula>+IF($G$102="No",1,0)</formula>
    </cfRule>
  </conditionalFormatting>
  <conditionalFormatting sqref="F51">
    <cfRule type="expression" dxfId="2104" priority="5">
      <formula>+IF($F$43="no",1,0)</formula>
    </cfRule>
  </conditionalFormatting>
  <conditionalFormatting sqref="I51">
    <cfRule type="expression" dxfId="2103"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0">
    <tabColor rgb="FF0070C0"/>
  </sheetPr>
  <dimension ref="B1:AV113"/>
  <sheetViews>
    <sheetView zoomScaleNormal="100" workbookViewId="0">
      <selection activeCell="P1" sqref="P1"/>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254</v>
      </c>
      <c r="O10" s="2"/>
    </row>
    <row r="11" spans="2:24" ht="3.95" customHeight="1" x14ac:dyDescent="0.25">
      <c r="B11" s="2"/>
      <c r="D11" s="6"/>
      <c r="O11" s="2"/>
    </row>
    <row r="12" spans="2:24" ht="36" customHeight="1" x14ac:dyDescent="0.25">
      <c r="B12" s="2"/>
      <c r="D12" s="338" t="s">
        <v>5</v>
      </c>
      <c r="E12" s="339"/>
      <c r="F12" s="340" t="s">
        <v>2157</v>
      </c>
      <c r="G12" s="341"/>
      <c r="H12" s="341"/>
      <c r="I12" s="341"/>
      <c r="J12" s="341"/>
      <c r="K12" s="341"/>
      <c r="L12" s="341"/>
      <c r="M12" s="342"/>
      <c r="O12" s="2"/>
      <c r="W12" s="3" t="str">
        <f>+F23</f>
        <v>Trimestral</v>
      </c>
      <c r="X12" s="3" t="str">
        <f>+F71</f>
        <v>Marzo</v>
      </c>
    </row>
    <row r="13" spans="2:24" ht="3.95" customHeight="1" x14ac:dyDescent="0.25">
      <c r="B13" s="2"/>
      <c r="O13" s="2"/>
    </row>
    <row r="14" spans="2:24" ht="38.25" customHeight="1" x14ac:dyDescent="0.25">
      <c r="B14" s="2"/>
      <c r="D14" s="338" t="s">
        <v>6</v>
      </c>
      <c r="E14" s="339"/>
      <c r="F14" s="340" t="s">
        <v>1806</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17">
        <v>0.25</v>
      </c>
      <c r="G22" s="337" t="s">
        <v>9</v>
      </c>
      <c r="H22" s="337"/>
      <c r="I22" s="17">
        <v>0.5</v>
      </c>
      <c r="K22" s="337" t="s">
        <v>10</v>
      </c>
      <c r="L22" s="337"/>
      <c r="M22" s="9" t="s">
        <v>496</v>
      </c>
      <c r="O22" s="2"/>
    </row>
    <row r="23" spans="2:17" ht="19.5" customHeight="1" x14ac:dyDescent="0.25">
      <c r="B23" s="2"/>
      <c r="D23" s="337" t="s">
        <v>11</v>
      </c>
      <c r="E23" s="337"/>
      <c r="F23" s="4" t="s">
        <v>71</v>
      </c>
      <c r="G23" s="337" t="s">
        <v>12</v>
      </c>
      <c r="H23" s="337"/>
      <c r="I23" s="4" t="s">
        <v>497</v>
      </c>
      <c r="K23" s="337" t="s">
        <v>13</v>
      </c>
      <c r="L23" s="337"/>
      <c r="M23" s="9" t="s">
        <v>2</v>
      </c>
      <c r="O23" s="2"/>
    </row>
    <row r="24" spans="2:17" ht="20.100000000000001" customHeight="1" x14ac:dyDescent="0.25">
      <c r="B24" s="2"/>
      <c r="D24" s="337" t="s">
        <v>14</v>
      </c>
      <c r="E24" s="337"/>
      <c r="F24" s="4" t="s">
        <v>498</v>
      </c>
      <c r="G24" s="337" t="s">
        <v>15</v>
      </c>
      <c r="H24" s="337"/>
      <c r="I24" s="4" t="s">
        <v>533</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716</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proteccion</v>
      </c>
    </row>
    <row r="31" spans="2:17" ht="24" customHeight="1" x14ac:dyDescent="0.25">
      <c r="B31" s="2"/>
      <c r="D31" s="347"/>
      <c r="E31" s="348"/>
      <c r="F31" s="4" t="s">
        <v>202</v>
      </c>
      <c r="G31" s="340" t="s">
        <v>203</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873</v>
      </c>
      <c r="G33" s="340" t="s">
        <v>742</v>
      </c>
      <c r="H33" s="341"/>
      <c r="I33" s="341"/>
      <c r="J33" s="341"/>
      <c r="K33" s="341"/>
      <c r="L33" s="341"/>
      <c r="M33" s="342"/>
      <c r="O33" s="2"/>
      <c r="Q33" s="3">
        <f>+IFERROR(IF(VLOOKUP(G33,base!$A$26:$C$40,3,FALSE)=F31,1,0),"")</f>
        <v>1</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1715</v>
      </c>
      <c r="G35" s="340" t="s">
        <v>1591</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501</v>
      </c>
      <c r="G45" s="340" t="s">
        <v>515</v>
      </c>
      <c r="H45" s="341"/>
      <c r="I45" s="341"/>
      <c r="J45" s="341"/>
      <c r="K45" s="341"/>
      <c r="L45" s="341"/>
      <c r="M45" s="342"/>
      <c r="O45" s="2"/>
      <c r="Q45" s="3" t="str">
        <f>+IFERROR(VLOOKUP(G45,base!$A$41:$C$45,3,FALSE),"")</f>
        <v>misional</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503</v>
      </c>
      <c r="G47" s="340" t="s">
        <v>504</v>
      </c>
      <c r="H47" s="341"/>
      <c r="I47" s="341"/>
      <c r="J47" s="341"/>
      <c r="K47" s="341"/>
      <c r="L47" s="341"/>
      <c r="M47" s="342"/>
      <c r="O47" s="2"/>
      <c r="Q47" s="3">
        <f>+IF(VLOOKUP(G47,base!$A$46:$C$66,3,FALSE)=F45,1,0)</f>
        <v>1</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786</v>
      </c>
      <c r="G49" s="340" t="s">
        <v>717</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496</v>
      </c>
      <c r="G51" s="337" t="s">
        <v>32</v>
      </c>
      <c r="H51" s="337"/>
      <c r="I51" s="17">
        <v>1</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 customHeight="1" x14ac:dyDescent="0.25">
      <c r="B59" s="2"/>
      <c r="D59" s="337" t="s">
        <v>34</v>
      </c>
      <c r="E59" s="337"/>
      <c r="F59" s="344" t="s">
        <v>1808</v>
      </c>
      <c r="G59" s="344"/>
      <c r="H59" s="344"/>
      <c r="I59" s="344"/>
      <c r="J59" s="344"/>
      <c r="K59" s="344"/>
      <c r="L59" s="344"/>
      <c r="M59" s="344"/>
      <c r="O59" s="2"/>
    </row>
    <row r="60" spans="2:15" ht="27.75" customHeight="1" x14ac:dyDescent="0.25">
      <c r="B60" s="2"/>
      <c r="D60" s="359" t="s">
        <v>35</v>
      </c>
      <c r="E60" s="359"/>
      <c r="F60" s="344" t="s">
        <v>1809</v>
      </c>
      <c r="G60" s="344"/>
      <c r="H60" s="344"/>
      <c r="I60" s="344"/>
      <c r="J60" s="344"/>
      <c r="K60" s="344"/>
      <c r="L60" s="344"/>
      <c r="M60" s="344"/>
      <c r="O60" s="2"/>
    </row>
    <row r="61" spans="2:15" ht="27.75" customHeight="1" x14ac:dyDescent="0.25">
      <c r="B61" s="2"/>
      <c r="D61" s="359" t="s">
        <v>36</v>
      </c>
      <c r="E61" s="359"/>
      <c r="F61" s="344" t="s">
        <v>1807</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43" t="s">
        <v>39</v>
      </c>
      <c r="E71" s="343"/>
      <c r="F71" s="4" t="s">
        <v>47</v>
      </c>
      <c r="G71" s="3">
        <v>3</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v>0.25900000000000001</v>
      </c>
      <c r="H77" s="16">
        <v>0.26</v>
      </c>
      <c r="I77" s="16">
        <v>0.27900000000000003</v>
      </c>
      <c r="J77" s="16">
        <v>0.28000000000000003</v>
      </c>
      <c r="K77" s="16">
        <v>0.29899999999999999</v>
      </c>
      <c r="L77" s="16">
        <v>0.3</v>
      </c>
      <c r="M77" s="16" t="s">
        <v>500</v>
      </c>
      <c r="O77" s="2"/>
      <c r="AE77" s="3" t="s">
        <v>47</v>
      </c>
      <c r="AF77" s="3">
        <v>3</v>
      </c>
      <c r="AG77" s="3">
        <f t="shared" si="0"/>
        <v>1</v>
      </c>
      <c r="AH77" s="3">
        <f>+IF(AG77=0,0,IF(AG77=1,(SUM($AG$75:AG77)-1),1))</f>
        <v>0</v>
      </c>
      <c r="AI77" s="3">
        <f t="shared" si="1"/>
        <v>0</v>
      </c>
      <c r="AJ77" s="3">
        <f t="shared" si="2"/>
        <v>1</v>
      </c>
      <c r="AK77" s="3">
        <f t="shared" si="3"/>
        <v>1</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2</v>
      </c>
      <c r="AI79" s="3">
        <f t="shared" si="1"/>
        <v>0</v>
      </c>
      <c r="AJ79" s="3">
        <f t="shared" si="2"/>
        <v>0</v>
      </c>
      <c r="AK79" s="3">
        <f t="shared" si="3"/>
        <v>0</v>
      </c>
    </row>
    <row r="80" spans="2:37" x14ac:dyDescent="0.25">
      <c r="B80" s="2"/>
      <c r="D80" s="360" t="s">
        <v>50</v>
      </c>
      <c r="E80" s="360"/>
      <c r="F80" s="16" t="s">
        <v>500</v>
      </c>
      <c r="G80" s="16">
        <v>0.32900000000000001</v>
      </c>
      <c r="H80" s="16">
        <v>0.33</v>
      </c>
      <c r="I80" s="16">
        <v>0.34899999999999998</v>
      </c>
      <c r="J80" s="16">
        <v>0.35</v>
      </c>
      <c r="K80" s="16">
        <v>0.36899999999999999</v>
      </c>
      <c r="L80" s="16">
        <v>0.37</v>
      </c>
      <c r="M80" s="16" t="s">
        <v>500</v>
      </c>
      <c r="O80" s="2"/>
      <c r="AE80" s="3" t="s">
        <v>50</v>
      </c>
      <c r="AF80" s="3">
        <v>6</v>
      </c>
      <c r="AG80" s="3">
        <f t="shared" si="0"/>
        <v>1</v>
      </c>
      <c r="AH80" s="3">
        <f>+IF(AG80=0,0,IF(AG80=1,(SUM($AG$75:AG80)-1),1))</f>
        <v>3</v>
      </c>
      <c r="AI80" s="3">
        <f t="shared" si="1"/>
        <v>1</v>
      </c>
      <c r="AJ80" s="3">
        <f t="shared" si="2"/>
        <v>0</v>
      </c>
      <c r="AK80" s="3">
        <f t="shared" si="3"/>
        <v>1</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4</v>
      </c>
      <c r="AI81" s="3">
        <f t="shared" si="1"/>
        <v>0</v>
      </c>
      <c r="AJ81" s="3">
        <f t="shared" si="2"/>
        <v>0</v>
      </c>
      <c r="AK81" s="3">
        <f t="shared" si="3"/>
        <v>0</v>
      </c>
    </row>
    <row r="82" spans="2:37" x14ac:dyDescent="0.25">
      <c r="B82" s="2"/>
      <c r="D82" s="360" t="s">
        <v>54</v>
      </c>
      <c r="E82" s="360"/>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60" t="s">
        <v>55</v>
      </c>
      <c r="E83" s="360"/>
      <c r="F83" s="16" t="s">
        <v>500</v>
      </c>
      <c r="G83" s="16">
        <v>0.38900000000000001</v>
      </c>
      <c r="H83" s="16">
        <v>0.39</v>
      </c>
      <c r="I83" s="16">
        <v>0.40899999999999997</v>
      </c>
      <c r="J83" s="16">
        <v>0.41</v>
      </c>
      <c r="K83" s="16">
        <v>0.42899999999999999</v>
      </c>
      <c r="L83" s="16">
        <v>0.43</v>
      </c>
      <c r="M83" s="16" t="s">
        <v>500</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60" t="s">
        <v>58</v>
      </c>
      <c r="E86" s="360"/>
      <c r="F86" s="16" t="s">
        <v>500</v>
      </c>
      <c r="G86" s="16">
        <v>0.44900000000000001</v>
      </c>
      <c r="H86" s="16">
        <v>0.45</v>
      </c>
      <c r="I86" s="16">
        <v>0.46899999999999997</v>
      </c>
      <c r="J86" s="16">
        <v>0.47</v>
      </c>
      <c r="K86" s="16">
        <v>0.499</v>
      </c>
      <c r="L86" s="16">
        <v>0.5</v>
      </c>
      <c r="M86" s="16" t="s">
        <v>500</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197.25" customHeight="1" x14ac:dyDescent="0.25">
      <c r="B88" s="2"/>
      <c r="D88" s="338" t="s">
        <v>59</v>
      </c>
      <c r="E88" s="339"/>
      <c r="F88" s="425" t="s">
        <v>2160</v>
      </c>
      <c r="G88" s="426"/>
      <c r="H88" s="426"/>
      <c r="I88" s="426"/>
      <c r="J88" s="426"/>
      <c r="K88" s="426"/>
      <c r="L88" s="426"/>
      <c r="M88" s="427"/>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2" customHeight="1" x14ac:dyDescent="0.25">
      <c r="B97" s="2"/>
      <c r="D97" s="359" t="s">
        <v>35</v>
      </c>
      <c r="E97" s="359"/>
      <c r="F97" s="344" t="s">
        <v>1810</v>
      </c>
      <c r="G97" s="344"/>
      <c r="H97" s="344"/>
      <c r="I97" s="344"/>
      <c r="J97" s="344"/>
      <c r="K97" s="344"/>
      <c r="L97" s="344"/>
      <c r="M97" s="344"/>
      <c r="O97" s="2"/>
    </row>
    <row r="98" spans="2:15" ht="42" customHeight="1" x14ac:dyDescent="0.25">
      <c r="B98" s="2"/>
      <c r="D98" s="359" t="s">
        <v>36</v>
      </c>
      <c r="E98" s="359"/>
      <c r="F98" s="344" t="s">
        <v>1810</v>
      </c>
      <c r="G98" s="344"/>
      <c r="H98" s="344"/>
      <c r="I98" s="344"/>
      <c r="J98" s="344"/>
      <c r="K98" s="344"/>
      <c r="L98" s="344"/>
      <c r="M98" s="344"/>
      <c r="O98" s="2"/>
    </row>
    <row r="99" spans="2:15" ht="3.95" customHeight="1" x14ac:dyDescent="0.25">
      <c r="B99" s="2"/>
      <c r="O99" s="2"/>
    </row>
    <row r="100" spans="2:15" ht="222.75" customHeight="1" x14ac:dyDescent="0.25">
      <c r="B100" s="2"/>
      <c r="D100" s="338" t="s">
        <v>62</v>
      </c>
      <c r="E100" s="339"/>
      <c r="F100" s="340" t="s">
        <v>1811</v>
      </c>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2</v>
      </c>
      <c r="K102" s="20"/>
      <c r="O102" s="2"/>
    </row>
    <row r="103" spans="2:15" ht="19.5" customHeight="1" x14ac:dyDescent="0.25">
      <c r="B103" s="2"/>
      <c r="D103" s="331"/>
      <c r="E103" s="332"/>
      <c r="F103" s="19" t="s">
        <v>66</v>
      </c>
      <c r="G103" s="4"/>
      <c r="K103" s="21"/>
      <c r="O103" s="2"/>
    </row>
    <row r="104" spans="2:15" ht="27.75" customHeight="1" x14ac:dyDescent="0.25">
      <c r="B104" s="2"/>
      <c r="D104" s="331"/>
      <c r="E104" s="332"/>
      <c r="F104" s="19" t="s">
        <v>67</v>
      </c>
      <c r="G104" s="333"/>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1805</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Subdirector(a) Responsabilidad penal</v>
      </c>
      <c r="H108" s="334"/>
      <c r="I108" s="334"/>
      <c r="J108" s="334"/>
      <c r="K108" s="334"/>
      <c r="L108" s="334"/>
      <c r="M108" s="335"/>
      <c r="O108" s="2"/>
    </row>
    <row r="109" spans="2:15" ht="17.25" customHeight="1" x14ac:dyDescent="0.25">
      <c r="B109" s="2"/>
      <c r="D109" s="331"/>
      <c r="E109" s="332"/>
      <c r="F109" s="19" t="s">
        <v>2042</v>
      </c>
      <c r="G109" s="333" t="str">
        <f>+IF(M23="Si","Coordinador(a) Planeación y Sistemas","")</f>
        <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102" priority="31">
      <formula>+IF($F$43="no",1,0)</formula>
    </cfRule>
  </conditionalFormatting>
  <conditionalFormatting sqref="F32:M33">
    <cfRule type="expression" dxfId="2101" priority="30">
      <formula>+IF($Q$30="NA",1,0)</formula>
    </cfRule>
  </conditionalFormatting>
  <conditionalFormatting sqref="F33:M33">
    <cfRule type="expression" dxfId="2100" priority="29">
      <formula>+IF($Q$33=0,1,0)</formula>
    </cfRule>
  </conditionalFormatting>
  <conditionalFormatting sqref="F47:M47">
    <cfRule type="expression" dxfId="2099" priority="28">
      <formula>+IF($Q$47=0,1,0)</formula>
    </cfRule>
  </conditionalFormatting>
  <conditionalFormatting sqref="F73:G73">
    <cfRule type="cellIs" dxfId="2098" priority="14" operator="equal">
      <formula>"optimo"</formula>
    </cfRule>
    <cfRule type="cellIs" dxfId="2097" priority="15" operator="equal">
      <formula>"critico"</formula>
    </cfRule>
  </conditionalFormatting>
  <conditionalFormatting sqref="H73:I73">
    <cfRule type="cellIs" dxfId="2096" priority="12" operator="equal">
      <formula>"Adecuado"</formula>
    </cfRule>
    <cfRule type="cellIs" dxfId="2095" priority="13" operator="equal">
      <formula>"en riesgo"</formula>
    </cfRule>
  </conditionalFormatting>
  <conditionalFormatting sqref="J73:K73">
    <cfRule type="cellIs" dxfId="2094" priority="10" operator="equal">
      <formula>"Adecuado"</formula>
    </cfRule>
    <cfRule type="cellIs" dxfId="2093" priority="11" operator="equal">
      <formula>"en riesgo"</formula>
    </cfRule>
  </conditionalFormatting>
  <conditionalFormatting sqref="L73:M73">
    <cfRule type="cellIs" dxfId="2092" priority="8" operator="equal">
      <formula>"optimo"</formula>
    </cfRule>
    <cfRule type="cellIs" dxfId="2091" priority="9" operator="equal">
      <formula>"critico"</formula>
    </cfRule>
  </conditionalFormatting>
  <conditionalFormatting sqref="F75:M86">
    <cfRule type="expression" dxfId="2090" priority="7">
      <formula>+IF($AK75=0,1)</formula>
    </cfRule>
  </conditionalFormatting>
  <conditionalFormatting sqref="F103:G104">
    <cfRule type="expression" dxfId="2089" priority="6">
      <formula>+IF($G$102="No",1,0)</formula>
    </cfRule>
  </conditionalFormatting>
  <conditionalFormatting sqref="F51">
    <cfRule type="expression" dxfId="2088" priority="5">
      <formula>+IF($F$43="no",1,0)</formula>
    </cfRule>
  </conditionalFormatting>
  <conditionalFormatting sqref="I51">
    <cfRule type="expression" dxfId="2087" priority="4">
      <formula>+IF($F$51="no",1,0)</formula>
    </cfRule>
  </conditionalFormatting>
  <dataValidations count="13">
    <dataValidation type="list" allowBlank="1" showInputMessage="1" showErrorMessage="1" sqref="F25">
      <formula1>dimen</formula1>
    </dataValidation>
    <dataValidation type="list" allowBlank="1" showInputMessage="1" showErrorMessage="1" sqref="G49:M49">
      <formula1>proyectos</formula1>
    </dataValidation>
    <dataValidation type="list" allowBlank="1" showInputMessage="1" showErrorMessage="1" sqref="F71">
      <formula1>$D$75:$D$86</formula1>
    </dataValidation>
    <dataValidation type="list" allowBlank="1" showInputMessage="1" showErrorMessage="1" sqref="I24">
      <formula1>ambito</formula1>
    </dataValidation>
    <dataValidation type="list" allowBlank="1" showInputMessage="1" showErrorMessage="1" sqref="I23">
      <formula1>medidas</formula1>
    </dataValidation>
    <dataValidation type="list" allowBlank="1" showInputMessage="1" showErrorMessage="1" sqref="F24">
      <formula1>tendencia</formula1>
    </dataValidation>
    <dataValidation type="list" allowBlank="1" showInputMessage="1" showErrorMessage="1" sqref="G47:M47">
      <formula1>INDIRECT($Q$45)</formula1>
    </dataValidation>
    <dataValidation type="list" allowBlank="1" showInputMessage="1" showErrorMessage="1" sqref="G45:M45">
      <formula1>lineas</formula1>
    </dataValidation>
    <dataValidation type="list" allowBlank="1" showInputMessage="1" showErrorMessage="1" sqref="G31:M31">
      <formula1>macroproceso</formula1>
    </dataValidation>
    <dataValidation type="list" allowBlank="1" showInputMessage="1" showErrorMessage="1" sqref="G33:M33">
      <formula1>INDIRECT($Q$30)</formula1>
    </dataValidation>
    <dataValidation type="list" allowBlank="1" showInputMessage="1" showErrorMessage="1" sqref="F35:G35">
      <formula1>macroprocesos</formula1>
    </dataValidation>
    <dataValidation type="list" allowBlank="1" showInputMessage="1" showErrorMessage="1" sqref="F29:M29">
      <formula1>objetivos</formula1>
    </dataValidation>
    <dataValidation type="list" allowBlank="1" showInputMessage="1" showErrorMessage="1" sqref="G102 F43 F51">
      <formula1>$S$4:$S$5</formula1>
    </dataValidation>
  </dataValidations>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[4]base!#REF!</xm:f>
          </x14:formula1>
          <xm:sqref>F23</xm:sqref>
        </x14:dataValidation>
      </x14:dataValidations>
    </ext>
  </extLst>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1">
    <tabColor rgb="FF0070C0"/>
  </sheetPr>
  <dimension ref="B1:AV113"/>
  <sheetViews>
    <sheetView zoomScaleNormal="100" workbookViewId="0">
      <selection activeCell="J80" sqref="J80:K8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255</v>
      </c>
      <c r="O10" s="2"/>
    </row>
    <row r="11" spans="2:24" ht="3.95" customHeight="1" x14ac:dyDescent="0.25">
      <c r="B11" s="2"/>
      <c r="D11" s="6"/>
      <c r="O11" s="2"/>
    </row>
    <row r="12" spans="2:24" ht="36" customHeight="1" x14ac:dyDescent="0.25">
      <c r="B12" s="2"/>
      <c r="D12" s="338" t="s">
        <v>5</v>
      </c>
      <c r="E12" s="339"/>
      <c r="F12" s="340" t="s">
        <v>256</v>
      </c>
      <c r="G12" s="341"/>
      <c r="H12" s="341"/>
      <c r="I12" s="341"/>
      <c r="J12" s="341"/>
      <c r="K12" s="341"/>
      <c r="L12" s="341"/>
      <c r="M12" s="342"/>
      <c r="O12" s="2"/>
      <c r="W12" s="3" t="str">
        <f>+F23</f>
        <v>Trimestral</v>
      </c>
      <c r="X12" s="3" t="str">
        <f>+F71</f>
        <v>Marzo</v>
      </c>
    </row>
    <row r="13" spans="2:24" ht="3.95" customHeight="1" x14ac:dyDescent="0.25">
      <c r="B13" s="2"/>
      <c r="O13" s="2"/>
    </row>
    <row r="14" spans="2:24" ht="38.25" customHeight="1" x14ac:dyDescent="0.25">
      <c r="B14" s="2"/>
      <c r="D14" s="338" t="s">
        <v>6</v>
      </c>
      <c r="E14" s="339"/>
      <c r="F14" s="340" t="s">
        <v>872</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17">
        <v>0.21</v>
      </c>
      <c r="G22" s="337" t="s">
        <v>9</v>
      </c>
      <c r="H22" s="337"/>
      <c r="I22" s="17">
        <v>0.2</v>
      </c>
      <c r="K22" s="337" t="s">
        <v>10</v>
      </c>
      <c r="L22" s="337"/>
      <c r="M22" s="9" t="s">
        <v>496</v>
      </c>
      <c r="O22" s="2"/>
    </row>
    <row r="23" spans="2:17" ht="19.5" customHeight="1" x14ac:dyDescent="0.25">
      <c r="B23" s="2"/>
      <c r="D23" s="337" t="s">
        <v>11</v>
      </c>
      <c r="E23" s="337"/>
      <c r="F23" s="4" t="s">
        <v>71</v>
      </c>
      <c r="G23" s="337" t="s">
        <v>12</v>
      </c>
      <c r="H23" s="337"/>
      <c r="I23" s="4" t="s">
        <v>497</v>
      </c>
      <c r="K23" s="337" t="s">
        <v>13</v>
      </c>
      <c r="L23" s="337"/>
      <c r="M23" s="9" t="s">
        <v>496</v>
      </c>
      <c r="O23" s="2"/>
    </row>
    <row r="24" spans="2:17" ht="20.100000000000001" customHeight="1" x14ac:dyDescent="0.25">
      <c r="B24" s="2"/>
      <c r="D24" s="337" t="s">
        <v>14</v>
      </c>
      <c r="E24" s="337"/>
      <c r="F24" s="4" t="s">
        <v>666</v>
      </c>
      <c r="G24" s="337" t="s">
        <v>15</v>
      </c>
      <c r="H24" s="337"/>
      <c r="I24" s="4" t="s">
        <v>103</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716</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proteccion</v>
      </c>
    </row>
    <row r="31" spans="2:17" ht="24" customHeight="1" x14ac:dyDescent="0.25">
      <c r="B31" s="2"/>
      <c r="D31" s="347"/>
      <c r="E31" s="348"/>
      <c r="F31" s="4" t="s">
        <v>202</v>
      </c>
      <c r="G31" s="340" t="s">
        <v>203</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873</v>
      </c>
      <c r="G33" s="340" t="s">
        <v>742</v>
      </c>
      <c r="H33" s="341"/>
      <c r="I33" s="341"/>
      <c r="J33" s="341"/>
      <c r="K33" s="341"/>
      <c r="L33" s="341"/>
      <c r="M33" s="342"/>
      <c r="O33" s="2"/>
      <c r="Q33" s="3">
        <f>+IFERROR(IF(VLOOKUP(G33,base!$A$26:$C$40,3,FALSE)=F31,1,0),"")</f>
        <v>1</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1715</v>
      </c>
      <c r="G35" s="340" t="s">
        <v>1591</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2</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500</v>
      </c>
      <c r="G45" s="340" t="s">
        <v>512</v>
      </c>
      <c r="H45" s="341"/>
      <c r="I45" s="341"/>
      <c r="J45" s="341"/>
      <c r="K45" s="341"/>
      <c r="L45" s="341"/>
      <c r="M45" s="342"/>
      <c r="O45" s="2"/>
      <c r="Q45" s="3" t="str">
        <f>+IFERROR(VLOOKUP(G45,base!$A$41:$C$45,3,FALSE),"")</f>
        <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500</v>
      </c>
      <c r="G47" s="340" t="s">
        <v>512</v>
      </c>
      <c r="H47" s="341"/>
      <c r="I47" s="341"/>
      <c r="J47" s="341"/>
      <c r="K47" s="341"/>
      <c r="L47" s="341"/>
      <c r="M47" s="342"/>
      <c r="O47" s="2"/>
      <c r="Q47" s="3" t="e">
        <f>+IF(VLOOKUP(G47,base!$A$46:$C$66,3,FALSE)=F45,1,0)</f>
        <v>#N/A</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786</v>
      </c>
      <c r="G49" s="340" t="s">
        <v>717</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17"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 customHeight="1" x14ac:dyDescent="0.25">
      <c r="B59" s="2"/>
      <c r="D59" s="337" t="s">
        <v>34</v>
      </c>
      <c r="E59" s="337"/>
      <c r="F59" s="344" t="s">
        <v>2044</v>
      </c>
      <c r="G59" s="344"/>
      <c r="H59" s="344"/>
      <c r="I59" s="344"/>
      <c r="J59" s="344"/>
      <c r="K59" s="344"/>
      <c r="L59" s="344"/>
      <c r="M59" s="344"/>
      <c r="O59" s="2"/>
    </row>
    <row r="60" spans="2:15" ht="27.75" customHeight="1" x14ac:dyDescent="0.25">
      <c r="B60" s="2"/>
      <c r="D60" s="359" t="s">
        <v>35</v>
      </c>
      <c r="E60" s="359"/>
      <c r="F60" s="344" t="s">
        <v>2045</v>
      </c>
      <c r="G60" s="344"/>
      <c r="H60" s="344"/>
      <c r="I60" s="344"/>
      <c r="J60" s="344"/>
      <c r="K60" s="344"/>
      <c r="L60" s="344"/>
      <c r="M60" s="344"/>
      <c r="O60" s="2"/>
    </row>
    <row r="61" spans="2:15" ht="27.75" customHeight="1" x14ac:dyDescent="0.25">
      <c r="B61" s="2"/>
      <c r="D61" s="359" t="s">
        <v>36</v>
      </c>
      <c r="E61" s="359"/>
      <c r="F61" s="344" t="s">
        <v>874</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43" t="s">
        <v>39</v>
      </c>
      <c r="E71" s="343"/>
      <c r="F71" s="4" t="s">
        <v>47</v>
      </c>
      <c r="G71" s="3">
        <v>3</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52</v>
      </c>
      <c r="G74" s="15" t="s">
        <v>670</v>
      </c>
      <c r="H74" s="15" t="s">
        <v>52</v>
      </c>
      <c r="I74" s="15" t="s">
        <v>670</v>
      </c>
      <c r="J74" s="15" t="s">
        <v>52</v>
      </c>
      <c r="K74" s="15" t="s">
        <v>670</v>
      </c>
      <c r="L74" s="15" t="s">
        <v>52</v>
      </c>
      <c r="M74" s="15" t="s">
        <v>670</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v>0.21099999999999999</v>
      </c>
      <c r="H77" s="16">
        <v>0.21</v>
      </c>
      <c r="I77" s="16">
        <v>0.191</v>
      </c>
      <c r="J77" s="16">
        <v>0.19</v>
      </c>
      <c r="K77" s="16">
        <v>0.18099999999999999</v>
      </c>
      <c r="L77" s="16">
        <v>0.18</v>
      </c>
      <c r="M77" s="16" t="s">
        <v>500</v>
      </c>
      <c r="O77" s="2"/>
      <c r="AE77" s="3" t="s">
        <v>47</v>
      </c>
      <c r="AF77" s="3">
        <v>3</v>
      </c>
      <c r="AG77" s="3">
        <f t="shared" si="0"/>
        <v>1</v>
      </c>
      <c r="AH77" s="3">
        <f>+IF(AG77=0,0,IF(AG77=1,(SUM($AG$75:AG77)-1),1))</f>
        <v>0</v>
      </c>
      <c r="AI77" s="3">
        <f t="shared" si="1"/>
        <v>0</v>
      </c>
      <c r="AJ77" s="3">
        <f t="shared" si="2"/>
        <v>1</v>
      </c>
      <c r="AK77" s="3">
        <f t="shared" si="3"/>
        <v>1</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2</v>
      </c>
      <c r="AI79" s="3">
        <f t="shared" si="1"/>
        <v>0</v>
      </c>
      <c r="AJ79" s="3">
        <f t="shared" si="2"/>
        <v>0</v>
      </c>
      <c r="AK79" s="3">
        <f t="shared" si="3"/>
        <v>0</v>
      </c>
    </row>
    <row r="80" spans="2:37" x14ac:dyDescent="0.25">
      <c r="B80" s="2"/>
      <c r="D80" s="360" t="s">
        <v>50</v>
      </c>
      <c r="E80" s="360"/>
      <c r="F80" s="16" t="s">
        <v>500</v>
      </c>
      <c r="G80" s="16">
        <v>0.21099999999999999</v>
      </c>
      <c r="H80" s="16">
        <v>0.21</v>
      </c>
      <c r="I80" s="16">
        <v>0.191</v>
      </c>
      <c r="J80" s="16">
        <v>0.19</v>
      </c>
      <c r="K80" s="16">
        <v>0.18099999999999999</v>
      </c>
      <c r="L80" s="16">
        <v>0.18</v>
      </c>
      <c r="M80" s="16" t="s">
        <v>500</v>
      </c>
      <c r="O80" s="2"/>
      <c r="AE80" s="3" t="s">
        <v>50</v>
      </c>
      <c r="AF80" s="3">
        <v>6</v>
      </c>
      <c r="AG80" s="3">
        <f t="shared" si="0"/>
        <v>1</v>
      </c>
      <c r="AH80" s="3">
        <f>+IF(AG80=0,0,IF(AG80=1,(SUM($AG$75:AG80)-1),1))</f>
        <v>3</v>
      </c>
      <c r="AI80" s="3">
        <f t="shared" si="1"/>
        <v>1</v>
      </c>
      <c r="AJ80" s="3">
        <f t="shared" si="2"/>
        <v>0</v>
      </c>
      <c r="AK80" s="3">
        <f t="shared" si="3"/>
        <v>1</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4</v>
      </c>
      <c r="AI81" s="3">
        <f t="shared" si="1"/>
        <v>0</v>
      </c>
      <c r="AJ81" s="3">
        <f t="shared" si="2"/>
        <v>0</v>
      </c>
      <c r="AK81" s="3">
        <f t="shared" si="3"/>
        <v>0</v>
      </c>
    </row>
    <row r="82" spans="2:37" x14ac:dyDescent="0.25">
      <c r="B82" s="2"/>
      <c r="D82" s="360" t="s">
        <v>54</v>
      </c>
      <c r="E82" s="360"/>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60" t="s">
        <v>55</v>
      </c>
      <c r="E83" s="360"/>
      <c r="F83" s="16" t="s">
        <v>500</v>
      </c>
      <c r="G83" s="16">
        <v>0.21099999999999999</v>
      </c>
      <c r="H83" s="16">
        <v>0.21</v>
      </c>
      <c r="I83" s="16">
        <v>0.191</v>
      </c>
      <c r="J83" s="16">
        <v>0.19</v>
      </c>
      <c r="K83" s="16">
        <v>0.18099999999999999</v>
      </c>
      <c r="L83" s="16">
        <v>0.18</v>
      </c>
      <c r="M83" s="16" t="s">
        <v>500</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60" t="s">
        <v>58</v>
      </c>
      <c r="E86" s="360"/>
      <c r="F86" s="16" t="s">
        <v>500</v>
      </c>
      <c r="G86" s="16">
        <v>0.21099999999999999</v>
      </c>
      <c r="H86" s="16">
        <v>0.21</v>
      </c>
      <c r="I86" s="16">
        <v>0.191</v>
      </c>
      <c r="J86" s="16">
        <v>0.19</v>
      </c>
      <c r="K86" s="16">
        <v>0.18099999999999999</v>
      </c>
      <c r="L86" s="16">
        <v>0.18</v>
      </c>
      <c r="M86" s="16" t="s">
        <v>500</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66" customHeight="1" x14ac:dyDescent="0.25">
      <c r="B88" s="2"/>
      <c r="D88" s="338" t="s">
        <v>59</v>
      </c>
      <c r="E88" s="339"/>
      <c r="F88" s="340" t="s">
        <v>2046</v>
      </c>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2" customHeight="1" x14ac:dyDescent="0.25">
      <c r="B97" s="2"/>
      <c r="D97" s="359" t="s">
        <v>35</v>
      </c>
      <c r="E97" s="359"/>
      <c r="F97" s="344" t="s">
        <v>2047</v>
      </c>
      <c r="G97" s="344"/>
      <c r="H97" s="344"/>
      <c r="I97" s="344"/>
      <c r="J97" s="344"/>
      <c r="K97" s="344"/>
      <c r="L97" s="344"/>
      <c r="M97" s="344"/>
      <c r="O97" s="2"/>
    </row>
    <row r="98" spans="2:15" ht="42" customHeight="1" x14ac:dyDescent="0.25">
      <c r="B98" s="2"/>
      <c r="D98" s="359" t="s">
        <v>36</v>
      </c>
      <c r="E98" s="359"/>
      <c r="F98" s="344" t="s">
        <v>2047</v>
      </c>
      <c r="G98" s="344"/>
      <c r="H98" s="344"/>
      <c r="I98" s="344"/>
      <c r="J98" s="344"/>
      <c r="K98" s="344"/>
      <c r="L98" s="344"/>
      <c r="M98" s="344"/>
      <c r="O98" s="2"/>
    </row>
    <row r="99" spans="2:15" ht="3.95" customHeight="1" x14ac:dyDescent="0.25">
      <c r="B99" s="2"/>
      <c r="O99" s="2"/>
    </row>
    <row r="100" spans="2:15" ht="96" customHeight="1" x14ac:dyDescent="0.25">
      <c r="B100" s="2"/>
      <c r="D100" s="338" t="s">
        <v>62</v>
      </c>
      <c r="E100" s="339"/>
      <c r="F100" s="340" t="s">
        <v>743</v>
      </c>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2</v>
      </c>
      <c r="K102" s="20"/>
      <c r="O102" s="2"/>
    </row>
    <row r="103" spans="2:15" ht="19.5" customHeight="1" x14ac:dyDescent="0.25">
      <c r="B103" s="2"/>
      <c r="D103" s="331"/>
      <c r="E103" s="332"/>
      <c r="F103" s="19" t="s">
        <v>66</v>
      </c>
      <c r="G103" s="4"/>
      <c r="K103" s="21"/>
      <c r="O103" s="2"/>
    </row>
    <row r="104" spans="2:15" ht="27.75" customHeight="1" x14ac:dyDescent="0.25">
      <c r="B104" s="2"/>
      <c r="D104" s="331"/>
      <c r="E104" s="332"/>
      <c r="F104" s="19" t="s">
        <v>67</v>
      </c>
      <c r="G104" s="333"/>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Subdirector(a) Responsabilidad penal</v>
      </c>
      <c r="H108" s="334"/>
      <c r="I108" s="334"/>
      <c r="J108" s="334"/>
      <c r="K108" s="334"/>
      <c r="L108" s="334"/>
      <c r="M108" s="335"/>
      <c r="O108" s="2"/>
    </row>
    <row r="109" spans="2:15" ht="17.25" customHeight="1" x14ac:dyDescent="0.25">
      <c r="B109" s="2"/>
      <c r="D109" s="331"/>
      <c r="E109" s="332"/>
      <c r="F109" s="19" t="s">
        <v>2042</v>
      </c>
      <c r="G109" s="333" t="str">
        <f>+IF(M23="Si","Coordinador(a) Planeación y Sistemas","")</f>
        <v>Coordinador(a) Planeación y Sistemas</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086" priority="31">
      <formula>+IF($F$43="no",1,0)</formula>
    </cfRule>
  </conditionalFormatting>
  <conditionalFormatting sqref="F32:M33">
    <cfRule type="expression" dxfId="2085" priority="30">
      <formula>+IF($Q$30="NA",1,0)</formula>
    </cfRule>
  </conditionalFormatting>
  <conditionalFormatting sqref="F33:M33">
    <cfRule type="expression" dxfId="2084" priority="29">
      <formula>+IF($Q$33=0,1,0)</formula>
    </cfRule>
  </conditionalFormatting>
  <conditionalFormatting sqref="F47:M47">
    <cfRule type="expression" dxfId="2083" priority="28">
      <formula>+IF($Q$47=0,1,0)</formula>
    </cfRule>
  </conditionalFormatting>
  <conditionalFormatting sqref="F73:G73">
    <cfRule type="cellIs" dxfId="2082" priority="17" operator="equal">
      <formula>"optimo"</formula>
    </cfRule>
    <cfRule type="cellIs" dxfId="2081" priority="18" operator="equal">
      <formula>"critico"</formula>
    </cfRule>
  </conditionalFormatting>
  <conditionalFormatting sqref="H73:I73">
    <cfRule type="cellIs" dxfId="2080" priority="15" operator="equal">
      <formula>"Adecuado"</formula>
    </cfRule>
    <cfRule type="cellIs" dxfId="2079" priority="16" operator="equal">
      <formula>"en riesgo"</formula>
    </cfRule>
  </conditionalFormatting>
  <conditionalFormatting sqref="J73:K73">
    <cfRule type="cellIs" dxfId="2078" priority="13" operator="equal">
      <formula>"Adecuado"</formula>
    </cfRule>
    <cfRule type="cellIs" dxfId="2077" priority="14" operator="equal">
      <formula>"en riesgo"</formula>
    </cfRule>
  </conditionalFormatting>
  <conditionalFormatting sqref="L73:M73">
    <cfRule type="cellIs" dxfId="2076" priority="11" operator="equal">
      <formula>"optimo"</formula>
    </cfRule>
    <cfRule type="cellIs" dxfId="2075" priority="12" operator="equal">
      <formula>"critico"</formula>
    </cfRule>
  </conditionalFormatting>
  <conditionalFormatting sqref="F75:M86">
    <cfRule type="expression" dxfId="2074" priority="10">
      <formula>+IF($AK75=0,1)</formula>
    </cfRule>
  </conditionalFormatting>
  <conditionalFormatting sqref="F103:G104">
    <cfRule type="expression" dxfId="2073" priority="9">
      <formula>+IF($G$102="No",1,0)</formula>
    </cfRule>
  </conditionalFormatting>
  <conditionalFormatting sqref="F51">
    <cfRule type="expression" dxfId="2072" priority="8">
      <formula>+IF($F$43="no",1,0)</formula>
    </cfRule>
  </conditionalFormatting>
  <conditionalFormatting sqref="I51">
    <cfRule type="expression" dxfId="2071" priority="7">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tabColor rgb="FF0070C0"/>
  </sheetPr>
  <dimension ref="B1:AV113"/>
  <sheetViews>
    <sheetView zoomScaleNormal="100" workbookViewId="0">
      <selection activeCell="P1" sqref="P1"/>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117</v>
      </c>
      <c r="O10" s="2"/>
    </row>
    <row r="11" spans="2:24" ht="3.95" customHeight="1" x14ac:dyDescent="0.25">
      <c r="B11" s="2"/>
      <c r="D11" s="6"/>
      <c r="O11" s="2"/>
    </row>
    <row r="12" spans="2:24" ht="36" customHeight="1" x14ac:dyDescent="0.25">
      <c r="B12" s="2"/>
      <c r="D12" s="338" t="s">
        <v>5</v>
      </c>
      <c r="E12" s="339"/>
      <c r="F12" s="340" t="s">
        <v>118</v>
      </c>
      <c r="G12" s="341"/>
      <c r="H12" s="341"/>
      <c r="I12" s="341"/>
      <c r="J12" s="341"/>
      <c r="K12" s="341"/>
      <c r="L12" s="341"/>
      <c r="M12" s="342"/>
      <c r="O12" s="2"/>
      <c r="W12" s="3" t="str">
        <f>+F23</f>
        <v>Mensual</v>
      </c>
      <c r="X12" s="3" t="str">
        <f>+F71</f>
        <v>Septiembre</v>
      </c>
    </row>
    <row r="13" spans="2:24" ht="3.95" customHeight="1" x14ac:dyDescent="0.25">
      <c r="B13" s="2"/>
      <c r="O13" s="2"/>
    </row>
    <row r="14" spans="2:24" ht="36" customHeight="1" x14ac:dyDescent="0.25">
      <c r="B14" s="2"/>
      <c r="D14" s="338" t="s">
        <v>6</v>
      </c>
      <c r="E14" s="339"/>
      <c r="F14" s="340" t="s">
        <v>631</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17" t="s">
        <v>512</v>
      </c>
      <c r="G22" s="337" t="s">
        <v>9</v>
      </c>
      <c r="H22" s="337"/>
      <c r="I22" s="17">
        <v>0.2</v>
      </c>
      <c r="K22" s="337" t="s">
        <v>10</v>
      </c>
      <c r="L22" s="337"/>
      <c r="M22" s="9" t="s">
        <v>496</v>
      </c>
      <c r="O22" s="2"/>
    </row>
    <row r="23" spans="2:17" ht="19.5" customHeight="1" x14ac:dyDescent="0.25">
      <c r="B23" s="2"/>
      <c r="D23" s="337" t="s">
        <v>11</v>
      </c>
      <c r="E23" s="337"/>
      <c r="F23" s="4" t="s">
        <v>84</v>
      </c>
      <c r="G23" s="337" t="s">
        <v>12</v>
      </c>
      <c r="H23" s="337"/>
      <c r="I23" s="4" t="s">
        <v>497</v>
      </c>
      <c r="K23" s="337" t="s">
        <v>13</v>
      </c>
      <c r="L23" s="337"/>
      <c r="M23" s="9" t="s">
        <v>2</v>
      </c>
      <c r="O23" s="2"/>
    </row>
    <row r="24" spans="2:17" ht="20.100000000000001" customHeight="1" x14ac:dyDescent="0.25">
      <c r="B24" s="2"/>
      <c r="D24" s="337" t="s">
        <v>14</v>
      </c>
      <c r="E24" s="337"/>
      <c r="F24" s="4" t="s">
        <v>498</v>
      </c>
      <c r="G24" s="337" t="s">
        <v>15</v>
      </c>
      <c r="H24" s="337"/>
      <c r="I24" s="4" t="s">
        <v>519</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20</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NA</v>
      </c>
    </row>
    <row r="31" spans="2:17" ht="24" customHeight="1" x14ac:dyDescent="0.25">
      <c r="B31" s="2"/>
      <c r="D31" s="347"/>
      <c r="E31" s="348"/>
      <c r="F31" s="4" t="s">
        <v>109</v>
      </c>
      <c r="G31" s="340" t="s">
        <v>110</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500</v>
      </c>
      <c r="G33" s="340"/>
      <c r="H33" s="341"/>
      <c r="I33" s="341"/>
      <c r="J33" s="341"/>
      <c r="K33" s="341"/>
      <c r="L33" s="341"/>
      <c r="M33" s="342"/>
      <c r="O33" s="2"/>
      <c r="Q33" s="3" t="str">
        <f>+IFERROR(IF(VLOOKUP(G33,base!$A$26:$C$40,3,FALSE)=F31,1,0),"")</f>
        <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1711</v>
      </c>
      <c r="G35" s="340" t="s">
        <v>1587</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501</v>
      </c>
      <c r="G45" s="340" t="s">
        <v>502</v>
      </c>
      <c r="H45" s="341"/>
      <c r="I45" s="341"/>
      <c r="J45" s="341"/>
      <c r="K45" s="341"/>
      <c r="L45" s="341"/>
      <c r="M45" s="342"/>
      <c r="O45" s="2"/>
      <c r="Q45" s="3" t="str">
        <f>+IFERROR(VLOOKUP(G45,base!$A$41:$C$45,3,FALSE),"")</f>
        <v>misional</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503</v>
      </c>
      <c r="G47" s="340" t="s">
        <v>504</v>
      </c>
      <c r="H47" s="341"/>
      <c r="I47" s="341"/>
      <c r="J47" s="341"/>
      <c r="K47" s="341"/>
      <c r="L47" s="341"/>
      <c r="M47" s="342"/>
      <c r="O47" s="2"/>
      <c r="Q47" s="3">
        <f>+IF(VLOOKUP(G47,base!$A$46:$C$66,3,FALSE)=F45,1,0)</f>
        <v>1</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535</v>
      </c>
      <c r="G49" s="340" t="s">
        <v>30</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496</v>
      </c>
      <c r="G51" s="337" t="s">
        <v>32</v>
      </c>
      <c r="H51" s="337"/>
      <c r="I51" s="17">
        <v>0.5</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75" customHeight="1" x14ac:dyDescent="0.25">
      <c r="B59" s="2"/>
      <c r="D59" s="337" t="s">
        <v>34</v>
      </c>
      <c r="E59" s="337"/>
      <c r="F59" s="344" t="s">
        <v>2159</v>
      </c>
      <c r="G59" s="344"/>
      <c r="H59" s="344"/>
      <c r="I59" s="344"/>
      <c r="J59" s="344"/>
      <c r="K59" s="344"/>
      <c r="L59" s="344"/>
      <c r="M59" s="344"/>
      <c r="O59" s="2"/>
    </row>
    <row r="60" spans="2:15" ht="27" customHeight="1" x14ac:dyDescent="0.25">
      <c r="B60" s="2"/>
      <c r="D60" s="359" t="s">
        <v>35</v>
      </c>
      <c r="E60" s="359"/>
      <c r="F60" s="344" t="s">
        <v>632</v>
      </c>
      <c r="G60" s="344"/>
      <c r="H60" s="344"/>
      <c r="I60" s="344"/>
      <c r="J60" s="344"/>
      <c r="K60" s="344"/>
      <c r="L60" s="344"/>
      <c r="M60" s="344"/>
      <c r="O60" s="2"/>
    </row>
    <row r="61" spans="2:15" ht="27" customHeight="1" x14ac:dyDescent="0.25">
      <c r="B61" s="2"/>
      <c r="D61" s="359" t="s">
        <v>36</v>
      </c>
      <c r="E61" s="359"/>
      <c r="F61" s="344" t="s">
        <v>2158</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43" t="s">
        <v>39</v>
      </c>
      <c r="E71" s="343"/>
      <c r="F71" s="4" t="s">
        <v>55</v>
      </c>
      <c r="G71" s="3">
        <v>8</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60" t="s">
        <v>50</v>
      </c>
      <c r="E80" s="360"/>
      <c r="F80" s="16" t="s">
        <v>500</v>
      </c>
      <c r="G80" s="16" t="s">
        <v>500</v>
      </c>
      <c r="H80" s="16" t="s">
        <v>500</v>
      </c>
      <c r="I80" s="16" t="s">
        <v>500</v>
      </c>
      <c r="J80" s="16" t="s">
        <v>500</v>
      </c>
      <c r="K80" s="16" t="s">
        <v>500</v>
      </c>
      <c r="L80" s="16" t="s">
        <v>500</v>
      </c>
      <c r="M80" s="16" t="s">
        <v>500</v>
      </c>
      <c r="O80" s="2"/>
      <c r="AE80" s="3" t="s">
        <v>50</v>
      </c>
      <c r="AF80" s="3">
        <v>6</v>
      </c>
      <c r="AG80" s="3">
        <f t="shared" si="0"/>
        <v>0</v>
      </c>
      <c r="AH80" s="3">
        <f>+IF(AG80=0,0,IF(AG80=1,(SUM($AG$75:AG80)-1),1))</f>
        <v>0</v>
      </c>
      <c r="AI80" s="3">
        <f t="shared" si="1"/>
        <v>0</v>
      </c>
      <c r="AJ80" s="3">
        <f t="shared" si="2"/>
        <v>0</v>
      </c>
      <c r="AK80" s="3">
        <f t="shared" si="3"/>
        <v>0</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0</v>
      </c>
      <c r="AH81" s="3">
        <f>+IF(AG81=0,0,IF(AG81=1,(SUM($AG$75:AG81)-1),1))</f>
        <v>0</v>
      </c>
      <c r="AI81" s="3">
        <f t="shared" si="1"/>
        <v>0</v>
      </c>
      <c r="AJ81" s="3">
        <f t="shared" si="2"/>
        <v>0</v>
      </c>
      <c r="AK81" s="3">
        <f t="shared" si="3"/>
        <v>0</v>
      </c>
    </row>
    <row r="82" spans="2:37" x14ac:dyDescent="0.25">
      <c r="B82" s="2"/>
      <c r="D82" s="360" t="s">
        <v>54</v>
      </c>
      <c r="E82" s="360"/>
      <c r="F82" s="16" t="s">
        <v>500</v>
      </c>
      <c r="G82" s="16">
        <v>0.04</v>
      </c>
      <c r="H82" s="16">
        <v>4.1000000000000002E-2</v>
      </c>
      <c r="I82" s="16">
        <v>0.06</v>
      </c>
      <c r="J82" s="16">
        <v>6.0999999999999999E-2</v>
      </c>
      <c r="K82" s="16">
        <v>7.9000000000000001E-2</v>
      </c>
      <c r="L82" s="16">
        <v>0.08</v>
      </c>
      <c r="M82" s="16" t="s">
        <v>500</v>
      </c>
      <c r="O82" s="2"/>
      <c r="AE82" s="3" t="s">
        <v>54</v>
      </c>
      <c r="AF82" s="3">
        <v>8</v>
      </c>
      <c r="AG82" s="3">
        <f t="shared" si="0"/>
        <v>1</v>
      </c>
      <c r="AH82" s="3">
        <f>+IF(AG82=0,0,IF(AG82=1,(SUM($AG$75:AG82)-1),1))</f>
        <v>0</v>
      </c>
      <c r="AI82" s="3">
        <f t="shared" si="1"/>
        <v>0</v>
      </c>
      <c r="AJ82" s="3">
        <f t="shared" si="2"/>
        <v>0</v>
      </c>
      <c r="AK82" s="3">
        <f t="shared" si="3"/>
        <v>0</v>
      </c>
    </row>
    <row r="83" spans="2:37" x14ac:dyDescent="0.25">
      <c r="B83" s="2"/>
      <c r="D83" s="360" t="s">
        <v>55</v>
      </c>
      <c r="E83" s="360"/>
      <c r="F83" s="16" t="s">
        <v>500</v>
      </c>
      <c r="G83" s="16">
        <v>0.08</v>
      </c>
      <c r="H83" s="16">
        <v>8.1000000000000003E-2</v>
      </c>
      <c r="I83" s="16">
        <v>0.1</v>
      </c>
      <c r="J83" s="16">
        <v>0.10100000000000001</v>
      </c>
      <c r="K83" s="16">
        <v>0.11899999999999999</v>
      </c>
      <c r="L83" s="16">
        <v>0.12</v>
      </c>
      <c r="M83" s="16" t="s">
        <v>500</v>
      </c>
      <c r="O83" s="2"/>
      <c r="AE83" s="3" t="s">
        <v>55</v>
      </c>
      <c r="AF83" s="3">
        <v>9</v>
      </c>
      <c r="AG83" s="3">
        <f t="shared" si="0"/>
        <v>1</v>
      </c>
      <c r="AH83" s="3">
        <f>+IF(AG83=0,0,IF(AG83=1,(SUM($AG$75:AG83)-1),1))</f>
        <v>1</v>
      </c>
      <c r="AI83" s="3">
        <f t="shared" si="1"/>
        <v>1</v>
      </c>
      <c r="AJ83" s="3">
        <f t="shared" si="2"/>
        <v>1</v>
      </c>
      <c r="AK83" s="3">
        <f t="shared" si="3"/>
        <v>1</v>
      </c>
    </row>
    <row r="84" spans="2:37" x14ac:dyDescent="0.25">
      <c r="B84" s="2"/>
      <c r="D84" s="360" t="s">
        <v>56</v>
      </c>
      <c r="E84" s="360"/>
      <c r="F84" s="16" t="s">
        <v>500</v>
      </c>
      <c r="G84" s="16">
        <v>0.12</v>
      </c>
      <c r="H84" s="16">
        <v>0.121</v>
      </c>
      <c r="I84" s="16">
        <v>0.14000000000000001</v>
      </c>
      <c r="J84" s="16">
        <v>0.14100000000000001</v>
      </c>
      <c r="K84" s="16">
        <v>0.159</v>
      </c>
      <c r="L84" s="16">
        <v>0.16</v>
      </c>
      <c r="M84" s="16" t="s">
        <v>500</v>
      </c>
      <c r="O84" s="2"/>
      <c r="AE84" s="3" t="s">
        <v>56</v>
      </c>
      <c r="AF84" s="3">
        <v>10</v>
      </c>
      <c r="AG84" s="3">
        <f t="shared" si="0"/>
        <v>1</v>
      </c>
      <c r="AH84" s="3">
        <f>+IF(AG84=0,0,IF(AG84=1,(SUM($AG$75:AG84)-1),1))</f>
        <v>2</v>
      </c>
      <c r="AI84" s="3">
        <f t="shared" si="1"/>
        <v>1</v>
      </c>
      <c r="AJ84" s="3">
        <f t="shared" si="2"/>
        <v>0</v>
      </c>
      <c r="AK84" s="3">
        <f t="shared" si="3"/>
        <v>1</v>
      </c>
    </row>
    <row r="85" spans="2:37" x14ac:dyDescent="0.25">
      <c r="B85" s="2"/>
      <c r="D85" s="360" t="s">
        <v>57</v>
      </c>
      <c r="E85" s="360"/>
      <c r="F85" s="16" t="s">
        <v>500</v>
      </c>
      <c r="G85" s="16">
        <v>0.14000000000000001</v>
      </c>
      <c r="H85" s="16">
        <v>0.14100000000000001</v>
      </c>
      <c r="I85" s="16">
        <v>0.16</v>
      </c>
      <c r="J85" s="16">
        <v>0.161</v>
      </c>
      <c r="K85" s="16">
        <v>0.17899999999999999</v>
      </c>
      <c r="L85" s="16">
        <v>0.18</v>
      </c>
      <c r="M85" s="16" t="s">
        <v>500</v>
      </c>
      <c r="O85" s="2"/>
      <c r="AE85" s="3" t="s">
        <v>57</v>
      </c>
      <c r="AF85" s="3">
        <v>11</v>
      </c>
      <c r="AG85" s="3">
        <f t="shared" si="0"/>
        <v>1</v>
      </c>
      <c r="AH85" s="3">
        <f>+IF(AG85=0,0,IF(AG85=1,(SUM($AG$75:AG85)-1),1))</f>
        <v>3</v>
      </c>
      <c r="AI85" s="3">
        <f t="shared" si="1"/>
        <v>1</v>
      </c>
      <c r="AJ85" s="3">
        <f t="shared" si="2"/>
        <v>0</v>
      </c>
      <c r="AK85" s="3">
        <f t="shared" si="3"/>
        <v>1</v>
      </c>
    </row>
    <row r="86" spans="2:37" x14ac:dyDescent="0.25">
      <c r="B86" s="2"/>
      <c r="D86" s="360" t="s">
        <v>58</v>
      </c>
      <c r="E86" s="360"/>
      <c r="F86" s="16" t="s">
        <v>500</v>
      </c>
      <c r="G86" s="16">
        <v>0.16</v>
      </c>
      <c r="H86" s="16">
        <v>0.161</v>
      </c>
      <c r="I86" s="16">
        <v>0.18</v>
      </c>
      <c r="J86" s="16">
        <v>0.18099999999999999</v>
      </c>
      <c r="K86" s="16">
        <v>0.19900000000000001</v>
      </c>
      <c r="L86" s="16">
        <v>0.2</v>
      </c>
      <c r="M86" s="16" t="s">
        <v>500</v>
      </c>
      <c r="O86" s="2"/>
      <c r="AE86" s="3" t="s">
        <v>58</v>
      </c>
      <c r="AF86" s="65">
        <v>12</v>
      </c>
      <c r="AG86" s="3">
        <f t="shared" si="0"/>
        <v>1</v>
      </c>
      <c r="AH86" s="3">
        <f>+IF(AG86=0,0,IF(AG86=1,(SUM($AG$75:AG86)-1),1))</f>
        <v>4</v>
      </c>
      <c r="AI86" s="3">
        <f t="shared" si="1"/>
        <v>1</v>
      </c>
      <c r="AJ86" s="3">
        <f t="shared" si="2"/>
        <v>0</v>
      </c>
      <c r="AK86" s="3">
        <f t="shared" si="3"/>
        <v>1</v>
      </c>
    </row>
    <row r="87" spans="2:37" ht="3.75" customHeight="1" x14ac:dyDescent="0.25">
      <c r="B87" s="2"/>
      <c r="O87" s="2"/>
    </row>
    <row r="88" spans="2:37" ht="36" customHeight="1" x14ac:dyDescent="0.25">
      <c r="B88" s="2"/>
      <c r="D88" s="338" t="s">
        <v>59</v>
      </c>
      <c r="E88" s="339"/>
      <c r="F88" s="340" t="s">
        <v>74</v>
      </c>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28.5" customHeight="1" x14ac:dyDescent="0.25">
      <c r="B97" s="2"/>
      <c r="D97" s="359" t="s">
        <v>35</v>
      </c>
      <c r="E97" s="359"/>
      <c r="F97" s="344" t="s">
        <v>2199</v>
      </c>
      <c r="G97" s="344"/>
      <c r="H97" s="344"/>
      <c r="I97" s="344"/>
      <c r="J97" s="344"/>
      <c r="K97" s="344"/>
      <c r="L97" s="344"/>
      <c r="M97" s="344"/>
      <c r="O97" s="2"/>
    </row>
    <row r="98" spans="2:15" ht="28.5" customHeight="1" x14ac:dyDescent="0.25">
      <c r="B98" s="2"/>
      <c r="D98" s="359" t="s">
        <v>36</v>
      </c>
      <c r="E98" s="359"/>
      <c r="F98" s="344" t="s">
        <v>2200</v>
      </c>
      <c r="G98" s="344"/>
      <c r="H98" s="344"/>
      <c r="I98" s="344"/>
      <c r="J98" s="344"/>
      <c r="K98" s="344"/>
      <c r="L98" s="344"/>
      <c r="M98" s="344"/>
      <c r="O98" s="2"/>
    </row>
    <row r="99" spans="2:15" ht="3.95" customHeight="1" x14ac:dyDescent="0.25">
      <c r="B99" s="2"/>
      <c r="O99" s="2"/>
    </row>
    <row r="100" spans="2:15" ht="58.5" customHeight="1" x14ac:dyDescent="0.25">
      <c r="B100" s="2"/>
      <c r="D100" s="338" t="s">
        <v>62</v>
      </c>
      <c r="E100" s="339"/>
      <c r="F100" s="340" t="s">
        <v>75</v>
      </c>
      <c r="G100" s="341"/>
      <c r="H100" s="341"/>
      <c r="I100" s="341"/>
      <c r="J100" s="341"/>
      <c r="K100" s="341"/>
      <c r="L100" s="341"/>
      <c r="M100" s="342"/>
      <c r="O100" s="2"/>
    </row>
    <row r="101" spans="2:15" ht="3.95" customHeight="1" x14ac:dyDescent="0.25">
      <c r="B101" s="2"/>
      <c r="O101" s="2"/>
    </row>
    <row r="102" spans="2:15" ht="19.5" customHeight="1" x14ac:dyDescent="0.25">
      <c r="B102" s="2"/>
      <c r="D102" s="329" t="s">
        <v>64</v>
      </c>
      <c r="E102" s="330"/>
      <c r="F102" s="19" t="s">
        <v>65</v>
      </c>
      <c r="G102" s="4" t="s">
        <v>2</v>
      </c>
      <c r="K102" s="20"/>
      <c r="O102" s="2"/>
    </row>
    <row r="103" spans="2:15" ht="19.5" customHeight="1" x14ac:dyDescent="0.25">
      <c r="B103" s="2"/>
      <c r="D103" s="331"/>
      <c r="E103" s="332"/>
      <c r="F103" s="19" t="s">
        <v>66</v>
      </c>
      <c r="G103" s="4"/>
      <c r="K103" s="21"/>
      <c r="O103" s="2"/>
    </row>
    <row r="104" spans="2:15" ht="27.75" customHeight="1" x14ac:dyDescent="0.25">
      <c r="B104" s="2"/>
      <c r="D104" s="331"/>
      <c r="E104" s="332"/>
      <c r="F104" s="19" t="s">
        <v>67</v>
      </c>
      <c r="G104" s="333"/>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69</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 xml:space="preserve">Director(a) Primera Infancia </v>
      </c>
      <c r="H108" s="334"/>
      <c r="I108" s="334"/>
      <c r="J108" s="334"/>
      <c r="K108" s="334"/>
      <c r="L108" s="334"/>
      <c r="M108" s="335"/>
      <c r="O108" s="2"/>
    </row>
    <row r="109" spans="2:15" ht="17.25" customHeight="1" x14ac:dyDescent="0.25">
      <c r="B109" s="2"/>
      <c r="D109" s="331"/>
      <c r="E109" s="332"/>
      <c r="F109" s="19" t="s">
        <v>2042</v>
      </c>
      <c r="G109" s="333" t="str">
        <f>+IF(M23="Si","Coordinador(a) Planeación y Sistemas","")</f>
        <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F51 G102">
    <cfRule type="expression" dxfId="3409" priority="29">
      <formula>+IF($F$43="no",1,0)</formula>
    </cfRule>
  </conditionalFormatting>
  <conditionalFormatting sqref="F32:M33">
    <cfRule type="expression" dxfId="3408" priority="28">
      <formula>+IF($Q$30="NA",1,0)</formula>
    </cfRule>
  </conditionalFormatting>
  <conditionalFormatting sqref="F33:M33">
    <cfRule type="expression" dxfId="3407" priority="27">
      <formula>+IF($Q$33=0,1,0)</formula>
    </cfRule>
  </conditionalFormatting>
  <conditionalFormatting sqref="F47:M47">
    <cfRule type="expression" dxfId="3406" priority="26">
      <formula>+IF($Q$47=0,1,0)</formula>
    </cfRule>
  </conditionalFormatting>
  <conditionalFormatting sqref="F73:G73">
    <cfRule type="cellIs" dxfId="3405" priority="12" operator="equal">
      <formula>"optimo"</formula>
    </cfRule>
    <cfRule type="cellIs" dxfId="3404" priority="13" operator="equal">
      <formula>"critico"</formula>
    </cfRule>
  </conditionalFormatting>
  <conditionalFormatting sqref="H73:I73">
    <cfRule type="cellIs" dxfId="3403" priority="10" operator="equal">
      <formula>"Adecuado"</formula>
    </cfRule>
    <cfRule type="cellIs" dxfId="3402" priority="11" operator="equal">
      <formula>"en riesgo"</formula>
    </cfRule>
  </conditionalFormatting>
  <conditionalFormatting sqref="J73:K73">
    <cfRule type="cellIs" dxfId="3401" priority="8" operator="equal">
      <formula>"Adecuado"</formula>
    </cfRule>
    <cfRule type="cellIs" dxfId="3400" priority="9" operator="equal">
      <formula>"en riesgo"</formula>
    </cfRule>
  </conditionalFormatting>
  <conditionalFormatting sqref="L73:M73">
    <cfRule type="cellIs" dxfId="3399" priority="6" operator="equal">
      <formula>"optimo"</formula>
    </cfRule>
    <cfRule type="cellIs" dxfId="3398" priority="7" operator="equal">
      <formula>"critico"</formula>
    </cfRule>
  </conditionalFormatting>
  <conditionalFormatting sqref="F75:M86">
    <cfRule type="expression" dxfId="3397" priority="5">
      <formula>+IF($AK75=0,1)</formula>
    </cfRule>
  </conditionalFormatting>
  <conditionalFormatting sqref="F103:G104">
    <cfRule type="expression" dxfId="3396" priority="4">
      <formula>+IF($G$102="No",1,0)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2">
    <tabColor rgb="FF0070C0"/>
  </sheetPr>
  <dimension ref="B1:AV113"/>
  <sheetViews>
    <sheetView topLeftCell="A52" zoomScaleNormal="100" workbookViewId="0"/>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309</v>
      </c>
      <c r="O10" s="2"/>
    </row>
    <row r="11" spans="2:24" ht="3.95" customHeight="1" x14ac:dyDescent="0.25">
      <c r="B11" s="2"/>
      <c r="D11" s="6"/>
      <c r="O11" s="2"/>
    </row>
    <row r="12" spans="2:24" ht="36" customHeight="1" x14ac:dyDescent="0.25">
      <c r="B12" s="2"/>
      <c r="D12" s="338" t="s">
        <v>5</v>
      </c>
      <c r="E12" s="339"/>
      <c r="F12" s="340" t="s">
        <v>310</v>
      </c>
      <c r="G12" s="341"/>
      <c r="H12" s="341"/>
      <c r="I12" s="341"/>
      <c r="J12" s="341"/>
      <c r="K12" s="341"/>
      <c r="L12" s="341"/>
      <c r="M12" s="342"/>
      <c r="O12" s="2"/>
      <c r="W12" s="3" t="str">
        <f>+F23</f>
        <v>Bimestral</v>
      </c>
      <c r="X12" s="3" t="str">
        <f>+F71</f>
        <v>Junio</v>
      </c>
    </row>
    <row r="13" spans="2:24" ht="3.95" customHeight="1" x14ac:dyDescent="0.25">
      <c r="B13" s="2"/>
      <c r="O13" s="2"/>
    </row>
    <row r="14" spans="2:24" ht="38.25" customHeight="1" x14ac:dyDescent="0.25">
      <c r="B14" s="2"/>
      <c r="D14" s="338" t="s">
        <v>6</v>
      </c>
      <c r="E14" s="339"/>
      <c r="F14" s="340" t="s">
        <v>974</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17" t="s">
        <v>512</v>
      </c>
      <c r="G22" s="337" t="s">
        <v>9</v>
      </c>
      <c r="H22" s="337"/>
      <c r="I22" s="17">
        <v>1</v>
      </c>
      <c r="K22" s="337" t="s">
        <v>10</v>
      </c>
      <c r="L22" s="337"/>
      <c r="M22" s="9" t="s">
        <v>496</v>
      </c>
      <c r="O22" s="2"/>
    </row>
    <row r="23" spans="2:17" ht="19.5" customHeight="1" x14ac:dyDescent="0.25">
      <c r="B23" s="2"/>
      <c r="D23" s="337" t="s">
        <v>11</v>
      </c>
      <c r="E23" s="337"/>
      <c r="F23" s="4" t="s">
        <v>513</v>
      </c>
      <c r="G23" s="337" t="s">
        <v>12</v>
      </c>
      <c r="H23" s="337"/>
      <c r="I23" s="4" t="s">
        <v>497</v>
      </c>
      <c r="K23" s="337" t="s">
        <v>13</v>
      </c>
      <c r="L23" s="337"/>
      <c r="M23" s="9" t="s">
        <v>496</v>
      </c>
      <c r="O23" s="2"/>
    </row>
    <row r="24" spans="2:17" ht="20.100000000000001" customHeight="1" x14ac:dyDescent="0.25">
      <c r="B24" s="2"/>
      <c r="D24" s="337" t="s">
        <v>14</v>
      </c>
      <c r="E24" s="337"/>
      <c r="F24" s="4" t="s">
        <v>498</v>
      </c>
      <c r="G24" s="337" t="s">
        <v>15</v>
      </c>
      <c r="H24" s="337"/>
      <c r="I24" s="4" t="s">
        <v>917</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soporte</v>
      </c>
    </row>
    <row r="31" spans="2:17" ht="24" customHeight="1" x14ac:dyDescent="0.25">
      <c r="B31" s="2"/>
      <c r="D31" s="347"/>
      <c r="E31" s="348"/>
      <c r="F31" s="4" t="s">
        <v>257</v>
      </c>
      <c r="G31" s="340" t="s">
        <v>258</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918</v>
      </c>
      <c r="G33" s="340" t="s">
        <v>892</v>
      </c>
      <c r="H33" s="341"/>
      <c r="I33" s="341"/>
      <c r="J33" s="341"/>
      <c r="K33" s="341"/>
      <c r="L33" s="341"/>
      <c r="M33" s="342"/>
      <c r="O33" s="2"/>
      <c r="Q33" s="3">
        <f>+IFERROR(IF(VLOOKUP(G33,base!$A$26:$C$40,3,FALSE)=F31,1,0),"")</f>
        <v>1</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1716</v>
      </c>
      <c r="G35" s="340" t="s">
        <v>1592</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948</v>
      </c>
      <c r="G45" s="340" t="s">
        <v>949</v>
      </c>
      <c r="H45" s="341"/>
      <c r="I45" s="341"/>
      <c r="J45" s="341"/>
      <c r="K45" s="341"/>
      <c r="L45" s="341"/>
      <c r="M45" s="342"/>
      <c r="O45" s="2"/>
      <c r="Q45" s="3" t="str">
        <f>+IFERROR(VLOOKUP(G45,base!$A$41:$C$45,3,FALSE),"")</f>
        <v>talento</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975</v>
      </c>
      <c r="G47" s="340" t="s">
        <v>976</v>
      </c>
      <c r="H47" s="341"/>
      <c r="I47" s="341"/>
      <c r="J47" s="341"/>
      <c r="K47" s="341"/>
      <c r="L47" s="341"/>
      <c r="M47" s="342"/>
      <c r="O47" s="2"/>
      <c r="Q47" s="3">
        <f>+IF(VLOOKUP(G47,base!$A$46:$C$66,3,FALSE)=F45,1,0)</f>
        <v>1</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920</v>
      </c>
      <c r="G49" s="340" t="s">
        <v>899</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17"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 customHeight="1" x14ac:dyDescent="0.25">
      <c r="B59" s="2"/>
      <c r="D59" s="337" t="s">
        <v>34</v>
      </c>
      <c r="E59" s="337"/>
      <c r="F59" s="344" t="s">
        <v>977</v>
      </c>
      <c r="G59" s="344"/>
      <c r="H59" s="344"/>
      <c r="I59" s="344"/>
      <c r="J59" s="344"/>
      <c r="K59" s="344"/>
      <c r="L59" s="344"/>
      <c r="M59" s="344"/>
      <c r="O59" s="2"/>
    </row>
    <row r="60" spans="2:15" ht="27.75" customHeight="1" x14ac:dyDescent="0.25">
      <c r="B60" s="2"/>
      <c r="D60" s="359" t="s">
        <v>35</v>
      </c>
      <c r="E60" s="359"/>
      <c r="F60" s="344" t="s">
        <v>978</v>
      </c>
      <c r="G60" s="344"/>
      <c r="H60" s="344"/>
      <c r="I60" s="344"/>
      <c r="J60" s="344"/>
      <c r="K60" s="344"/>
      <c r="L60" s="344"/>
      <c r="M60" s="344"/>
      <c r="O60" s="2"/>
    </row>
    <row r="61" spans="2:15" ht="27.75" customHeight="1" x14ac:dyDescent="0.25">
      <c r="B61" s="2"/>
      <c r="D61" s="359" t="s">
        <v>36</v>
      </c>
      <c r="E61" s="359"/>
      <c r="F61" s="344" t="s">
        <v>979</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2</v>
      </c>
    </row>
    <row r="70" spans="2:37" ht="3.95" customHeight="1" x14ac:dyDescent="0.25">
      <c r="B70" s="2"/>
      <c r="D70" s="7"/>
      <c r="E70" s="7"/>
      <c r="O70" s="2"/>
    </row>
    <row r="71" spans="2:37" ht="18.75" customHeight="1" x14ac:dyDescent="0.25">
      <c r="B71" s="2"/>
      <c r="D71" s="343" t="s">
        <v>39</v>
      </c>
      <c r="E71" s="343"/>
      <c r="F71" s="4" t="s">
        <v>50</v>
      </c>
      <c r="G71" s="3">
        <v>4</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60" t="s">
        <v>48</v>
      </c>
      <c r="E78" s="360"/>
      <c r="F78" s="16" t="s">
        <v>500</v>
      </c>
      <c r="G78" s="16">
        <v>7.9000000000000001E-2</v>
      </c>
      <c r="H78" s="16">
        <v>0.08</v>
      </c>
      <c r="I78" s="16">
        <v>8.8999999999999996E-2</v>
      </c>
      <c r="J78" s="16">
        <v>0.09</v>
      </c>
      <c r="K78" s="16">
        <v>9.9000000000000005E-2</v>
      </c>
      <c r="L78" s="16">
        <v>0.1</v>
      </c>
      <c r="M78" s="16" t="s">
        <v>500</v>
      </c>
      <c r="O78" s="2"/>
      <c r="AE78" s="3" t="s">
        <v>48</v>
      </c>
      <c r="AF78" s="3">
        <v>4</v>
      </c>
      <c r="AG78" s="3">
        <f t="shared" si="0"/>
        <v>1</v>
      </c>
      <c r="AH78" s="3">
        <f>+IF(AG78=0,0,IF(AG78=1,(SUM($AG$75:AG78)-1),1))</f>
        <v>0</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1</v>
      </c>
      <c r="AI79" s="3">
        <f t="shared" si="1"/>
        <v>0</v>
      </c>
      <c r="AJ79" s="3">
        <f t="shared" si="2"/>
        <v>0</v>
      </c>
      <c r="AK79" s="3">
        <f t="shared" si="3"/>
        <v>0</v>
      </c>
    </row>
    <row r="80" spans="2:37" x14ac:dyDescent="0.25">
      <c r="B80" s="2"/>
      <c r="D80" s="360" t="s">
        <v>50</v>
      </c>
      <c r="E80" s="360"/>
      <c r="F80" s="16" t="s">
        <v>500</v>
      </c>
      <c r="G80" s="16">
        <v>0.16900000000000001</v>
      </c>
      <c r="H80" s="16">
        <v>0.17</v>
      </c>
      <c r="I80" s="16">
        <v>0.20899999999999999</v>
      </c>
      <c r="J80" s="16">
        <v>0.21</v>
      </c>
      <c r="K80" s="16">
        <v>0.249</v>
      </c>
      <c r="L80" s="16">
        <v>0.25</v>
      </c>
      <c r="M80" s="16" t="s">
        <v>500</v>
      </c>
      <c r="O80" s="2"/>
      <c r="AE80" s="3" t="s">
        <v>50</v>
      </c>
      <c r="AF80" s="3">
        <v>6</v>
      </c>
      <c r="AG80" s="3">
        <f t="shared" si="0"/>
        <v>1</v>
      </c>
      <c r="AH80" s="3">
        <f>+IF(AG80=0,0,IF(AG80=1,(SUM($AG$75:AG80)-1),1))</f>
        <v>2</v>
      </c>
      <c r="AI80" s="3">
        <f t="shared" si="1"/>
        <v>1</v>
      </c>
      <c r="AJ80" s="3">
        <f t="shared" si="2"/>
        <v>1</v>
      </c>
      <c r="AK80" s="3">
        <f t="shared" si="3"/>
        <v>1</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3</v>
      </c>
      <c r="AI81" s="3">
        <f t="shared" si="1"/>
        <v>0</v>
      </c>
      <c r="AJ81" s="3">
        <f t="shared" si="2"/>
        <v>0</v>
      </c>
      <c r="AK81" s="3">
        <f t="shared" si="3"/>
        <v>0</v>
      </c>
    </row>
    <row r="82" spans="2:37" x14ac:dyDescent="0.25">
      <c r="B82" s="2"/>
      <c r="D82" s="360" t="s">
        <v>54</v>
      </c>
      <c r="E82" s="360"/>
      <c r="F82" s="16" t="s">
        <v>500</v>
      </c>
      <c r="G82" s="16">
        <v>0.36899999999999999</v>
      </c>
      <c r="H82" s="16">
        <v>0.37</v>
      </c>
      <c r="I82" s="16">
        <v>0.40899999999999997</v>
      </c>
      <c r="J82" s="16">
        <v>0.41</v>
      </c>
      <c r="K82" s="16">
        <v>0.44900000000000001</v>
      </c>
      <c r="L82" s="16">
        <v>0.45</v>
      </c>
      <c r="M82" s="16" t="s">
        <v>500</v>
      </c>
      <c r="O82" s="2"/>
      <c r="AE82" s="3" t="s">
        <v>54</v>
      </c>
      <c r="AF82" s="3">
        <v>8</v>
      </c>
      <c r="AG82" s="3">
        <f t="shared" si="0"/>
        <v>1</v>
      </c>
      <c r="AH82" s="3">
        <f>+IF(AG82=0,0,IF(AG82=1,(SUM($AG$75:AG82)-1),1))</f>
        <v>4</v>
      </c>
      <c r="AI82" s="3">
        <f t="shared" si="1"/>
        <v>1</v>
      </c>
      <c r="AJ82" s="3">
        <f t="shared" si="2"/>
        <v>0</v>
      </c>
      <c r="AK82" s="3">
        <f t="shared" si="3"/>
        <v>1</v>
      </c>
    </row>
    <row r="83" spans="2:37" x14ac:dyDescent="0.25">
      <c r="B83" s="2"/>
      <c r="D83" s="360" t="s">
        <v>55</v>
      </c>
      <c r="E83" s="360"/>
      <c r="F83" s="16" t="s">
        <v>500</v>
      </c>
      <c r="G83" s="16" t="s">
        <v>500</v>
      </c>
      <c r="H83" s="16" t="s">
        <v>500</v>
      </c>
      <c r="I83" s="16" t="s">
        <v>500</v>
      </c>
      <c r="J83" s="16" t="s">
        <v>500</v>
      </c>
      <c r="K83" s="16" t="s">
        <v>500</v>
      </c>
      <c r="L83" s="16" t="s">
        <v>500</v>
      </c>
      <c r="M83" s="16" t="s">
        <v>500</v>
      </c>
      <c r="O83" s="2"/>
      <c r="AE83" s="3" t="s">
        <v>55</v>
      </c>
      <c r="AF83" s="3">
        <v>9</v>
      </c>
      <c r="AG83" s="3">
        <f t="shared" si="0"/>
        <v>1</v>
      </c>
      <c r="AH83" s="3">
        <f>+IF(AG83=0,0,IF(AG83=1,(SUM($AG$75:AG83)-1),1))</f>
        <v>5</v>
      </c>
      <c r="AI83" s="3">
        <f t="shared" si="1"/>
        <v>0</v>
      </c>
      <c r="AJ83" s="3">
        <f t="shared" si="2"/>
        <v>0</v>
      </c>
      <c r="AK83" s="3">
        <f t="shared" si="3"/>
        <v>0</v>
      </c>
    </row>
    <row r="84" spans="2:37" x14ac:dyDescent="0.25">
      <c r="B84" s="2"/>
      <c r="D84" s="360" t="s">
        <v>56</v>
      </c>
      <c r="E84" s="360"/>
      <c r="F84" s="16" t="s">
        <v>500</v>
      </c>
      <c r="G84" s="16">
        <v>0.66900000000000004</v>
      </c>
      <c r="H84" s="16">
        <v>0.67</v>
      </c>
      <c r="I84" s="16">
        <v>0.70899999999999996</v>
      </c>
      <c r="J84" s="16">
        <v>0.71</v>
      </c>
      <c r="K84" s="16">
        <v>0.749</v>
      </c>
      <c r="L84" s="16">
        <v>0.75</v>
      </c>
      <c r="M84" s="16" t="s">
        <v>500</v>
      </c>
      <c r="O84" s="2"/>
      <c r="AE84" s="3" t="s">
        <v>56</v>
      </c>
      <c r="AF84" s="3">
        <v>10</v>
      </c>
      <c r="AG84" s="3">
        <f t="shared" si="0"/>
        <v>1</v>
      </c>
      <c r="AH84" s="3">
        <f>+IF(AG84=0,0,IF(AG84=1,(SUM($AG$75:AG84)-1),1))</f>
        <v>6</v>
      </c>
      <c r="AI84" s="3">
        <f t="shared" si="1"/>
        <v>1</v>
      </c>
      <c r="AJ84" s="3">
        <f t="shared" si="2"/>
        <v>0</v>
      </c>
      <c r="AK84" s="3">
        <f t="shared" si="3"/>
        <v>1</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7</v>
      </c>
      <c r="AI85" s="3">
        <f t="shared" si="1"/>
        <v>0</v>
      </c>
      <c r="AJ85" s="3">
        <f t="shared" si="2"/>
        <v>0</v>
      </c>
      <c r="AK85" s="3">
        <f t="shared" si="3"/>
        <v>0</v>
      </c>
    </row>
    <row r="86" spans="2:37" x14ac:dyDescent="0.25">
      <c r="B86" s="2"/>
      <c r="D86" s="360" t="s">
        <v>58</v>
      </c>
      <c r="E86" s="360"/>
      <c r="F86" s="16" t="s">
        <v>500</v>
      </c>
      <c r="G86" s="16">
        <v>0.879</v>
      </c>
      <c r="H86" s="16">
        <v>0.88</v>
      </c>
      <c r="I86" s="16">
        <v>0.92900000000000005</v>
      </c>
      <c r="J86" s="16">
        <v>0.93</v>
      </c>
      <c r="K86" s="16">
        <v>0.999</v>
      </c>
      <c r="L86" s="16" t="s">
        <v>500</v>
      </c>
      <c r="M86" s="16">
        <v>1</v>
      </c>
      <c r="O86" s="2"/>
      <c r="AE86" s="3" t="s">
        <v>58</v>
      </c>
      <c r="AF86" s="65">
        <v>12</v>
      </c>
      <c r="AG86" s="3">
        <f t="shared" si="0"/>
        <v>1</v>
      </c>
      <c r="AH86" s="3">
        <f>+IF(AG86=0,0,IF(AG86=1,(SUM($AG$75:AG86)-1),1))</f>
        <v>8</v>
      </c>
      <c r="AI86" s="3">
        <f t="shared" si="1"/>
        <v>1</v>
      </c>
      <c r="AJ86" s="3">
        <f t="shared" si="2"/>
        <v>0</v>
      </c>
      <c r="AK86" s="3">
        <f t="shared" si="3"/>
        <v>1</v>
      </c>
    </row>
    <row r="87" spans="2:37" ht="3.75" customHeight="1" x14ac:dyDescent="0.25">
      <c r="B87" s="2"/>
      <c r="O87" s="2"/>
    </row>
    <row r="88" spans="2:37" ht="66" customHeight="1" x14ac:dyDescent="0.25">
      <c r="B88" s="2"/>
      <c r="D88" s="338" t="s">
        <v>59</v>
      </c>
      <c r="E88" s="339"/>
      <c r="F88" s="340" t="s">
        <v>900</v>
      </c>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2" customHeight="1" x14ac:dyDescent="0.25">
      <c r="B97" s="2"/>
      <c r="D97" s="359" t="s">
        <v>35</v>
      </c>
      <c r="E97" s="359"/>
      <c r="F97" s="344" t="s">
        <v>980</v>
      </c>
      <c r="G97" s="344"/>
      <c r="H97" s="344"/>
      <c r="I97" s="344"/>
      <c r="J97" s="344"/>
      <c r="K97" s="344"/>
      <c r="L97" s="344"/>
      <c r="M97" s="344"/>
      <c r="O97" s="2"/>
    </row>
    <row r="98" spans="2:15" ht="42" customHeight="1" x14ac:dyDescent="0.25">
      <c r="B98" s="2"/>
      <c r="D98" s="359" t="s">
        <v>36</v>
      </c>
      <c r="E98" s="359"/>
      <c r="F98" s="344" t="s">
        <v>981</v>
      </c>
      <c r="G98" s="344"/>
      <c r="H98" s="344"/>
      <c r="I98" s="344"/>
      <c r="J98" s="344"/>
      <c r="K98" s="344"/>
      <c r="L98" s="344"/>
      <c r="M98" s="344"/>
      <c r="O98" s="2"/>
    </row>
    <row r="99" spans="2:15" ht="3.95" customHeight="1" x14ac:dyDescent="0.25">
      <c r="B99" s="2"/>
      <c r="O99" s="2"/>
    </row>
    <row r="100" spans="2:15" ht="58.5" customHeight="1" x14ac:dyDescent="0.25">
      <c r="B100" s="2"/>
      <c r="D100" s="338" t="s">
        <v>62</v>
      </c>
      <c r="E100" s="339"/>
      <c r="F100" s="340" t="s">
        <v>898</v>
      </c>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1</v>
      </c>
      <c r="K102" s="20"/>
      <c r="O102" s="2"/>
    </row>
    <row r="103" spans="2:15" ht="19.5" customHeight="1" x14ac:dyDescent="0.25">
      <c r="B103" s="2"/>
      <c r="D103" s="331"/>
      <c r="E103" s="332"/>
      <c r="F103" s="19" t="s">
        <v>66</v>
      </c>
      <c r="G103" s="4" t="s">
        <v>322</v>
      </c>
      <c r="K103" s="21"/>
      <c r="O103" s="2"/>
    </row>
    <row r="104" spans="2:15" ht="27.75" customHeight="1" x14ac:dyDescent="0.25">
      <c r="B104" s="2"/>
      <c r="D104" s="331"/>
      <c r="E104" s="332"/>
      <c r="F104" s="19" t="s">
        <v>67</v>
      </c>
      <c r="G104" s="333" t="s">
        <v>901</v>
      </c>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Director(a) Gestión Humana</v>
      </c>
      <c r="H108" s="334"/>
      <c r="I108" s="334"/>
      <c r="J108" s="334"/>
      <c r="K108" s="334"/>
      <c r="L108" s="334"/>
      <c r="M108" s="335"/>
      <c r="O108" s="2"/>
    </row>
    <row r="109" spans="2:15" ht="17.25" customHeight="1" x14ac:dyDescent="0.25">
      <c r="B109" s="2"/>
      <c r="D109" s="331"/>
      <c r="E109" s="332"/>
      <c r="F109" s="19" t="s">
        <v>2042</v>
      </c>
      <c r="G109" s="333" t="str">
        <f>+IF(M23="Si","Coordinador(a) Planeación y Sistemas","")</f>
        <v>Coordinador(a) Planeación y Sistemas</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070" priority="33">
      <formula>+IF($F$43="no",1,0)</formula>
    </cfRule>
  </conditionalFormatting>
  <conditionalFormatting sqref="F32:M33">
    <cfRule type="expression" dxfId="2069" priority="32">
      <formula>+IF($Q$30="NA",1,0)</formula>
    </cfRule>
  </conditionalFormatting>
  <conditionalFormatting sqref="F33:M33">
    <cfRule type="expression" dxfId="2068" priority="31">
      <formula>+IF($Q$33=0,1,0)</formula>
    </cfRule>
  </conditionalFormatting>
  <conditionalFormatting sqref="F47:M47">
    <cfRule type="expression" dxfId="2067" priority="30">
      <formula>+IF($Q$47=0,1,0)</formula>
    </cfRule>
  </conditionalFormatting>
  <conditionalFormatting sqref="F73:G73">
    <cfRule type="cellIs" dxfId="2066" priority="16" operator="equal">
      <formula>"optimo"</formula>
    </cfRule>
    <cfRule type="cellIs" dxfId="2065" priority="17" operator="equal">
      <formula>"critico"</formula>
    </cfRule>
  </conditionalFormatting>
  <conditionalFormatting sqref="H73:I73">
    <cfRule type="cellIs" dxfId="2064" priority="14" operator="equal">
      <formula>"Adecuado"</formula>
    </cfRule>
    <cfRule type="cellIs" dxfId="2063" priority="15" operator="equal">
      <formula>"en riesgo"</formula>
    </cfRule>
  </conditionalFormatting>
  <conditionalFormatting sqref="J73:K73">
    <cfRule type="cellIs" dxfId="2062" priority="12" operator="equal">
      <formula>"Adecuado"</formula>
    </cfRule>
    <cfRule type="cellIs" dxfId="2061" priority="13" operator="equal">
      <formula>"en riesgo"</formula>
    </cfRule>
  </conditionalFormatting>
  <conditionalFormatting sqref="L73:M73">
    <cfRule type="cellIs" dxfId="2060" priority="10" operator="equal">
      <formula>"optimo"</formula>
    </cfRule>
    <cfRule type="cellIs" dxfId="2059" priority="11" operator="equal">
      <formula>"critico"</formula>
    </cfRule>
  </conditionalFormatting>
  <conditionalFormatting sqref="F75:M86">
    <cfRule type="expression" dxfId="2058" priority="9">
      <formula>+IF($AK75=0,1)</formula>
    </cfRule>
  </conditionalFormatting>
  <conditionalFormatting sqref="F103:F104">
    <cfRule type="expression" dxfId="2057" priority="8">
      <formula>+IF($G$102="No",1,0)</formula>
    </cfRule>
  </conditionalFormatting>
  <conditionalFormatting sqref="F51">
    <cfRule type="expression" dxfId="2056" priority="7">
      <formula>+IF($F$43="no",1,0)</formula>
    </cfRule>
  </conditionalFormatting>
  <conditionalFormatting sqref="I51">
    <cfRule type="expression" dxfId="2055" priority="6">
      <formula>+IF($F$51="no",1,0)</formula>
    </cfRule>
  </conditionalFormatting>
  <conditionalFormatting sqref="G103">
    <cfRule type="expression" dxfId="2054" priority="5">
      <formula>+IF($G$102="No",1,0)</formula>
    </cfRule>
  </conditionalFormatting>
  <conditionalFormatting sqref="G104">
    <cfRule type="expression" dxfId="2053" priority="4">
      <formula>+IF($G$102="No",1,0)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3">
    <tabColor rgb="FF0070C0"/>
  </sheetPr>
  <dimension ref="B1:AV113"/>
  <sheetViews>
    <sheetView topLeftCell="A49" zoomScaleNormal="100" workbookViewId="0">
      <selection activeCell="G77" sqref="G77"/>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311</v>
      </c>
      <c r="O10" s="2"/>
    </row>
    <row r="11" spans="2:24" ht="3.95" customHeight="1" x14ac:dyDescent="0.25">
      <c r="B11" s="2"/>
      <c r="D11" s="6"/>
      <c r="O11" s="2"/>
    </row>
    <row r="12" spans="2:24" ht="36" customHeight="1" x14ac:dyDescent="0.25">
      <c r="B12" s="2"/>
      <c r="D12" s="338" t="s">
        <v>5</v>
      </c>
      <c r="E12" s="339"/>
      <c r="F12" s="340" t="s">
        <v>965</v>
      </c>
      <c r="G12" s="341"/>
      <c r="H12" s="341"/>
      <c r="I12" s="341"/>
      <c r="J12" s="341"/>
      <c r="K12" s="341"/>
      <c r="L12" s="341"/>
      <c r="M12" s="342"/>
      <c r="O12" s="2"/>
      <c r="W12" s="3" t="str">
        <f>+F23</f>
        <v>Trimestral</v>
      </c>
      <c r="X12" s="3" t="str">
        <f>+F71</f>
        <v>Marzo</v>
      </c>
    </row>
    <row r="13" spans="2:24" ht="3.95" customHeight="1" x14ac:dyDescent="0.25">
      <c r="B13" s="2"/>
      <c r="O13" s="2"/>
    </row>
    <row r="14" spans="2:24" ht="38.25" customHeight="1" x14ac:dyDescent="0.25">
      <c r="B14" s="2"/>
      <c r="D14" s="338" t="s">
        <v>6</v>
      </c>
      <c r="E14" s="339"/>
      <c r="F14" s="340" t="s">
        <v>966</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17">
        <v>0.84</v>
      </c>
      <c r="G22" s="337" t="s">
        <v>9</v>
      </c>
      <c r="H22" s="337"/>
      <c r="I22" s="17">
        <v>1</v>
      </c>
      <c r="K22" s="337" t="s">
        <v>10</v>
      </c>
      <c r="L22" s="337"/>
      <c r="M22" s="9" t="s">
        <v>496</v>
      </c>
      <c r="O22" s="2"/>
    </row>
    <row r="23" spans="2:17" ht="19.5" customHeight="1" x14ac:dyDescent="0.25">
      <c r="B23" s="2"/>
      <c r="D23" s="337" t="s">
        <v>11</v>
      </c>
      <c r="E23" s="337"/>
      <c r="F23" s="4" t="s">
        <v>71</v>
      </c>
      <c r="G23" s="337" t="s">
        <v>12</v>
      </c>
      <c r="H23" s="337"/>
      <c r="I23" s="4" t="s">
        <v>497</v>
      </c>
      <c r="K23" s="337" t="s">
        <v>13</v>
      </c>
      <c r="L23" s="337"/>
      <c r="M23" s="9" t="s">
        <v>2</v>
      </c>
      <c r="O23" s="2"/>
    </row>
    <row r="24" spans="2:17" ht="20.100000000000001" customHeight="1" x14ac:dyDescent="0.25">
      <c r="B24" s="2"/>
      <c r="D24" s="337" t="s">
        <v>14</v>
      </c>
      <c r="E24" s="337"/>
      <c r="F24" s="4" t="s">
        <v>498</v>
      </c>
      <c r="G24" s="337" t="s">
        <v>15</v>
      </c>
      <c r="H24" s="337"/>
      <c r="I24" s="4" t="s">
        <v>917</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soporte</v>
      </c>
    </row>
    <row r="31" spans="2:17" ht="24" customHeight="1" x14ac:dyDescent="0.25">
      <c r="B31" s="2"/>
      <c r="D31" s="347"/>
      <c r="E31" s="348"/>
      <c r="F31" s="4" t="s">
        <v>257</v>
      </c>
      <c r="G31" s="340" t="s">
        <v>258</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918</v>
      </c>
      <c r="G33" s="340" t="s">
        <v>892</v>
      </c>
      <c r="H33" s="341"/>
      <c r="I33" s="341"/>
      <c r="J33" s="341"/>
      <c r="K33" s="341"/>
      <c r="L33" s="341"/>
      <c r="M33" s="342"/>
      <c r="O33" s="2"/>
      <c r="Q33" s="3">
        <f>+IFERROR(IF(VLOOKUP(G33,base!$A$26:$C$40,3,FALSE)=F31,1,0),"")</f>
        <v>1</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1716</v>
      </c>
      <c r="G35" s="340" t="s">
        <v>1592</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948</v>
      </c>
      <c r="G45" s="340" t="s">
        <v>949</v>
      </c>
      <c r="H45" s="341"/>
      <c r="I45" s="341"/>
      <c r="J45" s="341"/>
      <c r="K45" s="341"/>
      <c r="L45" s="341"/>
      <c r="M45" s="342"/>
      <c r="O45" s="2"/>
      <c r="Q45" s="3" t="str">
        <f>+IFERROR(VLOOKUP(G45,base!$A$41:$C$45,3,FALSE),"")</f>
        <v>talento</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967</v>
      </c>
      <c r="G47" s="340" t="s">
        <v>968</v>
      </c>
      <c r="H47" s="341"/>
      <c r="I47" s="341"/>
      <c r="J47" s="341"/>
      <c r="K47" s="341"/>
      <c r="L47" s="341"/>
      <c r="M47" s="342"/>
      <c r="O47" s="2"/>
      <c r="Q47" s="3">
        <f>+IF(VLOOKUP(G47,base!$A$46:$C$66,3,FALSE)=F45,1,0)</f>
        <v>1</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920</v>
      </c>
      <c r="G49" s="340" t="s">
        <v>899</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17"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 customHeight="1" x14ac:dyDescent="0.25">
      <c r="B59" s="2"/>
      <c r="D59" s="337" t="s">
        <v>34</v>
      </c>
      <c r="E59" s="337"/>
      <c r="F59" s="344" t="s">
        <v>969</v>
      </c>
      <c r="G59" s="344"/>
      <c r="H59" s="344"/>
      <c r="I59" s="344"/>
      <c r="J59" s="344"/>
      <c r="K59" s="344"/>
      <c r="L59" s="344"/>
      <c r="M59" s="344"/>
      <c r="O59" s="2"/>
    </row>
    <row r="60" spans="2:15" ht="27.75" customHeight="1" x14ac:dyDescent="0.25">
      <c r="B60" s="2"/>
      <c r="D60" s="359" t="s">
        <v>35</v>
      </c>
      <c r="E60" s="359"/>
      <c r="F60" s="344" t="s">
        <v>970</v>
      </c>
      <c r="G60" s="344"/>
      <c r="H60" s="344"/>
      <c r="I60" s="344"/>
      <c r="J60" s="344"/>
      <c r="K60" s="344"/>
      <c r="L60" s="344"/>
      <c r="M60" s="344"/>
      <c r="O60" s="2"/>
    </row>
    <row r="61" spans="2:15" ht="27.75" customHeight="1" x14ac:dyDescent="0.25">
      <c r="B61" s="2"/>
      <c r="D61" s="359" t="s">
        <v>36</v>
      </c>
      <c r="E61" s="359"/>
      <c r="F61" s="344" t="s">
        <v>971</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43" t="s">
        <v>39</v>
      </c>
      <c r="E71" s="343"/>
      <c r="F71" s="4" t="s">
        <v>47</v>
      </c>
      <c r="G71" s="3">
        <v>3</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v>2.8999999999999998E-2</v>
      </c>
      <c r="H77" s="16">
        <v>0.03</v>
      </c>
      <c r="I77" s="16">
        <v>3.9E-2</v>
      </c>
      <c r="J77" s="16">
        <v>0.04</v>
      </c>
      <c r="K77" s="16">
        <v>4.9000000000000002E-2</v>
      </c>
      <c r="L77" s="16">
        <v>0.05</v>
      </c>
      <c r="M77" s="16" t="s">
        <v>500</v>
      </c>
      <c r="O77" s="2"/>
      <c r="AE77" s="3" t="s">
        <v>47</v>
      </c>
      <c r="AF77" s="3">
        <v>3</v>
      </c>
      <c r="AG77" s="3">
        <f t="shared" si="0"/>
        <v>1</v>
      </c>
      <c r="AH77" s="3">
        <f>+IF(AG77=0,0,IF(AG77=1,(SUM($AG$75:AG77)-1),1))</f>
        <v>0</v>
      </c>
      <c r="AI77" s="3">
        <f t="shared" si="1"/>
        <v>0</v>
      </c>
      <c r="AJ77" s="3">
        <f t="shared" si="2"/>
        <v>1</v>
      </c>
      <c r="AK77" s="3">
        <f t="shared" si="3"/>
        <v>1</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2</v>
      </c>
      <c r="AI79" s="3">
        <f t="shared" si="1"/>
        <v>0</v>
      </c>
      <c r="AJ79" s="3">
        <f t="shared" si="2"/>
        <v>0</v>
      </c>
      <c r="AK79" s="3">
        <f t="shared" si="3"/>
        <v>0</v>
      </c>
    </row>
    <row r="80" spans="2:37" x14ac:dyDescent="0.25">
      <c r="B80" s="2"/>
      <c r="D80" s="360" t="s">
        <v>50</v>
      </c>
      <c r="E80" s="360"/>
      <c r="F80" s="16" t="s">
        <v>500</v>
      </c>
      <c r="G80" s="16">
        <v>0.29899999999999999</v>
      </c>
      <c r="H80" s="16">
        <v>0.3</v>
      </c>
      <c r="I80" s="16">
        <v>0.34899999999999998</v>
      </c>
      <c r="J80" s="16">
        <v>0.35</v>
      </c>
      <c r="K80" s="16">
        <v>0.39900000000000002</v>
      </c>
      <c r="L80" s="16">
        <v>0.4</v>
      </c>
      <c r="M80" s="16" t="s">
        <v>500</v>
      </c>
      <c r="O80" s="2"/>
      <c r="AE80" s="3" t="s">
        <v>50</v>
      </c>
      <c r="AF80" s="3">
        <v>6</v>
      </c>
      <c r="AG80" s="3">
        <f t="shared" si="0"/>
        <v>1</v>
      </c>
      <c r="AH80" s="3">
        <f>+IF(AG80=0,0,IF(AG80=1,(SUM($AG$75:AG80)-1),1))</f>
        <v>3</v>
      </c>
      <c r="AI80" s="3">
        <f t="shared" si="1"/>
        <v>1</v>
      </c>
      <c r="AJ80" s="3">
        <f t="shared" si="2"/>
        <v>0</v>
      </c>
      <c r="AK80" s="3">
        <f t="shared" si="3"/>
        <v>1</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4</v>
      </c>
      <c r="AI81" s="3">
        <f t="shared" si="1"/>
        <v>0</v>
      </c>
      <c r="AJ81" s="3">
        <f t="shared" si="2"/>
        <v>0</v>
      </c>
      <c r="AK81" s="3">
        <f t="shared" si="3"/>
        <v>0</v>
      </c>
    </row>
    <row r="82" spans="2:37" x14ac:dyDescent="0.25">
      <c r="B82" s="2"/>
      <c r="D82" s="360" t="s">
        <v>54</v>
      </c>
      <c r="E82" s="360"/>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60" t="s">
        <v>55</v>
      </c>
      <c r="E83" s="360"/>
      <c r="F83" s="16" t="s">
        <v>500</v>
      </c>
      <c r="G83" s="16" t="s">
        <v>512</v>
      </c>
      <c r="H83" s="16" t="s">
        <v>512</v>
      </c>
      <c r="I83" s="16" t="s">
        <v>512</v>
      </c>
      <c r="J83" s="16" t="s">
        <v>512</v>
      </c>
      <c r="K83" s="16" t="s">
        <v>512</v>
      </c>
      <c r="L83" s="16" t="s">
        <v>500</v>
      </c>
      <c r="M83" s="16" t="s">
        <v>500</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60" t="s">
        <v>58</v>
      </c>
      <c r="E86" s="360"/>
      <c r="F86" s="16" t="s">
        <v>500</v>
      </c>
      <c r="G86" s="16">
        <v>0.89900000000000002</v>
      </c>
      <c r="H86" s="16">
        <v>0.9</v>
      </c>
      <c r="I86" s="16">
        <v>0.94899999999999995</v>
      </c>
      <c r="J86" s="16">
        <v>0.95</v>
      </c>
      <c r="K86" s="16">
        <v>0.97899999999999998</v>
      </c>
      <c r="L86" s="16">
        <v>0.98</v>
      </c>
      <c r="M86" s="16" t="s">
        <v>500</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66" customHeight="1" x14ac:dyDescent="0.25">
      <c r="B88" s="2"/>
      <c r="D88" s="338" t="s">
        <v>59</v>
      </c>
      <c r="E88" s="339"/>
      <c r="F88" s="340" t="s">
        <v>902</v>
      </c>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2" customHeight="1" x14ac:dyDescent="0.25">
      <c r="B97" s="2"/>
      <c r="D97" s="359" t="s">
        <v>35</v>
      </c>
      <c r="E97" s="359"/>
      <c r="F97" s="344" t="s">
        <v>972</v>
      </c>
      <c r="G97" s="344"/>
      <c r="H97" s="344"/>
      <c r="I97" s="344"/>
      <c r="J97" s="344"/>
      <c r="K97" s="344"/>
      <c r="L97" s="344"/>
      <c r="M97" s="344"/>
      <c r="O97" s="2"/>
    </row>
    <row r="98" spans="2:15" ht="42" customHeight="1" x14ac:dyDescent="0.25">
      <c r="B98" s="2"/>
      <c r="D98" s="359" t="s">
        <v>36</v>
      </c>
      <c r="E98" s="359"/>
      <c r="F98" s="344" t="s">
        <v>973</v>
      </c>
      <c r="G98" s="344"/>
      <c r="H98" s="344"/>
      <c r="I98" s="344"/>
      <c r="J98" s="344"/>
      <c r="K98" s="344"/>
      <c r="L98" s="344"/>
      <c r="M98" s="344"/>
      <c r="O98" s="2"/>
    </row>
    <row r="99" spans="2:15" ht="3.95" customHeight="1" x14ac:dyDescent="0.25">
      <c r="B99" s="2"/>
      <c r="O99" s="2"/>
    </row>
    <row r="100" spans="2:15" ht="58.5" customHeight="1" x14ac:dyDescent="0.25">
      <c r="B100" s="2"/>
      <c r="D100" s="338" t="s">
        <v>62</v>
      </c>
      <c r="E100" s="339"/>
      <c r="F100" s="340" t="s">
        <v>903</v>
      </c>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1</v>
      </c>
      <c r="K102" s="20"/>
      <c r="O102" s="2"/>
    </row>
    <row r="103" spans="2:15" ht="19.5" customHeight="1" x14ac:dyDescent="0.25">
      <c r="B103" s="2"/>
      <c r="D103" s="331"/>
      <c r="E103" s="332"/>
      <c r="F103" s="19" t="s">
        <v>66</v>
      </c>
      <c r="G103" s="4" t="s">
        <v>320</v>
      </c>
      <c r="K103" s="21"/>
      <c r="O103" s="2"/>
    </row>
    <row r="104" spans="2:15" ht="27.75" customHeight="1" x14ac:dyDescent="0.25">
      <c r="B104" s="2"/>
      <c r="D104" s="331"/>
      <c r="E104" s="332"/>
      <c r="F104" s="19" t="s">
        <v>67</v>
      </c>
      <c r="G104" s="333" t="s">
        <v>904</v>
      </c>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Director(a) Gestión Humana</v>
      </c>
      <c r="H108" s="334"/>
      <c r="I108" s="334"/>
      <c r="J108" s="334"/>
      <c r="K108" s="334"/>
      <c r="L108" s="334"/>
      <c r="M108" s="335"/>
      <c r="O108" s="2"/>
    </row>
    <row r="109" spans="2:15" ht="17.25" customHeight="1" x14ac:dyDescent="0.25">
      <c r="B109" s="2"/>
      <c r="D109" s="331"/>
      <c r="E109" s="332"/>
      <c r="F109" s="19" t="s">
        <v>2042</v>
      </c>
      <c r="G109" s="333" t="str">
        <f>+IF(M23="Si","Coordinador(a) Planeación y Sistemas","")</f>
        <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052" priority="31">
      <formula>+IF($F$43="no",1,0)</formula>
    </cfRule>
  </conditionalFormatting>
  <conditionalFormatting sqref="F32:M33">
    <cfRule type="expression" dxfId="2051" priority="30">
      <formula>+IF($Q$30="NA",1,0)</formula>
    </cfRule>
  </conditionalFormatting>
  <conditionalFormatting sqref="F33:M33">
    <cfRule type="expression" dxfId="2050" priority="29">
      <formula>+IF($Q$33=0,1,0)</formula>
    </cfRule>
  </conditionalFormatting>
  <conditionalFormatting sqref="F47:M47">
    <cfRule type="expression" dxfId="2049" priority="28">
      <formula>+IF($Q$47=0,1,0)</formula>
    </cfRule>
  </conditionalFormatting>
  <conditionalFormatting sqref="F73:G73">
    <cfRule type="cellIs" dxfId="2048" priority="14" operator="equal">
      <formula>"optimo"</formula>
    </cfRule>
    <cfRule type="cellIs" dxfId="2047" priority="15" operator="equal">
      <formula>"critico"</formula>
    </cfRule>
  </conditionalFormatting>
  <conditionalFormatting sqref="H73:I73">
    <cfRule type="cellIs" dxfId="2046" priority="12" operator="equal">
      <formula>"Adecuado"</formula>
    </cfRule>
    <cfRule type="cellIs" dxfId="2045" priority="13" operator="equal">
      <formula>"en riesgo"</formula>
    </cfRule>
  </conditionalFormatting>
  <conditionalFormatting sqref="J73:K73">
    <cfRule type="cellIs" dxfId="2044" priority="10" operator="equal">
      <formula>"Adecuado"</formula>
    </cfRule>
    <cfRule type="cellIs" dxfId="2043" priority="11" operator="equal">
      <formula>"en riesgo"</formula>
    </cfRule>
  </conditionalFormatting>
  <conditionalFormatting sqref="L73:M73">
    <cfRule type="cellIs" dxfId="2042" priority="8" operator="equal">
      <formula>"optimo"</formula>
    </cfRule>
    <cfRule type="cellIs" dxfId="2041" priority="9" operator="equal">
      <formula>"critico"</formula>
    </cfRule>
  </conditionalFormatting>
  <conditionalFormatting sqref="F75:M86">
    <cfRule type="expression" dxfId="2040" priority="7">
      <formula>+IF($AK75=0,1)</formula>
    </cfRule>
  </conditionalFormatting>
  <conditionalFormatting sqref="F103:G104">
    <cfRule type="expression" dxfId="2039" priority="6">
      <formula>+IF($G$102="No",1,0)</formula>
    </cfRule>
  </conditionalFormatting>
  <conditionalFormatting sqref="F51">
    <cfRule type="expression" dxfId="2038" priority="5">
      <formula>+IF($F$43="no",1,0)</formula>
    </cfRule>
  </conditionalFormatting>
  <conditionalFormatting sqref="I51">
    <cfRule type="expression" dxfId="2037"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4">
    <tabColor rgb="FF0070C0"/>
  </sheetPr>
  <dimension ref="B1:AV113"/>
  <sheetViews>
    <sheetView topLeftCell="A46" zoomScaleNormal="100" workbookViewId="0">
      <selection activeCell="G79" sqref="G79"/>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313</v>
      </c>
      <c r="O10" s="2"/>
    </row>
    <row r="11" spans="2:24" ht="3.95" customHeight="1" x14ac:dyDescent="0.25">
      <c r="B11" s="2"/>
      <c r="D11" s="6"/>
      <c r="O11" s="2"/>
    </row>
    <row r="12" spans="2:24" ht="36" customHeight="1" x14ac:dyDescent="0.25">
      <c r="B12" s="2"/>
      <c r="D12" s="338" t="s">
        <v>5</v>
      </c>
      <c r="E12" s="339"/>
      <c r="F12" s="340" t="s">
        <v>314</v>
      </c>
      <c r="G12" s="341"/>
      <c r="H12" s="341"/>
      <c r="I12" s="341"/>
      <c r="J12" s="341"/>
      <c r="K12" s="341"/>
      <c r="L12" s="341"/>
      <c r="M12" s="342"/>
      <c r="O12" s="2"/>
      <c r="W12" s="3" t="str">
        <f>+F23</f>
        <v>Bimestral</v>
      </c>
      <c r="X12" s="3" t="str">
        <f>+F71</f>
        <v>Abril</v>
      </c>
    </row>
    <row r="13" spans="2:24" ht="3.95" customHeight="1" x14ac:dyDescent="0.25">
      <c r="B13" s="2"/>
      <c r="O13" s="2"/>
    </row>
    <row r="14" spans="2:24" ht="38.25" customHeight="1" x14ac:dyDescent="0.25">
      <c r="B14" s="2"/>
      <c r="D14" s="338" t="s">
        <v>6</v>
      </c>
      <c r="E14" s="339"/>
      <c r="F14" s="340" t="s">
        <v>957</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17">
        <v>0.86</v>
      </c>
      <c r="G22" s="337" t="s">
        <v>9</v>
      </c>
      <c r="H22" s="337"/>
      <c r="I22" s="17">
        <v>0.87</v>
      </c>
      <c r="K22" s="337" t="s">
        <v>10</v>
      </c>
      <c r="L22" s="337"/>
      <c r="M22" s="9" t="s">
        <v>496</v>
      </c>
      <c r="O22" s="2"/>
    </row>
    <row r="23" spans="2:17" ht="19.5" customHeight="1" x14ac:dyDescent="0.25">
      <c r="B23" s="2"/>
      <c r="D23" s="337" t="s">
        <v>11</v>
      </c>
      <c r="E23" s="337"/>
      <c r="F23" s="4" t="s">
        <v>513</v>
      </c>
      <c r="G23" s="337" t="s">
        <v>12</v>
      </c>
      <c r="H23" s="337"/>
      <c r="I23" s="4" t="s">
        <v>497</v>
      </c>
      <c r="K23" s="337" t="s">
        <v>13</v>
      </c>
      <c r="L23" s="337"/>
      <c r="M23" s="9" t="s">
        <v>496</v>
      </c>
      <c r="O23" s="2"/>
    </row>
    <row r="24" spans="2:17" ht="20.100000000000001" customHeight="1" x14ac:dyDescent="0.25">
      <c r="B24" s="2"/>
      <c r="D24" s="337" t="s">
        <v>14</v>
      </c>
      <c r="E24" s="337"/>
      <c r="F24" s="4" t="s">
        <v>498</v>
      </c>
      <c r="G24" s="337" t="s">
        <v>15</v>
      </c>
      <c r="H24" s="337"/>
      <c r="I24" s="4" t="s">
        <v>917</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soporte</v>
      </c>
    </row>
    <row r="31" spans="2:17" ht="24" customHeight="1" x14ac:dyDescent="0.25">
      <c r="B31" s="2"/>
      <c r="D31" s="347"/>
      <c r="E31" s="348"/>
      <c r="F31" s="4" t="s">
        <v>257</v>
      </c>
      <c r="G31" s="340" t="s">
        <v>258</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918</v>
      </c>
      <c r="G33" s="340" t="s">
        <v>892</v>
      </c>
      <c r="H33" s="341"/>
      <c r="I33" s="341"/>
      <c r="J33" s="341"/>
      <c r="K33" s="341"/>
      <c r="L33" s="341"/>
      <c r="M33" s="342"/>
      <c r="O33" s="2"/>
      <c r="Q33" s="3">
        <f>+IFERROR(IF(VLOOKUP(G33,base!$A$26:$C$40,3,FALSE)=F31,1,0),"")</f>
        <v>1</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1716</v>
      </c>
      <c r="G35" s="340" t="s">
        <v>1592</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948</v>
      </c>
      <c r="G45" s="340" t="s">
        <v>949</v>
      </c>
      <c r="H45" s="341"/>
      <c r="I45" s="341"/>
      <c r="J45" s="341"/>
      <c r="K45" s="341"/>
      <c r="L45" s="341"/>
      <c r="M45" s="342"/>
      <c r="O45" s="2"/>
      <c r="Q45" s="3" t="str">
        <f>+IFERROR(VLOOKUP(G45,base!$A$41:$C$45,3,FALSE),"")</f>
        <v>talento</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958</v>
      </c>
      <c r="G47" s="340" t="s">
        <v>959</v>
      </c>
      <c r="H47" s="341"/>
      <c r="I47" s="341"/>
      <c r="J47" s="341"/>
      <c r="K47" s="341"/>
      <c r="L47" s="341"/>
      <c r="M47" s="342"/>
      <c r="O47" s="2"/>
      <c r="Q47" s="3">
        <f>+IF(VLOOKUP(G47,base!$A$46:$C$66,3,FALSE)=F45,1,0)</f>
        <v>1</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920</v>
      </c>
      <c r="G49" s="340" t="s">
        <v>899</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17"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 customHeight="1" x14ac:dyDescent="0.25">
      <c r="B59" s="2"/>
      <c r="D59" s="337" t="s">
        <v>34</v>
      </c>
      <c r="E59" s="337"/>
      <c r="F59" s="344" t="s">
        <v>960</v>
      </c>
      <c r="G59" s="344"/>
      <c r="H59" s="344"/>
      <c r="I59" s="344"/>
      <c r="J59" s="344"/>
      <c r="K59" s="344"/>
      <c r="L59" s="344"/>
      <c r="M59" s="344"/>
      <c r="O59" s="2"/>
    </row>
    <row r="60" spans="2:15" ht="27.75" customHeight="1" x14ac:dyDescent="0.25">
      <c r="B60" s="2"/>
      <c r="D60" s="359" t="s">
        <v>35</v>
      </c>
      <c r="E60" s="359"/>
      <c r="F60" s="344" t="s">
        <v>961</v>
      </c>
      <c r="G60" s="344"/>
      <c r="H60" s="344"/>
      <c r="I60" s="344"/>
      <c r="J60" s="344"/>
      <c r="K60" s="344"/>
      <c r="L60" s="344"/>
      <c r="M60" s="344"/>
      <c r="O60" s="2"/>
    </row>
    <row r="61" spans="2:15" ht="27.75" customHeight="1" x14ac:dyDescent="0.25">
      <c r="B61" s="2"/>
      <c r="D61" s="359" t="s">
        <v>36</v>
      </c>
      <c r="E61" s="359"/>
      <c r="F61" s="344" t="s">
        <v>962</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2</v>
      </c>
    </row>
    <row r="70" spans="2:37" ht="3.95" customHeight="1" x14ac:dyDescent="0.25">
      <c r="B70" s="2"/>
      <c r="D70" s="7"/>
      <c r="E70" s="7"/>
      <c r="O70" s="2"/>
    </row>
    <row r="71" spans="2:37" ht="18.75" customHeight="1" x14ac:dyDescent="0.25">
      <c r="B71" s="2"/>
      <c r="D71" s="343" t="s">
        <v>39</v>
      </c>
      <c r="E71" s="343"/>
      <c r="F71" s="4" t="s">
        <v>48</v>
      </c>
      <c r="G71" s="3">
        <v>4</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60" t="s">
        <v>48</v>
      </c>
      <c r="E78" s="360"/>
      <c r="F78" s="16" t="s">
        <v>500</v>
      </c>
      <c r="G78" s="16">
        <v>6.9000000000000006E-2</v>
      </c>
      <c r="H78" s="16">
        <v>7.0000000000000007E-2</v>
      </c>
      <c r="I78" s="16">
        <v>7.9000000000000001E-2</v>
      </c>
      <c r="J78" s="16">
        <v>0.08</v>
      </c>
      <c r="K78" s="16">
        <v>8.8999999999999996E-2</v>
      </c>
      <c r="L78" s="16">
        <v>0.09</v>
      </c>
      <c r="M78" s="16" t="s">
        <v>500</v>
      </c>
      <c r="O78" s="2"/>
      <c r="AE78" s="3" t="s">
        <v>48</v>
      </c>
      <c r="AF78" s="3">
        <v>4</v>
      </c>
      <c r="AG78" s="3">
        <f t="shared" si="0"/>
        <v>1</v>
      </c>
      <c r="AH78" s="3">
        <f>+IF(AG78=0,0,IF(AG78=1,(SUM($AG$75:AG78)-1),1))</f>
        <v>0</v>
      </c>
      <c r="AI78" s="3">
        <f t="shared" si="1"/>
        <v>0</v>
      </c>
      <c r="AJ78" s="3">
        <f t="shared" si="2"/>
        <v>1</v>
      </c>
      <c r="AK78" s="3">
        <f t="shared" si="3"/>
        <v>1</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1</v>
      </c>
      <c r="AI79" s="3">
        <f t="shared" si="1"/>
        <v>0</v>
      </c>
      <c r="AJ79" s="3">
        <f t="shared" si="2"/>
        <v>0</v>
      </c>
      <c r="AK79" s="3">
        <f t="shared" si="3"/>
        <v>0</v>
      </c>
    </row>
    <row r="80" spans="2:37" x14ac:dyDescent="0.25">
      <c r="B80" s="2"/>
      <c r="D80" s="360" t="s">
        <v>50</v>
      </c>
      <c r="E80" s="360"/>
      <c r="F80" s="16" t="s">
        <v>500</v>
      </c>
      <c r="G80" s="16">
        <v>0.19900000000000001</v>
      </c>
      <c r="H80" s="16">
        <v>0.2</v>
      </c>
      <c r="I80" s="16">
        <v>0.23899999999999999</v>
      </c>
      <c r="J80" s="16">
        <v>0.24</v>
      </c>
      <c r="K80" s="16">
        <v>0.27900000000000003</v>
      </c>
      <c r="L80" s="16">
        <v>0.28000000000000003</v>
      </c>
      <c r="M80" s="16" t="s">
        <v>500</v>
      </c>
      <c r="O80" s="2"/>
      <c r="AE80" s="3" t="s">
        <v>50</v>
      </c>
      <c r="AF80" s="3">
        <v>6</v>
      </c>
      <c r="AG80" s="3">
        <f t="shared" si="0"/>
        <v>1</v>
      </c>
      <c r="AH80" s="3">
        <f>+IF(AG80=0,0,IF(AG80=1,(SUM($AG$75:AG80)-1),1))</f>
        <v>2</v>
      </c>
      <c r="AI80" s="3">
        <f t="shared" si="1"/>
        <v>1</v>
      </c>
      <c r="AJ80" s="3">
        <f t="shared" si="2"/>
        <v>0</v>
      </c>
      <c r="AK80" s="3">
        <f t="shared" si="3"/>
        <v>1</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3</v>
      </c>
      <c r="AI81" s="3">
        <f t="shared" si="1"/>
        <v>0</v>
      </c>
      <c r="AJ81" s="3">
        <f t="shared" si="2"/>
        <v>0</v>
      </c>
      <c r="AK81" s="3">
        <f t="shared" si="3"/>
        <v>0</v>
      </c>
    </row>
    <row r="82" spans="2:37" x14ac:dyDescent="0.25">
      <c r="B82" s="2"/>
      <c r="D82" s="360" t="s">
        <v>54</v>
      </c>
      <c r="E82" s="360"/>
      <c r="F82" s="16" t="s">
        <v>500</v>
      </c>
      <c r="G82" s="16">
        <v>0.39900000000000002</v>
      </c>
      <c r="H82" s="16">
        <v>0.4</v>
      </c>
      <c r="I82" s="16">
        <v>0.439</v>
      </c>
      <c r="J82" s="16">
        <v>0.44</v>
      </c>
      <c r="K82" s="16">
        <v>0.47899999999999998</v>
      </c>
      <c r="L82" s="16">
        <v>0.48</v>
      </c>
      <c r="M82" s="16" t="s">
        <v>500</v>
      </c>
      <c r="O82" s="2"/>
      <c r="AE82" s="3" t="s">
        <v>54</v>
      </c>
      <c r="AF82" s="3">
        <v>8</v>
      </c>
      <c r="AG82" s="3">
        <f t="shared" si="0"/>
        <v>1</v>
      </c>
      <c r="AH82" s="3">
        <f>+IF(AG82=0,0,IF(AG82=1,(SUM($AG$75:AG82)-1),1))</f>
        <v>4</v>
      </c>
      <c r="AI82" s="3">
        <f t="shared" si="1"/>
        <v>1</v>
      </c>
      <c r="AJ82" s="3">
        <f t="shared" si="2"/>
        <v>0</v>
      </c>
      <c r="AK82" s="3">
        <f t="shared" si="3"/>
        <v>1</v>
      </c>
    </row>
    <row r="83" spans="2:37" x14ac:dyDescent="0.25">
      <c r="B83" s="2"/>
      <c r="D83" s="360" t="s">
        <v>55</v>
      </c>
      <c r="E83" s="360"/>
      <c r="F83" s="16" t="s">
        <v>500</v>
      </c>
      <c r="G83" s="16" t="s">
        <v>500</v>
      </c>
      <c r="H83" s="16" t="s">
        <v>500</v>
      </c>
      <c r="I83" s="16" t="s">
        <v>500</v>
      </c>
      <c r="J83" s="16" t="s">
        <v>500</v>
      </c>
      <c r="K83" s="16" t="s">
        <v>500</v>
      </c>
      <c r="L83" s="16" t="s">
        <v>500</v>
      </c>
      <c r="M83" s="16" t="s">
        <v>500</v>
      </c>
      <c r="O83" s="2"/>
      <c r="AE83" s="3" t="s">
        <v>55</v>
      </c>
      <c r="AF83" s="3">
        <v>9</v>
      </c>
      <c r="AG83" s="3">
        <f t="shared" si="0"/>
        <v>1</v>
      </c>
      <c r="AH83" s="3">
        <f>+IF(AG83=0,0,IF(AG83=1,(SUM($AG$75:AG83)-1),1))</f>
        <v>5</v>
      </c>
      <c r="AI83" s="3">
        <f t="shared" si="1"/>
        <v>0</v>
      </c>
      <c r="AJ83" s="3">
        <f t="shared" si="2"/>
        <v>0</v>
      </c>
      <c r="AK83" s="3">
        <f t="shared" si="3"/>
        <v>0</v>
      </c>
    </row>
    <row r="84" spans="2:37" x14ac:dyDescent="0.25">
      <c r="B84" s="2"/>
      <c r="D84" s="360" t="s">
        <v>56</v>
      </c>
      <c r="E84" s="360"/>
      <c r="F84" s="16" t="s">
        <v>500</v>
      </c>
      <c r="G84" s="16">
        <v>0.59899999999999998</v>
      </c>
      <c r="H84" s="16">
        <v>0.6</v>
      </c>
      <c r="I84" s="16">
        <v>0.63900000000000001</v>
      </c>
      <c r="J84" s="16">
        <v>0.64</v>
      </c>
      <c r="K84" s="16">
        <v>0.67900000000000005</v>
      </c>
      <c r="L84" s="16">
        <v>0.68</v>
      </c>
      <c r="M84" s="16" t="s">
        <v>500</v>
      </c>
      <c r="O84" s="2"/>
      <c r="AE84" s="3" t="s">
        <v>56</v>
      </c>
      <c r="AF84" s="3">
        <v>10</v>
      </c>
      <c r="AG84" s="3">
        <f t="shared" si="0"/>
        <v>1</v>
      </c>
      <c r="AH84" s="3">
        <f>+IF(AG84=0,0,IF(AG84=1,(SUM($AG$75:AG84)-1),1))</f>
        <v>6</v>
      </c>
      <c r="AI84" s="3">
        <f t="shared" si="1"/>
        <v>1</v>
      </c>
      <c r="AJ84" s="3">
        <f t="shared" si="2"/>
        <v>0</v>
      </c>
      <c r="AK84" s="3">
        <f t="shared" si="3"/>
        <v>1</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7</v>
      </c>
      <c r="AI85" s="3">
        <f t="shared" si="1"/>
        <v>0</v>
      </c>
      <c r="AJ85" s="3">
        <f t="shared" si="2"/>
        <v>0</v>
      </c>
      <c r="AK85" s="3">
        <f t="shared" si="3"/>
        <v>0</v>
      </c>
    </row>
    <row r="86" spans="2:37" x14ac:dyDescent="0.25">
      <c r="B86" s="2"/>
      <c r="D86" s="360" t="s">
        <v>58</v>
      </c>
      <c r="E86" s="360"/>
      <c r="F86" s="16" t="s">
        <v>500</v>
      </c>
      <c r="G86" s="16">
        <v>0.749</v>
      </c>
      <c r="H86" s="16">
        <v>0.75</v>
      </c>
      <c r="I86" s="16">
        <v>0.79900000000000004</v>
      </c>
      <c r="J86" s="16">
        <v>0.8</v>
      </c>
      <c r="K86" s="16">
        <v>0.86899999999999999</v>
      </c>
      <c r="L86" s="16">
        <v>0.87</v>
      </c>
      <c r="M86" s="16" t="s">
        <v>500</v>
      </c>
      <c r="O86" s="2"/>
      <c r="AE86" s="3" t="s">
        <v>58</v>
      </c>
      <c r="AF86" s="65">
        <v>12</v>
      </c>
      <c r="AG86" s="3">
        <f t="shared" si="0"/>
        <v>1</v>
      </c>
      <c r="AH86" s="3">
        <f>+IF(AG86=0,0,IF(AG86=1,(SUM($AG$75:AG86)-1),1))</f>
        <v>8</v>
      </c>
      <c r="AI86" s="3">
        <f t="shared" si="1"/>
        <v>1</v>
      </c>
      <c r="AJ86" s="3">
        <f t="shared" si="2"/>
        <v>0</v>
      </c>
      <c r="AK86" s="3">
        <f t="shared" si="3"/>
        <v>1</v>
      </c>
    </row>
    <row r="87" spans="2:37" ht="3.75" customHeight="1" x14ac:dyDescent="0.25">
      <c r="B87" s="2"/>
      <c r="O87" s="2"/>
    </row>
    <row r="88" spans="2:37" ht="66" customHeight="1" x14ac:dyDescent="0.25">
      <c r="B88" s="2"/>
      <c r="D88" s="338" t="s">
        <v>59</v>
      </c>
      <c r="E88" s="339"/>
      <c r="F88" s="340" t="s">
        <v>905</v>
      </c>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2" customHeight="1" x14ac:dyDescent="0.25">
      <c r="B97" s="2"/>
      <c r="D97" s="359" t="s">
        <v>35</v>
      </c>
      <c r="E97" s="359"/>
      <c r="F97" s="344" t="s">
        <v>963</v>
      </c>
      <c r="G97" s="344"/>
      <c r="H97" s="344"/>
      <c r="I97" s="344"/>
      <c r="J97" s="344"/>
      <c r="K97" s="344"/>
      <c r="L97" s="344"/>
      <c r="M97" s="344"/>
      <c r="O97" s="2"/>
    </row>
    <row r="98" spans="2:15" ht="42" customHeight="1" x14ac:dyDescent="0.25">
      <c r="B98" s="2"/>
      <c r="D98" s="359" t="s">
        <v>36</v>
      </c>
      <c r="E98" s="359"/>
      <c r="F98" s="344" t="s">
        <v>964</v>
      </c>
      <c r="G98" s="344"/>
      <c r="H98" s="344"/>
      <c r="I98" s="344"/>
      <c r="J98" s="344"/>
      <c r="K98" s="344"/>
      <c r="L98" s="344"/>
      <c r="M98" s="344"/>
      <c r="O98" s="2"/>
    </row>
    <row r="99" spans="2:15" ht="3.95" customHeight="1" x14ac:dyDescent="0.25">
      <c r="B99" s="2"/>
      <c r="O99" s="2"/>
    </row>
    <row r="100" spans="2:15" ht="189" customHeight="1" x14ac:dyDescent="0.25">
      <c r="B100" s="2"/>
      <c r="D100" s="338" t="s">
        <v>62</v>
      </c>
      <c r="E100" s="339"/>
      <c r="F100" s="340" t="s">
        <v>906</v>
      </c>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1</v>
      </c>
      <c r="K102" s="20"/>
      <c r="O102" s="2"/>
    </row>
    <row r="103" spans="2:15" ht="19.5" customHeight="1" x14ac:dyDescent="0.25">
      <c r="B103" s="2"/>
      <c r="D103" s="331"/>
      <c r="E103" s="332"/>
      <c r="F103" s="19" t="s">
        <v>66</v>
      </c>
      <c r="G103" s="4" t="s">
        <v>328</v>
      </c>
      <c r="K103" s="21"/>
      <c r="O103" s="2"/>
    </row>
    <row r="104" spans="2:15" ht="27.75" customHeight="1" x14ac:dyDescent="0.25">
      <c r="B104" s="2"/>
      <c r="D104" s="331"/>
      <c r="E104" s="332"/>
      <c r="F104" s="19" t="s">
        <v>67</v>
      </c>
      <c r="G104" s="333" t="s">
        <v>907</v>
      </c>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Director(a) Gestión Humana</v>
      </c>
      <c r="H108" s="334"/>
      <c r="I108" s="334"/>
      <c r="J108" s="334"/>
      <c r="K108" s="334"/>
      <c r="L108" s="334"/>
      <c r="M108" s="335"/>
      <c r="O108" s="2"/>
    </row>
    <row r="109" spans="2:15" ht="17.25" customHeight="1" x14ac:dyDescent="0.25">
      <c r="B109" s="2"/>
      <c r="D109" s="331"/>
      <c r="E109" s="332"/>
      <c r="F109" s="19" t="s">
        <v>2042</v>
      </c>
      <c r="G109" s="333" t="str">
        <f>+IF(M23="Si","Coordinador(a) Planeación y Sistemas","")</f>
        <v>Coordinador(a) Planeación y Sistemas</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036" priority="31">
      <formula>+IF($F$43="no",1,0)</formula>
    </cfRule>
  </conditionalFormatting>
  <conditionalFormatting sqref="F32:M33">
    <cfRule type="expression" dxfId="2035" priority="30">
      <formula>+IF($Q$30="NA",1,0)</formula>
    </cfRule>
  </conditionalFormatting>
  <conditionalFormatting sqref="F33:M33">
    <cfRule type="expression" dxfId="2034" priority="29">
      <formula>+IF($Q$33=0,1,0)</formula>
    </cfRule>
  </conditionalFormatting>
  <conditionalFormatting sqref="F47:M47">
    <cfRule type="expression" dxfId="2033" priority="28">
      <formula>+IF($Q$47=0,1,0)</formula>
    </cfRule>
  </conditionalFormatting>
  <conditionalFormatting sqref="F73:G73">
    <cfRule type="cellIs" dxfId="2032" priority="14" operator="equal">
      <formula>"optimo"</formula>
    </cfRule>
    <cfRule type="cellIs" dxfId="2031" priority="15" operator="equal">
      <formula>"critico"</formula>
    </cfRule>
  </conditionalFormatting>
  <conditionalFormatting sqref="H73:I73">
    <cfRule type="cellIs" dxfId="2030" priority="12" operator="equal">
      <formula>"Adecuado"</formula>
    </cfRule>
    <cfRule type="cellIs" dxfId="2029" priority="13" operator="equal">
      <formula>"en riesgo"</formula>
    </cfRule>
  </conditionalFormatting>
  <conditionalFormatting sqref="J73:K73">
    <cfRule type="cellIs" dxfId="2028" priority="10" operator="equal">
      <formula>"Adecuado"</formula>
    </cfRule>
    <cfRule type="cellIs" dxfId="2027" priority="11" operator="equal">
      <formula>"en riesgo"</formula>
    </cfRule>
  </conditionalFormatting>
  <conditionalFormatting sqref="L73:M73">
    <cfRule type="cellIs" dxfId="2026" priority="8" operator="equal">
      <formula>"optimo"</formula>
    </cfRule>
    <cfRule type="cellIs" dxfId="2025" priority="9" operator="equal">
      <formula>"critico"</formula>
    </cfRule>
  </conditionalFormatting>
  <conditionalFormatting sqref="F75:M86">
    <cfRule type="expression" dxfId="2024" priority="7">
      <formula>+IF($AK75=0,1)</formula>
    </cfRule>
  </conditionalFormatting>
  <conditionalFormatting sqref="F103:G104">
    <cfRule type="expression" dxfId="2023" priority="6">
      <formula>+IF($G$102="No",1,0)</formula>
    </cfRule>
  </conditionalFormatting>
  <conditionalFormatting sqref="F51">
    <cfRule type="expression" dxfId="2022" priority="5">
      <formula>+IF($F$43="no",1,0)</formula>
    </cfRule>
  </conditionalFormatting>
  <conditionalFormatting sqref="I51">
    <cfRule type="expression" dxfId="2021"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5">
    <tabColor rgb="FF0070C0"/>
  </sheetPr>
  <dimension ref="B1:AV113"/>
  <sheetViews>
    <sheetView topLeftCell="A40" zoomScaleNormal="100" workbookViewId="0">
      <selection activeCell="G77" sqref="G77:L77"/>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315</v>
      </c>
      <c r="O10" s="2"/>
    </row>
    <row r="11" spans="2:24" ht="3.95" customHeight="1" x14ac:dyDescent="0.25">
      <c r="B11" s="2"/>
      <c r="D11" s="6"/>
      <c r="O11" s="2"/>
    </row>
    <row r="12" spans="2:24" ht="36" customHeight="1" x14ac:dyDescent="0.25">
      <c r="B12" s="2"/>
      <c r="D12" s="338" t="s">
        <v>5</v>
      </c>
      <c r="E12" s="339"/>
      <c r="F12" s="340" t="s">
        <v>316</v>
      </c>
      <c r="G12" s="341"/>
      <c r="H12" s="341"/>
      <c r="I12" s="341"/>
      <c r="J12" s="341"/>
      <c r="K12" s="341"/>
      <c r="L12" s="341"/>
      <c r="M12" s="342"/>
      <c r="O12" s="2"/>
      <c r="W12" s="3" t="str">
        <f>+F23</f>
        <v>Trimestral</v>
      </c>
      <c r="X12" s="3" t="str">
        <f>+F71</f>
        <v>Marzo</v>
      </c>
    </row>
    <row r="13" spans="2:24" ht="3.95" customHeight="1" x14ac:dyDescent="0.25">
      <c r="B13" s="2"/>
      <c r="O13" s="2"/>
    </row>
    <row r="14" spans="2:24" ht="38.25" customHeight="1" x14ac:dyDescent="0.25">
      <c r="B14" s="2"/>
      <c r="D14" s="338" t="s">
        <v>6</v>
      </c>
      <c r="E14" s="339"/>
      <c r="F14" s="340" t="s">
        <v>947</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17" t="s">
        <v>512</v>
      </c>
      <c r="G22" s="337" t="s">
        <v>9</v>
      </c>
      <c r="H22" s="337"/>
      <c r="I22" s="17">
        <v>0.35</v>
      </c>
      <c r="K22" s="337" t="s">
        <v>10</v>
      </c>
      <c r="L22" s="337"/>
      <c r="M22" s="9" t="s">
        <v>496</v>
      </c>
      <c r="O22" s="2"/>
    </row>
    <row r="23" spans="2:17" ht="19.5" customHeight="1" x14ac:dyDescent="0.25">
      <c r="B23" s="2"/>
      <c r="D23" s="337" t="s">
        <v>11</v>
      </c>
      <c r="E23" s="337"/>
      <c r="F23" s="4" t="s">
        <v>71</v>
      </c>
      <c r="G23" s="337" t="s">
        <v>12</v>
      </c>
      <c r="H23" s="337"/>
      <c r="I23" s="4" t="s">
        <v>497</v>
      </c>
      <c r="K23" s="337" t="s">
        <v>13</v>
      </c>
      <c r="L23" s="337"/>
      <c r="M23" s="9" t="s">
        <v>2</v>
      </c>
      <c r="O23" s="2"/>
    </row>
    <row r="24" spans="2:17" ht="20.100000000000001" customHeight="1" x14ac:dyDescent="0.25">
      <c r="B24" s="2"/>
      <c r="D24" s="337" t="s">
        <v>14</v>
      </c>
      <c r="E24" s="337"/>
      <c r="F24" s="4" t="s">
        <v>498</v>
      </c>
      <c r="G24" s="337" t="s">
        <v>15</v>
      </c>
      <c r="H24" s="337"/>
      <c r="I24" s="4" t="s">
        <v>917</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soporte</v>
      </c>
    </row>
    <row r="31" spans="2:17" ht="24" customHeight="1" x14ac:dyDescent="0.25">
      <c r="B31" s="2"/>
      <c r="D31" s="347"/>
      <c r="E31" s="348"/>
      <c r="F31" s="4" t="s">
        <v>257</v>
      </c>
      <c r="G31" s="340" t="s">
        <v>258</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918</v>
      </c>
      <c r="G33" s="340" t="s">
        <v>892</v>
      </c>
      <c r="H33" s="341"/>
      <c r="I33" s="341"/>
      <c r="J33" s="341"/>
      <c r="K33" s="341"/>
      <c r="L33" s="341"/>
      <c r="M33" s="342"/>
      <c r="O33" s="2"/>
      <c r="Q33" s="3">
        <f>+IFERROR(IF(VLOOKUP(G33,base!$A$26:$C$40,3,FALSE)=F31,1,0),"")</f>
        <v>1</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1716</v>
      </c>
      <c r="G35" s="340" t="s">
        <v>1592</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496</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948</v>
      </c>
      <c r="G45" s="340" t="s">
        <v>949</v>
      </c>
      <c r="H45" s="341"/>
      <c r="I45" s="341"/>
      <c r="J45" s="341"/>
      <c r="K45" s="341"/>
      <c r="L45" s="341"/>
      <c r="M45" s="342"/>
      <c r="O45" s="2"/>
      <c r="Q45" s="3" t="str">
        <f>+IFERROR(VLOOKUP(G45,base!$A$41:$C$45,3,FALSE),"")</f>
        <v>talento</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950</v>
      </c>
      <c r="G47" s="340" t="s">
        <v>951</v>
      </c>
      <c r="H47" s="341"/>
      <c r="I47" s="341"/>
      <c r="J47" s="341"/>
      <c r="K47" s="341"/>
      <c r="L47" s="341"/>
      <c r="M47" s="342"/>
      <c r="O47" s="2"/>
      <c r="Q47" s="3">
        <f>+IF(VLOOKUP(G47,base!$A$46:$C$66,3,FALSE)=F45,1,0)</f>
        <v>1</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920</v>
      </c>
      <c r="G49" s="340" t="s">
        <v>899</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496</v>
      </c>
      <c r="G51" s="337" t="s">
        <v>32</v>
      </c>
      <c r="H51" s="337"/>
      <c r="I51" s="17">
        <v>1</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 customHeight="1" x14ac:dyDescent="0.25">
      <c r="B59" s="2"/>
      <c r="D59" s="337" t="s">
        <v>34</v>
      </c>
      <c r="E59" s="337"/>
      <c r="F59" s="344" t="s">
        <v>2067</v>
      </c>
      <c r="G59" s="344"/>
      <c r="H59" s="344"/>
      <c r="I59" s="344"/>
      <c r="J59" s="344"/>
      <c r="K59" s="344"/>
      <c r="L59" s="344"/>
      <c r="M59" s="344"/>
      <c r="O59" s="2"/>
    </row>
    <row r="60" spans="2:15" ht="27.75" customHeight="1" x14ac:dyDescent="0.25">
      <c r="B60" s="2"/>
      <c r="D60" s="359" t="s">
        <v>35</v>
      </c>
      <c r="E60" s="359"/>
      <c r="F60" s="344" t="s">
        <v>2064</v>
      </c>
      <c r="G60" s="344"/>
      <c r="H60" s="344"/>
      <c r="I60" s="344"/>
      <c r="J60" s="344"/>
      <c r="K60" s="344"/>
      <c r="L60" s="344"/>
      <c r="M60" s="344"/>
      <c r="O60" s="2"/>
    </row>
    <row r="61" spans="2:15" ht="27.75" customHeight="1" x14ac:dyDescent="0.25">
      <c r="B61" s="2"/>
      <c r="D61" s="359" t="s">
        <v>36</v>
      </c>
      <c r="E61" s="359"/>
      <c r="F61" s="344" t="s">
        <v>2065</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43" t="s">
        <v>39</v>
      </c>
      <c r="E71" s="343"/>
      <c r="F71" s="4" t="s">
        <v>47</v>
      </c>
      <c r="G71" s="3">
        <v>3</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v>6.9000000000000006E-2</v>
      </c>
      <c r="H77" s="16">
        <v>7.0000000000000007E-2</v>
      </c>
      <c r="I77" s="16">
        <v>9.9000000000000005E-2</v>
      </c>
      <c r="J77" s="16">
        <v>0.1</v>
      </c>
      <c r="K77" s="16">
        <v>0.14899999999999999</v>
      </c>
      <c r="L77" s="16">
        <v>0.15</v>
      </c>
      <c r="M77" s="16" t="s">
        <v>500</v>
      </c>
      <c r="O77" s="2"/>
      <c r="AE77" s="3" t="s">
        <v>47</v>
      </c>
      <c r="AF77" s="3">
        <v>3</v>
      </c>
      <c r="AG77" s="3">
        <f t="shared" si="0"/>
        <v>1</v>
      </c>
      <c r="AH77" s="3">
        <f>+IF(AG77=0,0,IF(AG77=1,(SUM($AG$75:AG77)-1),1))</f>
        <v>0</v>
      </c>
      <c r="AI77" s="3">
        <f t="shared" si="1"/>
        <v>0</v>
      </c>
      <c r="AJ77" s="3">
        <f t="shared" si="2"/>
        <v>1</v>
      </c>
      <c r="AK77" s="3">
        <f t="shared" si="3"/>
        <v>1</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2</v>
      </c>
      <c r="AI79" s="3">
        <f t="shared" si="1"/>
        <v>0</v>
      </c>
      <c r="AJ79" s="3">
        <f t="shared" si="2"/>
        <v>0</v>
      </c>
      <c r="AK79" s="3">
        <f t="shared" si="3"/>
        <v>0</v>
      </c>
    </row>
    <row r="80" spans="2:37" x14ac:dyDescent="0.25">
      <c r="B80" s="2"/>
      <c r="D80" s="360" t="s">
        <v>50</v>
      </c>
      <c r="E80" s="360"/>
      <c r="F80" s="16" t="s">
        <v>500</v>
      </c>
      <c r="G80" s="16">
        <v>0.249</v>
      </c>
      <c r="H80" s="16">
        <v>0.25</v>
      </c>
      <c r="I80" s="16">
        <v>0.34899999999999998</v>
      </c>
      <c r="J80" s="16">
        <v>0.35</v>
      </c>
      <c r="K80" s="16">
        <v>0.44900000000000001</v>
      </c>
      <c r="L80" s="16">
        <v>0.45</v>
      </c>
      <c r="M80" s="16" t="s">
        <v>500</v>
      </c>
      <c r="O80" s="2"/>
      <c r="AE80" s="3" t="s">
        <v>50</v>
      </c>
      <c r="AF80" s="3">
        <v>6</v>
      </c>
      <c r="AG80" s="3">
        <f t="shared" si="0"/>
        <v>1</v>
      </c>
      <c r="AH80" s="3">
        <f>+IF(AG80=0,0,IF(AG80=1,(SUM($AG$75:AG80)-1),1))</f>
        <v>3</v>
      </c>
      <c r="AI80" s="3">
        <f t="shared" si="1"/>
        <v>1</v>
      </c>
      <c r="AJ80" s="3">
        <f t="shared" si="2"/>
        <v>0</v>
      </c>
      <c r="AK80" s="3">
        <f t="shared" si="3"/>
        <v>1</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4</v>
      </c>
      <c r="AI81" s="3">
        <f t="shared" si="1"/>
        <v>0</v>
      </c>
      <c r="AJ81" s="3">
        <f t="shared" si="2"/>
        <v>0</v>
      </c>
      <c r="AK81" s="3">
        <f t="shared" si="3"/>
        <v>0</v>
      </c>
    </row>
    <row r="82" spans="2:37" x14ac:dyDescent="0.25">
      <c r="B82" s="2"/>
      <c r="D82" s="360" t="s">
        <v>54</v>
      </c>
      <c r="E82" s="360"/>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60" t="s">
        <v>55</v>
      </c>
      <c r="E83" s="360"/>
      <c r="F83" s="16" t="s">
        <v>500</v>
      </c>
      <c r="G83" s="16">
        <v>0.54900000000000004</v>
      </c>
      <c r="H83" s="16">
        <v>0.55000000000000004</v>
      </c>
      <c r="I83" s="16">
        <v>0.64900000000000002</v>
      </c>
      <c r="J83" s="16">
        <v>0.65</v>
      </c>
      <c r="K83" s="16">
        <v>0.749</v>
      </c>
      <c r="L83" s="16">
        <v>0.75</v>
      </c>
      <c r="M83" s="16" t="s">
        <v>500</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60" t="s">
        <v>58</v>
      </c>
      <c r="E86" s="360"/>
      <c r="F86" s="16" t="s">
        <v>500</v>
      </c>
      <c r="G86" s="16">
        <v>0.79900000000000004</v>
      </c>
      <c r="H86" s="16">
        <v>0.8</v>
      </c>
      <c r="I86" s="16">
        <v>0.89900000000000002</v>
      </c>
      <c r="J86" s="16">
        <v>0.9</v>
      </c>
      <c r="K86" s="16">
        <v>0.999</v>
      </c>
      <c r="L86" s="16" t="s">
        <v>500</v>
      </c>
      <c r="M86" s="16">
        <v>1</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150" customHeight="1" x14ac:dyDescent="0.25">
      <c r="B88" s="2"/>
      <c r="D88" s="338" t="s">
        <v>59</v>
      </c>
      <c r="E88" s="339"/>
      <c r="F88" s="340" t="s">
        <v>2066</v>
      </c>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2" customHeight="1" x14ac:dyDescent="0.25">
      <c r="B97" s="2"/>
      <c r="D97" s="359" t="s">
        <v>35</v>
      </c>
      <c r="E97" s="359"/>
      <c r="F97" s="344" t="s">
        <v>952</v>
      </c>
      <c r="G97" s="344"/>
      <c r="H97" s="344"/>
      <c r="I97" s="344"/>
      <c r="J97" s="344"/>
      <c r="K97" s="344"/>
      <c r="L97" s="344"/>
      <c r="M97" s="344"/>
      <c r="O97" s="2"/>
    </row>
    <row r="98" spans="2:15" ht="42" customHeight="1" x14ac:dyDescent="0.25">
      <c r="B98" s="2"/>
      <c r="D98" s="359" t="s">
        <v>36</v>
      </c>
      <c r="E98" s="359"/>
      <c r="F98" s="344" t="s">
        <v>953</v>
      </c>
      <c r="G98" s="344"/>
      <c r="H98" s="344"/>
      <c r="I98" s="344"/>
      <c r="J98" s="344"/>
      <c r="K98" s="344"/>
      <c r="L98" s="344"/>
      <c r="M98" s="344"/>
      <c r="O98" s="2"/>
    </row>
    <row r="99" spans="2:15" ht="3.95" customHeight="1" x14ac:dyDescent="0.25">
      <c r="B99" s="2"/>
      <c r="O99" s="2"/>
    </row>
    <row r="100" spans="2:15" ht="58.5" customHeight="1" x14ac:dyDescent="0.25">
      <c r="B100" s="2"/>
      <c r="D100" s="338" t="s">
        <v>62</v>
      </c>
      <c r="E100" s="339"/>
      <c r="F100" s="333"/>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2</v>
      </c>
      <c r="K102" s="20"/>
      <c r="O102" s="2"/>
    </row>
    <row r="103" spans="2:15" ht="19.5" customHeight="1" x14ac:dyDescent="0.25">
      <c r="B103" s="2"/>
      <c r="D103" s="331"/>
      <c r="E103" s="332"/>
      <c r="F103" s="19" t="s">
        <v>66</v>
      </c>
      <c r="G103" s="4"/>
      <c r="K103" s="21"/>
      <c r="O103" s="2"/>
    </row>
    <row r="104" spans="2:15" ht="27.75" customHeight="1" x14ac:dyDescent="0.25">
      <c r="B104" s="2"/>
      <c r="D104" s="331"/>
      <c r="E104" s="332"/>
      <c r="F104" s="19" t="s">
        <v>67</v>
      </c>
      <c r="G104" s="333"/>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Director(a) Gestión Humana</v>
      </c>
      <c r="H108" s="334"/>
      <c r="I108" s="334"/>
      <c r="J108" s="334"/>
      <c r="K108" s="334"/>
      <c r="L108" s="334"/>
      <c r="M108" s="335"/>
      <c r="O108" s="2"/>
    </row>
    <row r="109" spans="2:15" ht="17.25" customHeight="1" x14ac:dyDescent="0.25">
      <c r="B109" s="2"/>
      <c r="D109" s="331"/>
      <c r="E109" s="332"/>
      <c r="F109" s="19" t="s">
        <v>2042</v>
      </c>
      <c r="G109" s="333" t="str">
        <f>+IF(M23="Si","Coordinador(a) Planeación y Sistemas","")</f>
        <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020" priority="31">
      <formula>+IF($F$43="no",1,0)</formula>
    </cfRule>
  </conditionalFormatting>
  <conditionalFormatting sqref="F32:M33">
    <cfRule type="expression" dxfId="2019" priority="30">
      <formula>+IF($Q$30="NA",1,0)</formula>
    </cfRule>
  </conditionalFormatting>
  <conditionalFormatting sqref="F33:M33">
    <cfRule type="expression" dxfId="2018" priority="29">
      <formula>+IF($Q$33=0,1,0)</formula>
    </cfRule>
  </conditionalFormatting>
  <conditionalFormatting sqref="F47:M47">
    <cfRule type="expression" dxfId="2017" priority="28">
      <formula>+IF($Q$47=0,1,0)</formula>
    </cfRule>
  </conditionalFormatting>
  <conditionalFormatting sqref="F73:G73">
    <cfRule type="cellIs" dxfId="2016" priority="14" operator="equal">
      <formula>"optimo"</formula>
    </cfRule>
    <cfRule type="cellIs" dxfId="2015" priority="15" operator="equal">
      <formula>"critico"</formula>
    </cfRule>
  </conditionalFormatting>
  <conditionalFormatting sqref="H73:I73">
    <cfRule type="cellIs" dxfId="2014" priority="12" operator="equal">
      <formula>"Adecuado"</formula>
    </cfRule>
    <cfRule type="cellIs" dxfId="2013" priority="13" operator="equal">
      <formula>"en riesgo"</formula>
    </cfRule>
  </conditionalFormatting>
  <conditionalFormatting sqref="J73:K73">
    <cfRule type="cellIs" dxfId="2012" priority="10" operator="equal">
      <formula>"Adecuado"</formula>
    </cfRule>
    <cfRule type="cellIs" dxfId="2011" priority="11" operator="equal">
      <formula>"en riesgo"</formula>
    </cfRule>
  </conditionalFormatting>
  <conditionalFormatting sqref="L73:M73">
    <cfRule type="cellIs" dxfId="2010" priority="8" operator="equal">
      <formula>"optimo"</formula>
    </cfRule>
    <cfRule type="cellIs" dxfId="2009" priority="9" operator="equal">
      <formula>"critico"</formula>
    </cfRule>
  </conditionalFormatting>
  <conditionalFormatting sqref="F75:M86">
    <cfRule type="expression" dxfId="2008" priority="7">
      <formula>+IF($AK75=0,1)</formula>
    </cfRule>
  </conditionalFormatting>
  <conditionalFormatting sqref="F103:G104">
    <cfRule type="expression" dxfId="2007" priority="6">
      <formula>+IF($G$102="No",1,0)</formula>
    </cfRule>
  </conditionalFormatting>
  <conditionalFormatting sqref="F51">
    <cfRule type="expression" dxfId="2006" priority="5">
      <formula>+IF($F$43="no",1,0)</formula>
    </cfRule>
  </conditionalFormatting>
  <conditionalFormatting sqref="I51">
    <cfRule type="expression" dxfId="2005"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6">
    <tabColor rgb="FF0070C0"/>
  </sheetPr>
  <dimension ref="B1:AV113"/>
  <sheetViews>
    <sheetView topLeftCell="A49" zoomScaleNormal="100" workbookViewId="0">
      <selection activeCell="G78" sqref="G78"/>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11.42578125" style="3"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73" t="s">
        <v>4</v>
      </c>
      <c r="H10" s="4" t="s">
        <v>317</v>
      </c>
      <c r="O10" s="2"/>
    </row>
    <row r="11" spans="2:24" ht="3.95" customHeight="1" x14ac:dyDescent="0.25">
      <c r="B11" s="2"/>
      <c r="D11" s="6"/>
      <c r="O11" s="2"/>
    </row>
    <row r="12" spans="2:24" ht="36" customHeight="1" x14ac:dyDescent="0.25">
      <c r="B12" s="2"/>
      <c r="D12" s="338" t="s">
        <v>5</v>
      </c>
      <c r="E12" s="339"/>
      <c r="F12" s="340" t="s">
        <v>1999</v>
      </c>
      <c r="G12" s="341"/>
      <c r="H12" s="341"/>
      <c r="I12" s="341"/>
      <c r="J12" s="341"/>
      <c r="K12" s="341"/>
      <c r="L12" s="341"/>
      <c r="M12" s="342"/>
      <c r="O12" s="2"/>
      <c r="W12" s="3" t="str">
        <f>+F23</f>
        <v>Bimestral</v>
      </c>
      <c r="X12" s="3" t="str">
        <f>+F71</f>
        <v>Abril</v>
      </c>
    </row>
    <row r="13" spans="2:24" ht="3.95" customHeight="1" x14ac:dyDescent="0.25">
      <c r="B13" s="2"/>
      <c r="O13" s="2"/>
    </row>
    <row r="14" spans="2:24" ht="38.25" customHeight="1" x14ac:dyDescent="0.25">
      <c r="B14" s="2"/>
      <c r="D14" s="338" t="s">
        <v>6</v>
      </c>
      <c r="E14" s="339"/>
      <c r="F14" s="340" t="s">
        <v>1976</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4" t="s">
        <v>7</v>
      </c>
      <c r="O20" s="2"/>
    </row>
    <row r="21" spans="2:17" ht="3.95" customHeight="1" x14ac:dyDescent="0.25">
      <c r="B21" s="2"/>
      <c r="O21" s="2"/>
    </row>
    <row r="22" spans="2:17" ht="19.5" customHeight="1" x14ac:dyDescent="0.25">
      <c r="B22" s="2"/>
      <c r="D22" s="337" t="s">
        <v>8</v>
      </c>
      <c r="E22" s="337"/>
      <c r="F22" s="17" t="s">
        <v>1683</v>
      </c>
      <c r="G22" s="337" t="s">
        <v>9</v>
      </c>
      <c r="H22" s="337"/>
      <c r="I22" s="17">
        <v>0.1</v>
      </c>
      <c r="K22" s="337" t="s">
        <v>10</v>
      </c>
      <c r="L22" s="337"/>
      <c r="M22" s="9" t="s">
        <v>496</v>
      </c>
      <c r="O22" s="2"/>
    </row>
    <row r="23" spans="2:17" ht="19.5" customHeight="1" x14ac:dyDescent="0.25">
      <c r="B23" s="2"/>
      <c r="D23" s="337" t="s">
        <v>11</v>
      </c>
      <c r="E23" s="337"/>
      <c r="F23" s="4" t="s">
        <v>513</v>
      </c>
      <c r="G23" s="337" t="s">
        <v>12</v>
      </c>
      <c r="H23" s="337"/>
      <c r="I23" s="4" t="s">
        <v>497</v>
      </c>
      <c r="K23" s="337" t="s">
        <v>13</v>
      </c>
      <c r="L23" s="337"/>
      <c r="M23" s="9" t="s">
        <v>2</v>
      </c>
      <c r="O23" s="2"/>
    </row>
    <row r="24" spans="2:17" ht="20.100000000000001" customHeight="1" x14ac:dyDescent="0.25">
      <c r="B24" s="2"/>
      <c r="D24" s="337" t="s">
        <v>14</v>
      </c>
      <c r="E24" s="337"/>
      <c r="F24" s="4" t="s">
        <v>666</v>
      </c>
      <c r="G24" s="337" t="s">
        <v>15</v>
      </c>
      <c r="H24" s="337"/>
      <c r="I24" s="4" t="s">
        <v>103</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4"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soporte</v>
      </c>
    </row>
    <row r="31" spans="2:17" ht="24" customHeight="1" x14ac:dyDescent="0.25">
      <c r="B31" s="2"/>
      <c r="D31" s="347"/>
      <c r="E31" s="348"/>
      <c r="F31" s="4" t="s">
        <v>257</v>
      </c>
      <c r="G31" s="340" t="s">
        <v>258</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918</v>
      </c>
      <c r="G33" s="340" t="s">
        <v>892</v>
      </c>
      <c r="H33" s="341"/>
      <c r="I33" s="341"/>
      <c r="J33" s="341"/>
      <c r="K33" s="341"/>
      <c r="L33" s="341"/>
      <c r="M33" s="342"/>
      <c r="O33" s="2"/>
      <c r="Q33" s="3">
        <f>+IFERROR(IF(VLOOKUP(G33,base!$A$26:$C$40,3,FALSE)=F31,1,0),"")</f>
        <v>1</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1717</v>
      </c>
      <c r="G35" s="340" t="s">
        <v>1594</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4"/>
      <c r="O40" s="2"/>
    </row>
    <row r="41" spans="2:17" x14ac:dyDescent="0.25">
      <c r="B41" s="2"/>
      <c r="D41" s="74" t="s">
        <v>25</v>
      </c>
      <c r="O41" s="2"/>
    </row>
    <row r="42" spans="2:17" ht="3.95" customHeight="1" x14ac:dyDescent="0.25">
      <c r="B42" s="2"/>
      <c r="O42" s="2"/>
    </row>
    <row r="43" spans="2:17" ht="20.100000000000001" customHeight="1" x14ac:dyDescent="0.25">
      <c r="B43" s="2"/>
      <c r="D43" s="337" t="s">
        <v>26</v>
      </c>
      <c r="E43" s="337"/>
      <c r="F43" s="4" t="s">
        <v>2</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500</v>
      </c>
      <c r="G45" s="340" t="s">
        <v>512</v>
      </c>
      <c r="H45" s="341"/>
      <c r="I45" s="341"/>
      <c r="J45" s="341"/>
      <c r="K45" s="341"/>
      <c r="L45" s="341"/>
      <c r="M45" s="342"/>
      <c r="O45" s="2"/>
      <c r="Q45" s="3" t="str">
        <f>+IFERROR(VLOOKUP(G45,base!$A$41:$C$45,3,FALSE),"")</f>
        <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500</v>
      </c>
      <c r="G47" s="340" t="s">
        <v>512</v>
      </c>
      <c r="H47" s="341"/>
      <c r="I47" s="341"/>
      <c r="J47" s="341"/>
      <c r="K47" s="341"/>
      <c r="L47" s="341"/>
      <c r="M47" s="342"/>
      <c r="O47" s="2"/>
      <c r="Q47" s="3" t="e">
        <f>+IF(VLOOKUP(G47,base!$A$46:$C$66,3,FALSE)=F45,1,0)</f>
        <v>#N/A</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786</v>
      </c>
      <c r="G49" s="340" t="s">
        <v>717</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17"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4" t="s">
        <v>33</v>
      </c>
      <c r="O57" s="2"/>
    </row>
    <row r="58" spans="2:15" ht="3.95" customHeight="1" x14ac:dyDescent="0.25">
      <c r="B58" s="2"/>
      <c r="O58" s="2"/>
    </row>
    <row r="59" spans="2:15" ht="39" customHeight="1" x14ac:dyDescent="0.25">
      <c r="B59" s="2"/>
      <c r="D59" s="337" t="s">
        <v>34</v>
      </c>
      <c r="E59" s="337"/>
      <c r="F59" s="340" t="s">
        <v>2110</v>
      </c>
      <c r="G59" s="341"/>
      <c r="H59" s="341"/>
      <c r="I59" s="341"/>
      <c r="J59" s="341"/>
      <c r="K59" s="341"/>
      <c r="L59" s="341"/>
      <c r="M59" s="342"/>
      <c r="O59" s="2"/>
    </row>
    <row r="60" spans="2:15" ht="27.75" customHeight="1" x14ac:dyDescent="0.25">
      <c r="B60" s="2"/>
      <c r="D60" s="359" t="s">
        <v>35</v>
      </c>
      <c r="E60" s="359"/>
      <c r="F60" s="344" t="s">
        <v>2068</v>
      </c>
      <c r="G60" s="344"/>
      <c r="H60" s="344"/>
      <c r="I60" s="344"/>
      <c r="J60" s="344"/>
      <c r="K60" s="344"/>
      <c r="L60" s="344"/>
      <c r="M60" s="344"/>
      <c r="O60" s="2"/>
    </row>
    <row r="61" spans="2:15" ht="27.75" customHeight="1" x14ac:dyDescent="0.25">
      <c r="B61" s="2"/>
      <c r="D61" s="359" t="s">
        <v>36</v>
      </c>
      <c r="E61" s="359"/>
      <c r="F61" s="344" t="s">
        <v>2069</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4"/>
      <c r="E68" s="74"/>
      <c r="O68" s="2"/>
    </row>
    <row r="69" spans="2:37" ht="18.75" customHeight="1" x14ac:dyDescent="0.25">
      <c r="B69" s="2"/>
      <c r="O69" s="2"/>
      <c r="U69" s="3">
        <f>+IFERROR(VLOOKUP(F23,base!$A$1:$B$8,2,FALSE),"")</f>
        <v>2</v>
      </c>
    </row>
    <row r="70" spans="2:37" ht="3.95" customHeight="1" x14ac:dyDescent="0.25">
      <c r="B70" s="2"/>
      <c r="D70" s="74"/>
      <c r="E70" s="74"/>
      <c r="O70" s="2"/>
    </row>
    <row r="71" spans="2:37" ht="18.75" customHeight="1" x14ac:dyDescent="0.25">
      <c r="B71" s="2"/>
      <c r="D71" s="343" t="s">
        <v>39</v>
      </c>
      <c r="E71" s="343"/>
      <c r="F71" s="4" t="s">
        <v>48</v>
      </c>
      <c r="G71" s="3">
        <v>2</v>
      </c>
      <c r="O71" s="2"/>
    </row>
    <row r="72" spans="2:37" ht="3.95" customHeight="1" x14ac:dyDescent="0.25">
      <c r="B72" s="2"/>
      <c r="D72" s="74"/>
      <c r="E72" s="74"/>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52</v>
      </c>
      <c r="G74" s="15" t="s">
        <v>51</v>
      </c>
      <c r="H74" s="15" t="s">
        <v>52</v>
      </c>
      <c r="I74" s="15" t="s">
        <v>51</v>
      </c>
      <c r="J74" s="15" t="s">
        <v>52</v>
      </c>
      <c r="K74" s="15" t="s">
        <v>51</v>
      </c>
      <c r="L74" s="15" t="s">
        <v>52</v>
      </c>
      <c r="M74" s="15" t="s">
        <v>51</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v>1</v>
      </c>
      <c r="AI75" s="3">
        <f>+IF(AH75=0,0,IF(MOD(AH75,$U$69)=0,1,0))</f>
        <v>0</v>
      </c>
      <c r="AJ75" s="3">
        <f>+IF(AE75=$F$71,1,0)</f>
        <v>0</v>
      </c>
      <c r="AK75" s="3">
        <f>+MAX(AI75:AJ75)</f>
        <v>0</v>
      </c>
    </row>
    <row r="76" spans="2:37" x14ac:dyDescent="0.25">
      <c r="B76" s="2"/>
      <c r="D76" s="360" t="s">
        <v>40</v>
      </c>
      <c r="E76" s="360"/>
      <c r="F76" s="35" t="s">
        <v>500</v>
      </c>
      <c r="G76" s="268"/>
      <c r="H76" s="268"/>
      <c r="I76" s="268"/>
      <c r="J76" s="268"/>
      <c r="K76" s="268"/>
      <c r="L76" s="268"/>
      <c r="M76" s="268"/>
      <c r="O76" s="2"/>
      <c r="AE76" s="3" t="s">
        <v>40</v>
      </c>
      <c r="AF76" s="3">
        <v>2</v>
      </c>
      <c r="AG76" s="3">
        <f t="shared" ref="AG76:AG86" si="0">+IF(AF76&gt;=$G$71,1,0)</f>
        <v>1</v>
      </c>
      <c r="AH76" s="3">
        <v>2</v>
      </c>
      <c r="AI76" s="3">
        <f t="shared" ref="AI76:AI86" si="1">+IF(AH76=0,0,IF(MOD(AH76,$U$69)=0,1,0))</f>
        <v>1</v>
      </c>
      <c r="AJ76" s="3">
        <f t="shared" ref="AJ76:AJ86" si="2">+IF(AE76=$F$71,1,0)</f>
        <v>0</v>
      </c>
      <c r="AK76" s="3">
        <f t="shared" ref="AK76:AK86" si="3">+MAX(AI76:AJ76)</f>
        <v>1</v>
      </c>
    </row>
    <row r="77" spans="2:37" x14ac:dyDescent="0.25">
      <c r="B77" s="2"/>
      <c r="D77" s="360" t="s">
        <v>47</v>
      </c>
      <c r="E77" s="360"/>
      <c r="F77" s="16" t="s">
        <v>500</v>
      </c>
      <c r="G77" s="16"/>
      <c r="H77" s="16"/>
      <c r="I77" s="16"/>
      <c r="J77" s="16"/>
      <c r="K77" s="16"/>
      <c r="L77" s="16"/>
      <c r="M77" s="16"/>
      <c r="O77" s="2"/>
      <c r="AE77" s="3" t="s">
        <v>47</v>
      </c>
      <c r="AF77" s="3">
        <v>3</v>
      </c>
      <c r="AG77" s="3">
        <f t="shared" si="0"/>
        <v>1</v>
      </c>
      <c r="AH77" s="3">
        <v>3</v>
      </c>
      <c r="AI77" s="3">
        <f t="shared" si="1"/>
        <v>0</v>
      </c>
      <c r="AJ77" s="3">
        <f t="shared" si="2"/>
        <v>0</v>
      </c>
      <c r="AK77" s="3">
        <f t="shared" si="3"/>
        <v>0</v>
      </c>
    </row>
    <row r="78" spans="2:37" x14ac:dyDescent="0.25">
      <c r="B78" s="2"/>
      <c r="D78" s="360" t="s">
        <v>48</v>
      </c>
      <c r="E78" s="360"/>
      <c r="F78" s="16" t="s">
        <v>500</v>
      </c>
      <c r="G78" s="16">
        <f>+H78-0.001</f>
        <v>5.8999999999999997E-2</v>
      </c>
      <c r="H78" s="16">
        <v>0.06</v>
      </c>
      <c r="I78" s="16">
        <f>+J78-0.001</f>
        <v>7.9000000000000001E-2</v>
      </c>
      <c r="J78" s="16">
        <v>0.08</v>
      </c>
      <c r="K78" s="16">
        <f>+L78-0.001</f>
        <v>9.9000000000000005E-2</v>
      </c>
      <c r="L78" s="16">
        <v>0.1</v>
      </c>
      <c r="M78" s="16"/>
      <c r="O78" s="2"/>
      <c r="AE78" s="3" t="s">
        <v>48</v>
      </c>
      <c r="AF78" s="3">
        <v>4</v>
      </c>
      <c r="AG78" s="3">
        <f t="shared" si="0"/>
        <v>1</v>
      </c>
      <c r="AH78" s="3">
        <v>4</v>
      </c>
      <c r="AI78" s="3">
        <f t="shared" si="1"/>
        <v>1</v>
      </c>
      <c r="AJ78" s="3">
        <f t="shared" si="2"/>
        <v>1</v>
      </c>
      <c r="AK78" s="3">
        <f t="shared" si="3"/>
        <v>1</v>
      </c>
    </row>
    <row r="79" spans="2:37" x14ac:dyDescent="0.25">
      <c r="B79" s="2"/>
      <c r="D79" s="360" t="s">
        <v>49</v>
      </c>
      <c r="E79" s="360"/>
      <c r="F79" s="16" t="s">
        <v>500</v>
      </c>
      <c r="G79" s="16"/>
      <c r="H79" s="16"/>
      <c r="I79" s="16"/>
      <c r="J79" s="16"/>
      <c r="K79" s="16"/>
      <c r="L79" s="16"/>
      <c r="M79" s="16"/>
      <c r="O79" s="2"/>
      <c r="AE79" s="3" t="s">
        <v>49</v>
      </c>
      <c r="AF79" s="3">
        <v>5</v>
      </c>
      <c r="AG79" s="3">
        <f t="shared" si="0"/>
        <v>1</v>
      </c>
      <c r="AH79" s="3">
        <v>5</v>
      </c>
      <c r="AI79" s="3">
        <f t="shared" si="1"/>
        <v>0</v>
      </c>
      <c r="AJ79" s="3">
        <f t="shared" si="2"/>
        <v>0</v>
      </c>
      <c r="AK79" s="3">
        <f t="shared" si="3"/>
        <v>0</v>
      </c>
    </row>
    <row r="80" spans="2:37" x14ac:dyDescent="0.25">
      <c r="B80" s="2"/>
      <c r="D80" s="360" t="s">
        <v>50</v>
      </c>
      <c r="E80" s="360"/>
      <c r="F80" s="16" t="s">
        <v>500</v>
      </c>
      <c r="G80" s="16">
        <f>+H80-0.001</f>
        <v>5.8999999999999997E-2</v>
      </c>
      <c r="H80" s="16">
        <v>0.06</v>
      </c>
      <c r="I80" s="16">
        <f>+J80-0.001</f>
        <v>7.9000000000000001E-2</v>
      </c>
      <c r="J80" s="16">
        <v>0.08</v>
      </c>
      <c r="K80" s="16">
        <f>+L80-0.001</f>
        <v>9.9000000000000005E-2</v>
      </c>
      <c r="L80" s="16">
        <v>0.1</v>
      </c>
      <c r="M80" s="16"/>
      <c r="O80" s="2"/>
      <c r="AE80" s="3" t="s">
        <v>50</v>
      </c>
      <c r="AF80" s="3">
        <v>6</v>
      </c>
      <c r="AG80" s="3">
        <f t="shared" si="0"/>
        <v>1</v>
      </c>
      <c r="AH80" s="3">
        <v>6</v>
      </c>
      <c r="AI80" s="3">
        <f t="shared" si="1"/>
        <v>1</v>
      </c>
      <c r="AJ80" s="3">
        <f t="shared" si="2"/>
        <v>0</v>
      </c>
      <c r="AK80" s="3">
        <f t="shared" si="3"/>
        <v>1</v>
      </c>
    </row>
    <row r="81" spans="2:37" x14ac:dyDescent="0.25">
      <c r="B81" s="2"/>
      <c r="D81" s="360" t="s">
        <v>53</v>
      </c>
      <c r="E81" s="360"/>
      <c r="F81" s="16" t="s">
        <v>500</v>
      </c>
      <c r="G81" s="16"/>
      <c r="H81" s="16"/>
      <c r="I81" s="16"/>
      <c r="J81" s="16"/>
      <c r="K81" s="16"/>
      <c r="L81" s="16"/>
      <c r="M81" s="16"/>
      <c r="O81" s="2"/>
      <c r="AE81" s="3" t="s">
        <v>53</v>
      </c>
      <c r="AF81" s="3">
        <v>7</v>
      </c>
      <c r="AG81" s="3">
        <f t="shared" si="0"/>
        <v>1</v>
      </c>
      <c r="AH81" s="3">
        <v>7</v>
      </c>
      <c r="AI81" s="3">
        <f t="shared" si="1"/>
        <v>0</v>
      </c>
      <c r="AJ81" s="3">
        <f t="shared" si="2"/>
        <v>0</v>
      </c>
      <c r="AK81" s="3">
        <f t="shared" si="3"/>
        <v>0</v>
      </c>
    </row>
    <row r="82" spans="2:37" x14ac:dyDescent="0.25">
      <c r="B82" s="2"/>
      <c r="D82" s="360" t="s">
        <v>54</v>
      </c>
      <c r="E82" s="360"/>
      <c r="F82" s="16" t="s">
        <v>500</v>
      </c>
      <c r="G82" s="16">
        <f>+H82-0.001</f>
        <v>5.8999999999999997E-2</v>
      </c>
      <c r="H82" s="16">
        <v>0.06</v>
      </c>
      <c r="I82" s="16">
        <f>+J82-0.001</f>
        <v>7.9000000000000001E-2</v>
      </c>
      <c r="J82" s="16">
        <v>0.08</v>
      </c>
      <c r="K82" s="16">
        <f>+L82-0.001</f>
        <v>9.9000000000000005E-2</v>
      </c>
      <c r="L82" s="16">
        <v>0.1</v>
      </c>
      <c r="M82" s="16"/>
      <c r="O82" s="2"/>
      <c r="AE82" s="3" t="s">
        <v>54</v>
      </c>
      <c r="AF82" s="3">
        <v>8</v>
      </c>
      <c r="AG82" s="3">
        <f t="shared" si="0"/>
        <v>1</v>
      </c>
      <c r="AH82" s="3">
        <v>8</v>
      </c>
      <c r="AI82" s="3">
        <f t="shared" si="1"/>
        <v>1</v>
      </c>
      <c r="AJ82" s="3">
        <f t="shared" si="2"/>
        <v>0</v>
      </c>
      <c r="AK82" s="3">
        <f t="shared" si="3"/>
        <v>1</v>
      </c>
    </row>
    <row r="83" spans="2:37" x14ac:dyDescent="0.25">
      <c r="B83" s="2"/>
      <c r="D83" s="360" t="s">
        <v>55</v>
      </c>
      <c r="E83" s="360"/>
      <c r="F83" s="16" t="s">
        <v>500</v>
      </c>
      <c r="G83" s="16"/>
      <c r="H83" s="16"/>
      <c r="I83" s="16"/>
      <c r="J83" s="16"/>
      <c r="K83" s="16"/>
      <c r="L83" s="16"/>
      <c r="M83" s="16"/>
      <c r="O83" s="2"/>
      <c r="AE83" s="3" t="s">
        <v>55</v>
      </c>
      <c r="AF83" s="3">
        <v>9</v>
      </c>
      <c r="AG83" s="3">
        <f t="shared" si="0"/>
        <v>1</v>
      </c>
      <c r="AH83" s="3">
        <v>9</v>
      </c>
      <c r="AI83" s="3">
        <f t="shared" si="1"/>
        <v>0</v>
      </c>
      <c r="AJ83" s="3">
        <f t="shared" si="2"/>
        <v>0</v>
      </c>
      <c r="AK83" s="3">
        <f t="shared" si="3"/>
        <v>0</v>
      </c>
    </row>
    <row r="84" spans="2:37" x14ac:dyDescent="0.25">
      <c r="B84" s="2"/>
      <c r="D84" s="360" t="s">
        <v>56</v>
      </c>
      <c r="E84" s="360"/>
      <c r="F84" s="16" t="s">
        <v>500</v>
      </c>
      <c r="G84" s="16">
        <f>+H84-0.001</f>
        <v>5.8999999999999997E-2</v>
      </c>
      <c r="H84" s="16">
        <v>0.06</v>
      </c>
      <c r="I84" s="16">
        <f>+J84-0.001</f>
        <v>7.9000000000000001E-2</v>
      </c>
      <c r="J84" s="16">
        <v>0.08</v>
      </c>
      <c r="K84" s="16">
        <f>+L84-0.001</f>
        <v>9.9000000000000005E-2</v>
      </c>
      <c r="L84" s="16">
        <v>0.1</v>
      </c>
      <c r="M84" s="16"/>
      <c r="O84" s="2"/>
      <c r="AE84" s="3" t="s">
        <v>56</v>
      </c>
      <c r="AF84" s="3">
        <v>10</v>
      </c>
      <c r="AG84" s="3">
        <f t="shared" si="0"/>
        <v>1</v>
      </c>
      <c r="AH84" s="3">
        <v>10</v>
      </c>
      <c r="AI84" s="3">
        <f t="shared" si="1"/>
        <v>1</v>
      </c>
      <c r="AJ84" s="3">
        <f t="shared" si="2"/>
        <v>0</v>
      </c>
      <c r="AK84" s="3">
        <f t="shared" si="3"/>
        <v>1</v>
      </c>
    </row>
    <row r="85" spans="2:37" x14ac:dyDescent="0.25">
      <c r="B85" s="2"/>
      <c r="D85" s="360" t="s">
        <v>57</v>
      </c>
      <c r="E85" s="360"/>
      <c r="F85" s="16" t="s">
        <v>500</v>
      </c>
      <c r="G85" s="16"/>
      <c r="H85" s="16"/>
      <c r="I85" s="16"/>
      <c r="J85" s="16"/>
      <c r="K85" s="16"/>
      <c r="L85" s="16"/>
      <c r="M85" s="16"/>
      <c r="O85" s="2"/>
      <c r="AE85" s="3" t="s">
        <v>57</v>
      </c>
      <c r="AF85" s="3">
        <v>11</v>
      </c>
      <c r="AG85" s="3">
        <f t="shared" si="0"/>
        <v>1</v>
      </c>
      <c r="AH85" s="3">
        <v>11</v>
      </c>
      <c r="AI85" s="3">
        <f t="shared" si="1"/>
        <v>0</v>
      </c>
      <c r="AJ85" s="3">
        <f t="shared" si="2"/>
        <v>0</v>
      </c>
      <c r="AK85" s="3">
        <f t="shared" si="3"/>
        <v>0</v>
      </c>
    </row>
    <row r="86" spans="2:37" x14ac:dyDescent="0.25">
      <c r="B86" s="2"/>
      <c r="D86" s="360" t="s">
        <v>58</v>
      </c>
      <c r="E86" s="360"/>
      <c r="F86" s="16" t="s">
        <v>500</v>
      </c>
      <c r="G86" s="16">
        <f>+H86-0.001</f>
        <v>5.8999999999999997E-2</v>
      </c>
      <c r="H86" s="16">
        <v>0.06</v>
      </c>
      <c r="I86" s="16">
        <f>+J86-0.001</f>
        <v>7.9000000000000001E-2</v>
      </c>
      <c r="J86" s="16">
        <v>0.08</v>
      </c>
      <c r="K86" s="16">
        <f>+L86-0.001</f>
        <v>9.9000000000000005E-2</v>
      </c>
      <c r="L86" s="16">
        <v>0.1</v>
      </c>
      <c r="M86" s="16"/>
      <c r="O86" s="2"/>
      <c r="AE86" s="3" t="s">
        <v>58</v>
      </c>
      <c r="AF86" s="65">
        <v>12</v>
      </c>
      <c r="AG86" s="3">
        <f t="shared" si="0"/>
        <v>1</v>
      </c>
      <c r="AH86" s="65">
        <v>12</v>
      </c>
      <c r="AI86" s="3">
        <f t="shared" si="1"/>
        <v>1</v>
      </c>
      <c r="AJ86" s="3">
        <f t="shared" si="2"/>
        <v>0</v>
      </c>
      <c r="AK86" s="3">
        <f t="shared" si="3"/>
        <v>1</v>
      </c>
    </row>
    <row r="87" spans="2:37" ht="3.75" customHeight="1" x14ac:dyDescent="0.25">
      <c r="B87" s="2"/>
      <c r="O87" s="2"/>
    </row>
    <row r="88" spans="2:37" ht="66" customHeight="1" x14ac:dyDescent="0.25">
      <c r="B88" s="2"/>
      <c r="D88" s="338" t="s">
        <v>59</v>
      </c>
      <c r="E88" s="339"/>
      <c r="F88" s="425" t="s">
        <v>2073</v>
      </c>
      <c r="G88" s="426"/>
      <c r="H88" s="426"/>
      <c r="I88" s="426"/>
      <c r="J88" s="426"/>
      <c r="K88" s="426"/>
      <c r="L88" s="426"/>
      <c r="M88" s="427"/>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4" t="s">
        <v>60</v>
      </c>
      <c r="O94" s="2"/>
    </row>
    <row r="95" spans="2:37" ht="3.95" customHeight="1" x14ac:dyDescent="0.25">
      <c r="B95" s="2"/>
      <c r="O95" s="2"/>
    </row>
    <row r="96" spans="2:37" ht="20.100000000000001" customHeight="1" x14ac:dyDescent="0.25">
      <c r="B96" s="2"/>
      <c r="D96" s="337" t="s">
        <v>61</v>
      </c>
      <c r="E96" s="337"/>
      <c r="O96" s="2"/>
    </row>
    <row r="97" spans="2:15" ht="42" customHeight="1" x14ac:dyDescent="0.25">
      <c r="B97" s="2"/>
      <c r="D97" s="359" t="s">
        <v>35</v>
      </c>
      <c r="E97" s="359"/>
      <c r="F97" s="344" t="s">
        <v>2070</v>
      </c>
      <c r="G97" s="344"/>
      <c r="H97" s="344"/>
      <c r="I97" s="344"/>
      <c r="J97" s="344"/>
      <c r="K97" s="344"/>
      <c r="L97" s="344"/>
      <c r="M97" s="344"/>
      <c r="O97" s="2"/>
    </row>
    <row r="98" spans="2:15" ht="42" customHeight="1" x14ac:dyDescent="0.25">
      <c r="B98" s="2"/>
      <c r="D98" s="359" t="s">
        <v>36</v>
      </c>
      <c r="E98" s="359"/>
      <c r="F98" s="344" t="s">
        <v>2071</v>
      </c>
      <c r="G98" s="344"/>
      <c r="H98" s="344"/>
      <c r="I98" s="344"/>
      <c r="J98" s="344"/>
      <c r="K98" s="344"/>
      <c r="L98" s="344"/>
      <c r="M98" s="344"/>
      <c r="O98" s="2"/>
    </row>
    <row r="99" spans="2:15" ht="3.95" customHeight="1" x14ac:dyDescent="0.25">
      <c r="B99" s="2"/>
      <c r="O99" s="2"/>
    </row>
    <row r="100" spans="2:15" ht="48.75" customHeight="1" x14ac:dyDescent="0.25">
      <c r="B100" s="2"/>
      <c r="D100" s="338" t="s">
        <v>62</v>
      </c>
      <c r="E100" s="339"/>
      <c r="F100" s="425" t="s">
        <v>2072</v>
      </c>
      <c r="G100" s="469"/>
      <c r="H100" s="469"/>
      <c r="I100" s="469"/>
      <c r="J100" s="469"/>
      <c r="K100" s="469"/>
      <c r="L100" s="469"/>
      <c r="M100" s="470"/>
      <c r="O100" s="2"/>
    </row>
    <row r="101" spans="2:15" ht="3.95" customHeight="1" x14ac:dyDescent="0.25">
      <c r="B101" s="2"/>
      <c r="O101" s="2"/>
    </row>
    <row r="102" spans="2:15" ht="19.5" customHeight="1" x14ac:dyDescent="0.25">
      <c r="B102" s="2"/>
      <c r="D102" s="329" t="s">
        <v>64</v>
      </c>
      <c r="E102" s="330"/>
      <c r="F102" s="19" t="s">
        <v>65</v>
      </c>
      <c r="G102" s="4" t="s">
        <v>1</v>
      </c>
      <c r="K102" s="20"/>
      <c r="O102" s="2"/>
    </row>
    <row r="103" spans="2:15" ht="19.5" customHeight="1" x14ac:dyDescent="0.25">
      <c r="B103" s="2"/>
      <c r="D103" s="331"/>
      <c r="E103" s="332"/>
      <c r="F103" s="19" t="s">
        <v>66</v>
      </c>
      <c r="G103" s="4" t="s">
        <v>317</v>
      </c>
      <c r="K103" s="21"/>
      <c r="O103" s="2"/>
    </row>
    <row r="104" spans="2:15" ht="27.75" customHeight="1" x14ac:dyDescent="0.25">
      <c r="B104" s="2"/>
      <c r="D104" s="331"/>
      <c r="E104" s="332"/>
      <c r="F104" s="19" t="s">
        <v>67</v>
      </c>
      <c r="G104" s="333" t="s">
        <v>894</v>
      </c>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425" t="s">
        <v>102</v>
      </c>
      <c r="G106" s="426"/>
      <c r="H106" s="426"/>
      <c r="I106" s="426"/>
      <c r="J106" s="426"/>
      <c r="K106" s="426"/>
      <c r="L106" s="426"/>
      <c r="M106" s="427"/>
      <c r="O106" s="2"/>
    </row>
    <row r="107" spans="2:15" ht="3.95" customHeight="1" x14ac:dyDescent="0.25">
      <c r="B107" s="2"/>
      <c r="O107" s="2"/>
    </row>
    <row r="108" spans="2:15" ht="17.25" customHeight="1" x14ac:dyDescent="0.25">
      <c r="B108" s="2"/>
      <c r="D108" s="329" t="s">
        <v>2040</v>
      </c>
      <c r="E108" s="330"/>
      <c r="F108" s="19" t="s">
        <v>2041</v>
      </c>
      <c r="G108" s="333" t="str">
        <f>+VLOOKUP(H10,tablero!$P$5:$R$201,3,FALSE)</f>
        <v>Director(a) Gestión Humana</v>
      </c>
      <c r="H108" s="334"/>
      <c r="I108" s="334"/>
      <c r="J108" s="334"/>
      <c r="K108" s="334"/>
      <c r="L108" s="334"/>
      <c r="M108" s="335"/>
      <c r="O108" s="2"/>
    </row>
    <row r="109" spans="2:15" ht="17.25" customHeight="1" x14ac:dyDescent="0.25">
      <c r="B109" s="2"/>
      <c r="D109" s="331"/>
      <c r="E109" s="332"/>
      <c r="F109" s="19" t="s">
        <v>2042</v>
      </c>
      <c r="G109" s="333" t="str">
        <f>+IF(M23="Si","Coordinador(a) Planeación y Sistemas","")</f>
        <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004" priority="19">
      <formula>+IF($F$43="no",1,0)</formula>
    </cfRule>
  </conditionalFormatting>
  <conditionalFormatting sqref="F32:M33">
    <cfRule type="expression" dxfId="2003" priority="18">
      <formula>+IF($Q$30="NA",1,0)</formula>
    </cfRule>
  </conditionalFormatting>
  <conditionalFormatting sqref="F33:M33">
    <cfRule type="expression" dxfId="2002" priority="17">
      <formula>+IF($Q$33=0,1,0)</formula>
    </cfRule>
  </conditionalFormatting>
  <conditionalFormatting sqref="F47:M47">
    <cfRule type="expression" dxfId="2001" priority="16">
      <formula>+IF($Q$47=0,1,0)</formula>
    </cfRule>
  </conditionalFormatting>
  <conditionalFormatting sqref="F73:G73">
    <cfRule type="cellIs" dxfId="2000" priority="14" operator="equal">
      <formula>"optimo"</formula>
    </cfRule>
    <cfRule type="cellIs" dxfId="1999" priority="15" operator="equal">
      <formula>"critico"</formula>
    </cfRule>
  </conditionalFormatting>
  <conditionalFormatting sqref="H73:I73">
    <cfRule type="cellIs" dxfId="1998" priority="12" operator="equal">
      <formula>"Adecuado"</formula>
    </cfRule>
    <cfRule type="cellIs" dxfId="1997" priority="13" operator="equal">
      <formula>"en riesgo"</formula>
    </cfRule>
  </conditionalFormatting>
  <conditionalFormatting sqref="J73:K73">
    <cfRule type="cellIs" dxfId="1996" priority="10" operator="equal">
      <formula>"Adecuado"</formula>
    </cfRule>
    <cfRule type="cellIs" dxfId="1995" priority="11" operator="equal">
      <formula>"en riesgo"</formula>
    </cfRule>
  </conditionalFormatting>
  <conditionalFormatting sqref="L73:M73">
    <cfRule type="cellIs" dxfId="1994" priority="8" operator="equal">
      <formula>"optimo"</formula>
    </cfRule>
    <cfRule type="cellIs" dxfId="1993" priority="9" operator="equal">
      <formula>"critico"</formula>
    </cfRule>
  </conditionalFormatting>
  <conditionalFormatting sqref="F75:M86">
    <cfRule type="expression" dxfId="1992" priority="7">
      <formula>+IF($AK75=0,1)</formula>
    </cfRule>
  </conditionalFormatting>
  <conditionalFormatting sqref="F103:G104">
    <cfRule type="expression" dxfId="1991" priority="6">
      <formula>+IF($G$102="No",1,0)</formula>
    </cfRule>
  </conditionalFormatting>
  <conditionalFormatting sqref="F51">
    <cfRule type="expression" dxfId="1990" priority="5">
      <formula>+IF($F$43="no",1,0)</formula>
    </cfRule>
  </conditionalFormatting>
  <conditionalFormatting sqref="I51">
    <cfRule type="expression" dxfId="1989"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7">
    <tabColor rgb="FF0070C0"/>
  </sheetPr>
  <dimension ref="B1:AV113"/>
  <sheetViews>
    <sheetView topLeftCell="A40" zoomScaleNormal="100" workbookViewId="0">
      <selection activeCell="F61" sqref="F61:M61"/>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318</v>
      </c>
      <c r="O10" s="2"/>
    </row>
    <row r="11" spans="2:24" ht="3.95" customHeight="1" x14ac:dyDescent="0.25">
      <c r="B11" s="2"/>
      <c r="D11" s="6"/>
      <c r="O11" s="2"/>
    </row>
    <row r="12" spans="2:24" ht="36" customHeight="1" x14ac:dyDescent="0.25">
      <c r="B12" s="2"/>
      <c r="D12" s="338" t="s">
        <v>5</v>
      </c>
      <c r="E12" s="339"/>
      <c r="F12" s="340" t="s">
        <v>319</v>
      </c>
      <c r="G12" s="341"/>
      <c r="H12" s="341"/>
      <c r="I12" s="341"/>
      <c r="J12" s="341"/>
      <c r="K12" s="341"/>
      <c r="L12" s="341"/>
      <c r="M12" s="342"/>
      <c r="O12" s="2"/>
      <c r="W12" s="3" t="str">
        <f>+F23</f>
        <v>Bimestral</v>
      </c>
      <c r="X12" s="3" t="str">
        <f>+F71</f>
        <v>Abril</v>
      </c>
    </row>
    <row r="13" spans="2:24" ht="3.95" customHeight="1" x14ac:dyDescent="0.25">
      <c r="B13" s="2"/>
      <c r="O13" s="2"/>
    </row>
    <row r="14" spans="2:24" ht="38.25" customHeight="1" x14ac:dyDescent="0.25">
      <c r="B14" s="2"/>
      <c r="D14" s="338" t="s">
        <v>6</v>
      </c>
      <c r="E14" s="339"/>
      <c r="F14" s="340" t="s">
        <v>985</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17" t="s">
        <v>512</v>
      </c>
      <c r="G22" s="337" t="s">
        <v>9</v>
      </c>
      <c r="H22" s="337"/>
      <c r="I22" s="17">
        <v>1</v>
      </c>
      <c r="K22" s="337" t="s">
        <v>10</v>
      </c>
      <c r="L22" s="337"/>
      <c r="M22" s="9" t="s">
        <v>496</v>
      </c>
      <c r="O22" s="2"/>
    </row>
    <row r="23" spans="2:17" ht="19.5" customHeight="1" x14ac:dyDescent="0.25">
      <c r="B23" s="2"/>
      <c r="D23" s="337" t="s">
        <v>11</v>
      </c>
      <c r="E23" s="337"/>
      <c r="F23" s="4" t="s">
        <v>513</v>
      </c>
      <c r="G23" s="337" t="s">
        <v>12</v>
      </c>
      <c r="H23" s="337"/>
      <c r="I23" s="4" t="s">
        <v>497</v>
      </c>
      <c r="K23" s="337" t="s">
        <v>13</v>
      </c>
      <c r="L23" s="337"/>
      <c r="M23" s="9" t="s">
        <v>496</v>
      </c>
      <c r="O23" s="2"/>
    </row>
    <row r="24" spans="2:17" ht="20.100000000000001" customHeight="1" x14ac:dyDescent="0.25">
      <c r="B24" s="2"/>
      <c r="D24" s="337" t="s">
        <v>14</v>
      </c>
      <c r="E24" s="337"/>
      <c r="F24" s="4" t="s">
        <v>81</v>
      </c>
      <c r="G24" s="337" t="s">
        <v>15</v>
      </c>
      <c r="H24" s="337"/>
      <c r="I24" s="4" t="s">
        <v>917</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soporte</v>
      </c>
    </row>
    <row r="31" spans="2:17" ht="24" customHeight="1" x14ac:dyDescent="0.25">
      <c r="B31" s="2"/>
      <c r="D31" s="347"/>
      <c r="E31" s="348"/>
      <c r="F31" s="4" t="s">
        <v>257</v>
      </c>
      <c r="G31" s="340" t="s">
        <v>258</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918</v>
      </c>
      <c r="G33" s="340" t="s">
        <v>892</v>
      </c>
      <c r="H33" s="341"/>
      <c r="I33" s="341"/>
      <c r="J33" s="341"/>
      <c r="K33" s="341"/>
      <c r="L33" s="341"/>
      <c r="M33" s="342"/>
      <c r="O33" s="2"/>
      <c r="Q33" s="3">
        <f>+IFERROR(IF(VLOOKUP(G33,base!$A$26:$C$40,3,FALSE)=F31,1,0),"")</f>
        <v>1</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1717</v>
      </c>
      <c r="G35" s="340" t="s">
        <v>1594</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2</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500</v>
      </c>
      <c r="G45" s="340" t="s">
        <v>512</v>
      </c>
      <c r="H45" s="341"/>
      <c r="I45" s="341"/>
      <c r="J45" s="341"/>
      <c r="K45" s="341"/>
      <c r="L45" s="341"/>
      <c r="M45" s="342"/>
      <c r="O45" s="2"/>
      <c r="Q45" s="3" t="str">
        <f>+IFERROR(VLOOKUP(G45,base!$A$41:$C$45,3,FALSE),"")</f>
        <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500</v>
      </c>
      <c r="G47" s="340" t="s">
        <v>512</v>
      </c>
      <c r="H47" s="341"/>
      <c r="I47" s="341"/>
      <c r="J47" s="341"/>
      <c r="K47" s="341"/>
      <c r="L47" s="341"/>
      <c r="M47" s="342"/>
      <c r="O47" s="2"/>
      <c r="Q47" s="3" t="e">
        <f>+IF(VLOOKUP(G47,base!$A$46:$C$66,3,FALSE)=F45,1,0)</f>
        <v>#N/A</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786</v>
      </c>
      <c r="G49" s="340" t="s">
        <v>717</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17"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 customHeight="1" x14ac:dyDescent="0.25">
      <c r="B59" s="2"/>
      <c r="D59" s="337" t="s">
        <v>34</v>
      </c>
      <c r="E59" s="337"/>
      <c r="F59" s="344" t="s">
        <v>986</v>
      </c>
      <c r="G59" s="344"/>
      <c r="H59" s="344"/>
      <c r="I59" s="344"/>
      <c r="J59" s="344"/>
      <c r="K59" s="344"/>
      <c r="L59" s="344"/>
      <c r="M59" s="344"/>
      <c r="O59" s="2"/>
    </row>
    <row r="60" spans="2:15" ht="27.75" customHeight="1" x14ac:dyDescent="0.25">
      <c r="B60" s="2"/>
      <c r="D60" s="359" t="s">
        <v>35</v>
      </c>
      <c r="E60" s="359"/>
      <c r="F60" s="344" t="s">
        <v>987</v>
      </c>
      <c r="G60" s="344"/>
      <c r="H60" s="344"/>
      <c r="I60" s="344"/>
      <c r="J60" s="344"/>
      <c r="K60" s="344"/>
      <c r="L60" s="344"/>
      <c r="M60" s="344"/>
      <c r="O60" s="2"/>
    </row>
    <row r="61" spans="2:15" ht="27.75" customHeight="1" x14ac:dyDescent="0.25">
      <c r="B61" s="2"/>
      <c r="D61" s="359" t="s">
        <v>36</v>
      </c>
      <c r="E61" s="359"/>
      <c r="F61" s="344" t="s">
        <v>988</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2</v>
      </c>
    </row>
    <row r="70" spans="2:37" ht="3.95" customHeight="1" x14ac:dyDescent="0.25">
      <c r="B70" s="2"/>
      <c r="D70" s="7"/>
      <c r="E70" s="7"/>
      <c r="O70" s="2"/>
    </row>
    <row r="71" spans="2:37" ht="18.75" customHeight="1" x14ac:dyDescent="0.25">
      <c r="B71" s="2"/>
      <c r="D71" s="343" t="s">
        <v>39</v>
      </c>
      <c r="E71" s="343"/>
      <c r="F71" s="4" t="s">
        <v>48</v>
      </c>
      <c r="G71" s="3">
        <v>4</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60" t="s">
        <v>48</v>
      </c>
      <c r="E78" s="360"/>
      <c r="F78" s="16" t="s">
        <v>500</v>
      </c>
      <c r="G78" s="16">
        <v>0.499</v>
      </c>
      <c r="H78" s="16">
        <v>0.5</v>
      </c>
      <c r="I78" s="16">
        <v>0.69899999999999995</v>
      </c>
      <c r="J78" s="16">
        <v>0.7</v>
      </c>
      <c r="K78" s="16">
        <v>0.999</v>
      </c>
      <c r="L78" s="16" t="s">
        <v>500</v>
      </c>
      <c r="M78" s="16">
        <v>1</v>
      </c>
      <c r="O78" s="2"/>
      <c r="AE78" s="3" t="s">
        <v>48</v>
      </c>
      <c r="AF78" s="3">
        <v>4</v>
      </c>
      <c r="AG78" s="3">
        <f t="shared" si="0"/>
        <v>1</v>
      </c>
      <c r="AH78" s="3">
        <f>+IF(AG78=0,0,IF(AG78=1,(SUM($AG$75:AG78)-1),1))</f>
        <v>0</v>
      </c>
      <c r="AI78" s="3">
        <f t="shared" si="1"/>
        <v>0</v>
      </c>
      <c r="AJ78" s="3">
        <f t="shared" si="2"/>
        <v>1</v>
      </c>
      <c r="AK78" s="3">
        <f t="shared" si="3"/>
        <v>1</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1</v>
      </c>
      <c r="AI79" s="3">
        <f t="shared" si="1"/>
        <v>0</v>
      </c>
      <c r="AJ79" s="3">
        <f t="shared" si="2"/>
        <v>0</v>
      </c>
      <c r="AK79" s="3">
        <f t="shared" si="3"/>
        <v>0</v>
      </c>
    </row>
    <row r="80" spans="2:37" x14ac:dyDescent="0.25">
      <c r="B80" s="2"/>
      <c r="D80" s="360" t="s">
        <v>50</v>
      </c>
      <c r="E80" s="360"/>
      <c r="F80" s="16" t="s">
        <v>500</v>
      </c>
      <c r="G80" s="16">
        <v>0.499</v>
      </c>
      <c r="H80" s="16">
        <v>0.5</v>
      </c>
      <c r="I80" s="16">
        <v>0.69899999999999995</v>
      </c>
      <c r="J80" s="16">
        <v>0.7</v>
      </c>
      <c r="K80" s="16">
        <v>0.999</v>
      </c>
      <c r="L80" s="16" t="s">
        <v>500</v>
      </c>
      <c r="M80" s="16">
        <v>1</v>
      </c>
      <c r="O80" s="2"/>
      <c r="AE80" s="3" t="s">
        <v>50</v>
      </c>
      <c r="AF80" s="3">
        <v>6</v>
      </c>
      <c r="AG80" s="3">
        <f t="shared" si="0"/>
        <v>1</v>
      </c>
      <c r="AH80" s="3">
        <f>+IF(AG80=0,0,IF(AG80=1,(SUM($AG$75:AG80)-1),1))</f>
        <v>2</v>
      </c>
      <c r="AI80" s="3">
        <f t="shared" si="1"/>
        <v>1</v>
      </c>
      <c r="AJ80" s="3">
        <f t="shared" si="2"/>
        <v>0</v>
      </c>
      <c r="AK80" s="3">
        <f t="shared" si="3"/>
        <v>1</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3</v>
      </c>
      <c r="AI81" s="3">
        <f t="shared" si="1"/>
        <v>0</v>
      </c>
      <c r="AJ81" s="3">
        <f t="shared" si="2"/>
        <v>0</v>
      </c>
      <c r="AK81" s="3">
        <f t="shared" si="3"/>
        <v>0</v>
      </c>
    </row>
    <row r="82" spans="2:37" x14ac:dyDescent="0.25">
      <c r="B82" s="2"/>
      <c r="D82" s="360" t="s">
        <v>54</v>
      </c>
      <c r="E82" s="360"/>
      <c r="F82" s="16" t="s">
        <v>500</v>
      </c>
      <c r="G82" s="16">
        <v>0.499</v>
      </c>
      <c r="H82" s="16">
        <v>0.5</v>
      </c>
      <c r="I82" s="16">
        <v>0.69899999999999995</v>
      </c>
      <c r="J82" s="16">
        <v>0.7</v>
      </c>
      <c r="K82" s="16">
        <v>0.999</v>
      </c>
      <c r="L82" s="16" t="s">
        <v>500</v>
      </c>
      <c r="M82" s="16">
        <v>1</v>
      </c>
      <c r="O82" s="2"/>
      <c r="AE82" s="3" t="s">
        <v>54</v>
      </c>
      <c r="AF82" s="3">
        <v>8</v>
      </c>
      <c r="AG82" s="3">
        <f t="shared" si="0"/>
        <v>1</v>
      </c>
      <c r="AH82" s="3">
        <f>+IF(AG82=0,0,IF(AG82=1,(SUM($AG$75:AG82)-1),1))</f>
        <v>4</v>
      </c>
      <c r="AI82" s="3">
        <f t="shared" si="1"/>
        <v>1</v>
      </c>
      <c r="AJ82" s="3">
        <f t="shared" si="2"/>
        <v>0</v>
      </c>
      <c r="AK82" s="3">
        <f t="shared" si="3"/>
        <v>1</v>
      </c>
    </row>
    <row r="83" spans="2:37" x14ac:dyDescent="0.25">
      <c r="B83" s="2"/>
      <c r="D83" s="360" t="s">
        <v>55</v>
      </c>
      <c r="E83" s="360"/>
      <c r="F83" s="16" t="s">
        <v>500</v>
      </c>
      <c r="G83" s="16" t="s">
        <v>500</v>
      </c>
      <c r="H83" s="16" t="s">
        <v>500</v>
      </c>
      <c r="I83" s="16" t="s">
        <v>500</v>
      </c>
      <c r="J83" s="16" t="s">
        <v>500</v>
      </c>
      <c r="K83" s="16" t="s">
        <v>500</v>
      </c>
      <c r="L83" s="16" t="s">
        <v>500</v>
      </c>
      <c r="M83" s="16" t="s">
        <v>500</v>
      </c>
      <c r="O83" s="2"/>
      <c r="AE83" s="3" t="s">
        <v>55</v>
      </c>
      <c r="AF83" s="3">
        <v>9</v>
      </c>
      <c r="AG83" s="3">
        <f t="shared" si="0"/>
        <v>1</v>
      </c>
      <c r="AH83" s="3">
        <f>+IF(AG83=0,0,IF(AG83=1,(SUM($AG$75:AG83)-1),1))</f>
        <v>5</v>
      </c>
      <c r="AI83" s="3">
        <f t="shared" si="1"/>
        <v>0</v>
      </c>
      <c r="AJ83" s="3">
        <f t="shared" si="2"/>
        <v>0</v>
      </c>
      <c r="AK83" s="3">
        <f t="shared" si="3"/>
        <v>0</v>
      </c>
    </row>
    <row r="84" spans="2:37" x14ac:dyDescent="0.25">
      <c r="B84" s="2"/>
      <c r="D84" s="360" t="s">
        <v>56</v>
      </c>
      <c r="E84" s="360"/>
      <c r="F84" s="16" t="s">
        <v>500</v>
      </c>
      <c r="G84" s="16">
        <v>0.499</v>
      </c>
      <c r="H84" s="16">
        <v>0.5</v>
      </c>
      <c r="I84" s="16">
        <v>0.69899999999999995</v>
      </c>
      <c r="J84" s="16">
        <v>0.7</v>
      </c>
      <c r="K84" s="16">
        <v>0.999</v>
      </c>
      <c r="L84" s="16" t="s">
        <v>500</v>
      </c>
      <c r="M84" s="16">
        <v>1</v>
      </c>
      <c r="O84" s="2"/>
      <c r="AE84" s="3" t="s">
        <v>56</v>
      </c>
      <c r="AF84" s="3">
        <v>10</v>
      </c>
      <c r="AG84" s="3">
        <f t="shared" si="0"/>
        <v>1</v>
      </c>
      <c r="AH84" s="3">
        <f>+IF(AG84=0,0,IF(AG84=1,(SUM($AG$75:AG84)-1),1))</f>
        <v>6</v>
      </c>
      <c r="AI84" s="3">
        <f t="shared" si="1"/>
        <v>1</v>
      </c>
      <c r="AJ84" s="3">
        <f t="shared" si="2"/>
        <v>0</v>
      </c>
      <c r="AK84" s="3">
        <f t="shared" si="3"/>
        <v>1</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7</v>
      </c>
      <c r="AI85" s="3">
        <f t="shared" si="1"/>
        <v>0</v>
      </c>
      <c r="AJ85" s="3">
        <f t="shared" si="2"/>
        <v>0</v>
      </c>
      <c r="AK85" s="3">
        <f t="shared" si="3"/>
        <v>0</v>
      </c>
    </row>
    <row r="86" spans="2:37" x14ac:dyDescent="0.25">
      <c r="B86" s="2"/>
      <c r="D86" s="360" t="s">
        <v>58</v>
      </c>
      <c r="E86" s="360"/>
      <c r="F86" s="16" t="s">
        <v>500</v>
      </c>
      <c r="G86" s="16">
        <v>0.499</v>
      </c>
      <c r="H86" s="16">
        <v>0.5</v>
      </c>
      <c r="I86" s="16">
        <v>0.69899999999999995</v>
      </c>
      <c r="J86" s="16">
        <v>0.7</v>
      </c>
      <c r="K86" s="16">
        <v>0.999</v>
      </c>
      <c r="L86" s="16" t="s">
        <v>500</v>
      </c>
      <c r="M86" s="16">
        <v>1</v>
      </c>
      <c r="O86" s="2"/>
      <c r="AE86" s="3" t="s">
        <v>58</v>
      </c>
      <c r="AF86" s="65">
        <v>12</v>
      </c>
      <c r="AG86" s="3">
        <f t="shared" si="0"/>
        <v>1</v>
      </c>
      <c r="AH86" s="3">
        <f>+IF(AG86=0,0,IF(AG86=1,(SUM($AG$75:AG86)-1),1))</f>
        <v>8</v>
      </c>
      <c r="AI86" s="3">
        <f t="shared" si="1"/>
        <v>1</v>
      </c>
      <c r="AJ86" s="3">
        <f t="shared" si="2"/>
        <v>0</v>
      </c>
      <c r="AK86" s="3">
        <f t="shared" si="3"/>
        <v>1</v>
      </c>
    </row>
    <row r="87" spans="2:37" ht="3.75" customHeight="1" x14ac:dyDescent="0.25">
      <c r="B87" s="2"/>
      <c r="O87" s="2"/>
    </row>
    <row r="88" spans="2:37" ht="66" customHeight="1" x14ac:dyDescent="0.25">
      <c r="B88" s="2"/>
      <c r="D88" s="338" t="s">
        <v>59</v>
      </c>
      <c r="E88" s="339"/>
      <c r="F88" s="340" t="s">
        <v>893</v>
      </c>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2" customHeight="1" x14ac:dyDescent="0.25">
      <c r="B97" s="2"/>
      <c r="D97" s="359" t="s">
        <v>35</v>
      </c>
      <c r="E97" s="359"/>
      <c r="F97" s="344" t="s">
        <v>989</v>
      </c>
      <c r="G97" s="344"/>
      <c r="H97" s="344"/>
      <c r="I97" s="344"/>
      <c r="J97" s="344"/>
      <c r="K97" s="344"/>
      <c r="L97" s="344"/>
      <c r="M97" s="344"/>
      <c r="O97" s="2"/>
    </row>
    <row r="98" spans="2:15" ht="42" customHeight="1" x14ac:dyDescent="0.25">
      <c r="B98" s="2"/>
      <c r="D98" s="359" t="s">
        <v>36</v>
      </c>
      <c r="E98" s="359"/>
      <c r="F98" s="344" t="s">
        <v>990</v>
      </c>
      <c r="G98" s="344"/>
      <c r="H98" s="344"/>
      <c r="I98" s="344"/>
      <c r="J98" s="344"/>
      <c r="K98" s="344"/>
      <c r="L98" s="344"/>
      <c r="M98" s="344"/>
      <c r="O98" s="2"/>
    </row>
    <row r="99" spans="2:15" ht="3.95" customHeight="1" x14ac:dyDescent="0.25">
      <c r="B99" s="2"/>
      <c r="O99" s="2"/>
    </row>
    <row r="100" spans="2:15" ht="110.25" customHeight="1" x14ac:dyDescent="0.25">
      <c r="B100" s="2"/>
      <c r="D100" s="338" t="s">
        <v>62</v>
      </c>
      <c r="E100" s="339"/>
      <c r="F100" s="340" t="s">
        <v>895</v>
      </c>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1</v>
      </c>
      <c r="K102" s="20"/>
      <c r="O102" s="2"/>
    </row>
    <row r="103" spans="2:15" ht="19.5" customHeight="1" x14ac:dyDescent="0.25">
      <c r="B103" s="2"/>
      <c r="D103" s="331"/>
      <c r="E103" s="332"/>
      <c r="F103" s="19" t="s">
        <v>66</v>
      </c>
      <c r="G103" s="4" t="s">
        <v>318</v>
      </c>
      <c r="K103" s="21"/>
      <c r="O103" s="2"/>
    </row>
    <row r="104" spans="2:15" ht="27.75" customHeight="1" x14ac:dyDescent="0.25">
      <c r="B104" s="2"/>
      <c r="D104" s="331"/>
      <c r="E104" s="332"/>
      <c r="F104" s="19" t="s">
        <v>67</v>
      </c>
      <c r="G104" s="333" t="s">
        <v>896</v>
      </c>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Director(a) Gestión Humana</v>
      </c>
      <c r="H108" s="334"/>
      <c r="I108" s="334"/>
      <c r="J108" s="334"/>
      <c r="K108" s="334"/>
      <c r="L108" s="334"/>
      <c r="M108" s="335"/>
      <c r="O108" s="2"/>
    </row>
    <row r="109" spans="2:15" ht="17.25" customHeight="1" x14ac:dyDescent="0.25">
      <c r="B109" s="2"/>
      <c r="D109" s="331"/>
      <c r="E109" s="332"/>
      <c r="F109" s="19" t="s">
        <v>2042</v>
      </c>
      <c r="G109" s="333" t="str">
        <f>+IF(M23="Si","Coordinador(a) Planeación y Sistemas","")</f>
        <v>Coordinador(a) Planeación y Sistemas</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988" priority="31">
      <formula>+IF($F$43="no",1,0)</formula>
    </cfRule>
  </conditionalFormatting>
  <conditionalFormatting sqref="F32:M33">
    <cfRule type="expression" dxfId="1987" priority="30">
      <formula>+IF($Q$30="NA",1,0)</formula>
    </cfRule>
  </conditionalFormatting>
  <conditionalFormatting sqref="F33:M33">
    <cfRule type="expression" dxfId="1986" priority="29">
      <formula>+IF($Q$33=0,1,0)</formula>
    </cfRule>
  </conditionalFormatting>
  <conditionalFormatting sqref="F47:M47">
    <cfRule type="expression" dxfId="1985" priority="28">
      <formula>+IF($Q$47=0,1,0)</formula>
    </cfRule>
  </conditionalFormatting>
  <conditionalFormatting sqref="F73:G73">
    <cfRule type="cellIs" dxfId="1984" priority="19" operator="equal">
      <formula>"optimo"</formula>
    </cfRule>
    <cfRule type="cellIs" dxfId="1983" priority="20" operator="equal">
      <formula>"critico"</formula>
    </cfRule>
  </conditionalFormatting>
  <conditionalFormatting sqref="H73:I73">
    <cfRule type="cellIs" dxfId="1982" priority="17" operator="equal">
      <formula>"Adecuado"</formula>
    </cfRule>
    <cfRule type="cellIs" dxfId="1981" priority="18" operator="equal">
      <formula>"en riesgo"</formula>
    </cfRule>
  </conditionalFormatting>
  <conditionalFormatting sqref="J73:K73">
    <cfRule type="cellIs" dxfId="1980" priority="15" operator="equal">
      <formula>"Adecuado"</formula>
    </cfRule>
    <cfRule type="cellIs" dxfId="1979" priority="16" operator="equal">
      <formula>"en riesgo"</formula>
    </cfRule>
  </conditionalFormatting>
  <conditionalFormatting sqref="L73:M73">
    <cfRule type="cellIs" dxfId="1978" priority="13" operator="equal">
      <formula>"optimo"</formula>
    </cfRule>
    <cfRule type="cellIs" dxfId="1977" priority="14" operator="equal">
      <formula>"critico"</formula>
    </cfRule>
  </conditionalFormatting>
  <conditionalFormatting sqref="F75:M86">
    <cfRule type="expression" dxfId="1976" priority="12">
      <formula>+IF($AK75=0,1)</formula>
    </cfRule>
  </conditionalFormatting>
  <conditionalFormatting sqref="F103:G104">
    <cfRule type="expression" dxfId="1975" priority="11">
      <formula>+IF($G$102="No",1,0)</formula>
    </cfRule>
  </conditionalFormatting>
  <conditionalFormatting sqref="F51">
    <cfRule type="expression" dxfId="1974" priority="10">
      <formula>+IF($F$43="no",1,0)</formula>
    </cfRule>
  </conditionalFormatting>
  <conditionalFormatting sqref="I51">
    <cfRule type="expression" dxfId="1973" priority="9">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8">
    <tabColor rgb="FF0070C0"/>
  </sheetPr>
  <dimension ref="B1:AV113"/>
  <sheetViews>
    <sheetView topLeftCell="A37" zoomScaleNormal="100" workbookViewId="0"/>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320</v>
      </c>
      <c r="O10" s="2"/>
    </row>
    <row r="11" spans="2:24" ht="3.95" customHeight="1" x14ac:dyDescent="0.25">
      <c r="B11" s="2"/>
      <c r="D11" s="6"/>
      <c r="O11" s="2"/>
    </row>
    <row r="12" spans="2:24" ht="36" customHeight="1" x14ac:dyDescent="0.25">
      <c r="B12" s="2"/>
      <c r="D12" s="338" t="s">
        <v>5</v>
      </c>
      <c r="E12" s="339"/>
      <c r="F12" s="340" t="s">
        <v>321</v>
      </c>
      <c r="G12" s="341"/>
      <c r="H12" s="341"/>
      <c r="I12" s="341"/>
      <c r="J12" s="341"/>
      <c r="K12" s="341"/>
      <c r="L12" s="341"/>
      <c r="M12" s="342"/>
      <c r="O12" s="2"/>
      <c r="W12" s="3" t="str">
        <f>+F23</f>
        <v>Bimestral</v>
      </c>
      <c r="X12" s="3" t="str">
        <f>+F71</f>
        <v>Junio</v>
      </c>
    </row>
    <row r="13" spans="2:24" ht="3.95" customHeight="1" x14ac:dyDescent="0.25">
      <c r="B13" s="2"/>
      <c r="O13" s="2"/>
    </row>
    <row r="14" spans="2:24" ht="38.25" customHeight="1" x14ac:dyDescent="0.25">
      <c r="B14" s="2"/>
      <c r="D14" s="338" t="s">
        <v>6</v>
      </c>
      <c r="E14" s="339"/>
      <c r="F14" s="340" t="s">
        <v>982</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17" t="s">
        <v>512</v>
      </c>
      <c r="G22" s="337" t="s">
        <v>9</v>
      </c>
      <c r="H22" s="337"/>
      <c r="I22" s="17">
        <v>0.8</v>
      </c>
      <c r="K22" s="337" t="s">
        <v>10</v>
      </c>
      <c r="L22" s="337"/>
      <c r="M22" s="9" t="s">
        <v>496</v>
      </c>
      <c r="O22" s="2"/>
    </row>
    <row r="23" spans="2:17" ht="19.5" customHeight="1" x14ac:dyDescent="0.25">
      <c r="B23" s="2"/>
      <c r="D23" s="337" t="s">
        <v>11</v>
      </c>
      <c r="E23" s="337"/>
      <c r="F23" s="4" t="s">
        <v>513</v>
      </c>
      <c r="G23" s="337" t="s">
        <v>12</v>
      </c>
      <c r="H23" s="337"/>
      <c r="I23" s="4" t="s">
        <v>497</v>
      </c>
      <c r="K23" s="337" t="s">
        <v>13</v>
      </c>
      <c r="L23" s="337"/>
      <c r="M23" s="9" t="s">
        <v>2</v>
      </c>
      <c r="O23" s="2"/>
    </row>
    <row r="24" spans="2:17" ht="20.100000000000001" customHeight="1" x14ac:dyDescent="0.25">
      <c r="B24" s="2"/>
      <c r="D24" s="337" t="s">
        <v>14</v>
      </c>
      <c r="E24" s="337"/>
      <c r="F24" s="4" t="s">
        <v>81</v>
      </c>
      <c r="G24" s="337" t="s">
        <v>15</v>
      </c>
      <c r="H24" s="337"/>
      <c r="I24" s="4" t="s">
        <v>917</v>
      </c>
      <c r="K24" s="337" t="s">
        <v>16</v>
      </c>
      <c r="L24" s="337"/>
      <c r="M24" s="9" t="s">
        <v>496</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soporte</v>
      </c>
    </row>
    <row r="31" spans="2:17" ht="24" customHeight="1" x14ac:dyDescent="0.25">
      <c r="B31" s="2"/>
      <c r="D31" s="347"/>
      <c r="E31" s="348"/>
      <c r="F31" s="4" t="s">
        <v>257</v>
      </c>
      <c r="G31" s="340" t="s">
        <v>258</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918</v>
      </c>
      <c r="G33" s="340" t="s">
        <v>892</v>
      </c>
      <c r="H33" s="341"/>
      <c r="I33" s="341"/>
      <c r="J33" s="341"/>
      <c r="K33" s="341"/>
      <c r="L33" s="341"/>
      <c r="M33" s="342"/>
      <c r="O33" s="2"/>
      <c r="Q33" s="3">
        <f>+IFERROR(IF(VLOOKUP(G33,base!$A$26:$C$40,3,FALSE)=F31,1,0),"")</f>
        <v>1</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1716</v>
      </c>
      <c r="G35" s="340" t="s">
        <v>1592</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2</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500</v>
      </c>
      <c r="G45" s="340" t="s">
        <v>512</v>
      </c>
      <c r="H45" s="341"/>
      <c r="I45" s="341"/>
      <c r="J45" s="341"/>
      <c r="K45" s="341"/>
      <c r="L45" s="341"/>
      <c r="M45" s="342"/>
      <c r="O45" s="2"/>
      <c r="Q45" s="3" t="str">
        <f>+IFERROR(VLOOKUP(G45,base!$A$41:$C$45,3,FALSE),"")</f>
        <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500</v>
      </c>
      <c r="G47" s="340" t="s">
        <v>512</v>
      </c>
      <c r="H47" s="341"/>
      <c r="I47" s="341"/>
      <c r="J47" s="341"/>
      <c r="K47" s="341"/>
      <c r="L47" s="341"/>
      <c r="M47" s="342"/>
      <c r="O47" s="2"/>
      <c r="Q47" s="3" t="e">
        <f>+IF(VLOOKUP(G47,base!$A$46:$C$66,3,FALSE)=F45,1,0)</f>
        <v>#N/A</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786</v>
      </c>
      <c r="G49" s="340" t="s">
        <v>717</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17"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 customHeight="1" x14ac:dyDescent="0.25">
      <c r="B59" s="2"/>
      <c r="D59" s="337" t="s">
        <v>34</v>
      </c>
      <c r="E59" s="337"/>
      <c r="F59" s="344" t="s">
        <v>2116</v>
      </c>
      <c r="G59" s="344"/>
      <c r="H59" s="344"/>
      <c r="I59" s="344"/>
      <c r="J59" s="344"/>
      <c r="K59" s="344"/>
      <c r="L59" s="344"/>
      <c r="M59" s="344"/>
      <c r="O59" s="2"/>
    </row>
    <row r="60" spans="2:15" ht="27.75" customHeight="1" x14ac:dyDescent="0.25">
      <c r="B60" s="2"/>
      <c r="D60" s="359" t="s">
        <v>35</v>
      </c>
      <c r="E60" s="359"/>
      <c r="F60" s="344" t="s">
        <v>983</v>
      </c>
      <c r="G60" s="344"/>
      <c r="H60" s="344"/>
      <c r="I60" s="344"/>
      <c r="J60" s="344"/>
      <c r="K60" s="344"/>
      <c r="L60" s="344"/>
      <c r="M60" s="344"/>
      <c r="O60" s="2"/>
    </row>
    <row r="61" spans="2:15" ht="27.75" customHeight="1" x14ac:dyDescent="0.25">
      <c r="B61" s="2"/>
      <c r="D61" s="359" t="s">
        <v>36</v>
      </c>
      <c r="E61" s="359"/>
      <c r="F61" s="344" t="s">
        <v>2113</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2</v>
      </c>
    </row>
    <row r="70" spans="2:37" ht="3.95" customHeight="1" x14ac:dyDescent="0.25">
      <c r="B70" s="2"/>
      <c r="D70" s="7"/>
      <c r="E70" s="7"/>
      <c r="O70" s="2"/>
    </row>
    <row r="71" spans="2:37" ht="18.75" customHeight="1" x14ac:dyDescent="0.25">
      <c r="B71" s="2"/>
      <c r="D71" s="343" t="s">
        <v>39</v>
      </c>
      <c r="E71" s="343"/>
      <c r="F71" s="4" t="s">
        <v>50</v>
      </c>
      <c r="G71" s="3">
        <v>4</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60" t="s">
        <v>48</v>
      </c>
      <c r="E78" s="360"/>
      <c r="F78" s="16" t="s">
        <v>500</v>
      </c>
      <c r="G78" s="16">
        <v>0.64900000000000002</v>
      </c>
      <c r="H78" s="16">
        <v>0.65</v>
      </c>
      <c r="I78" s="16">
        <v>0.749</v>
      </c>
      <c r="J78" s="16">
        <v>0.75</v>
      </c>
      <c r="K78" s="16">
        <v>0.79900000000000004</v>
      </c>
      <c r="L78" s="16">
        <v>0.8</v>
      </c>
      <c r="M78" s="16" t="s">
        <v>500</v>
      </c>
      <c r="O78" s="2"/>
      <c r="AE78" s="3" t="s">
        <v>48</v>
      </c>
      <c r="AF78" s="3">
        <v>4</v>
      </c>
      <c r="AG78" s="3">
        <f t="shared" si="0"/>
        <v>1</v>
      </c>
      <c r="AH78" s="3">
        <f>+IF(AG78=0,0,IF(AG78=1,(SUM($AG$75:AG78)-1),1))</f>
        <v>0</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1</v>
      </c>
      <c r="AI79" s="3">
        <f t="shared" si="1"/>
        <v>0</v>
      </c>
      <c r="AJ79" s="3">
        <f t="shared" si="2"/>
        <v>0</v>
      </c>
      <c r="AK79" s="3">
        <f t="shared" si="3"/>
        <v>0</v>
      </c>
    </row>
    <row r="80" spans="2:37" x14ac:dyDescent="0.25">
      <c r="B80" s="2"/>
      <c r="D80" s="360" t="s">
        <v>50</v>
      </c>
      <c r="E80" s="360"/>
      <c r="F80" s="16" t="s">
        <v>500</v>
      </c>
      <c r="G80" s="16">
        <v>0.64900000000000002</v>
      </c>
      <c r="H80" s="16">
        <v>0.65</v>
      </c>
      <c r="I80" s="16">
        <v>0.749</v>
      </c>
      <c r="J80" s="16">
        <v>0.75</v>
      </c>
      <c r="K80" s="16">
        <v>0.79900000000000004</v>
      </c>
      <c r="L80" s="16">
        <v>0.8</v>
      </c>
      <c r="M80" s="16" t="s">
        <v>500</v>
      </c>
      <c r="O80" s="2"/>
      <c r="AE80" s="3" t="s">
        <v>50</v>
      </c>
      <c r="AF80" s="3">
        <v>6</v>
      </c>
      <c r="AG80" s="3">
        <f t="shared" si="0"/>
        <v>1</v>
      </c>
      <c r="AH80" s="3">
        <f>+IF(AG80=0,0,IF(AG80=1,(SUM($AG$75:AG80)-1),1))</f>
        <v>2</v>
      </c>
      <c r="AI80" s="3">
        <f t="shared" si="1"/>
        <v>1</v>
      </c>
      <c r="AJ80" s="3">
        <f t="shared" si="2"/>
        <v>1</v>
      </c>
      <c r="AK80" s="3">
        <f t="shared" si="3"/>
        <v>1</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3</v>
      </c>
      <c r="AI81" s="3">
        <f t="shared" si="1"/>
        <v>0</v>
      </c>
      <c r="AJ81" s="3">
        <f t="shared" si="2"/>
        <v>0</v>
      </c>
      <c r="AK81" s="3">
        <f t="shared" si="3"/>
        <v>0</v>
      </c>
    </row>
    <row r="82" spans="2:37" x14ac:dyDescent="0.25">
      <c r="B82" s="2"/>
      <c r="D82" s="360" t="s">
        <v>54</v>
      </c>
      <c r="E82" s="360"/>
      <c r="F82" s="16" t="s">
        <v>500</v>
      </c>
      <c r="G82" s="16">
        <v>0.64900000000000002</v>
      </c>
      <c r="H82" s="16">
        <v>0.65</v>
      </c>
      <c r="I82" s="16">
        <v>0.749</v>
      </c>
      <c r="J82" s="16">
        <v>0.75</v>
      </c>
      <c r="K82" s="16">
        <v>0.79900000000000004</v>
      </c>
      <c r="L82" s="16">
        <v>0.8</v>
      </c>
      <c r="M82" s="16" t="s">
        <v>500</v>
      </c>
      <c r="O82" s="2"/>
      <c r="AE82" s="3" t="s">
        <v>54</v>
      </c>
      <c r="AF82" s="3">
        <v>8</v>
      </c>
      <c r="AG82" s="3">
        <f t="shared" si="0"/>
        <v>1</v>
      </c>
      <c r="AH82" s="3">
        <f>+IF(AG82=0,0,IF(AG82=1,(SUM($AG$75:AG82)-1),1))</f>
        <v>4</v>
      </c>
      <c r="AI82" s="3">
        <f t="shared" si="1"/>
        <v>1</v>
      </c>
      <c r="AJ82" s="3">
        <f t="shared" si="2"/>
        <v>0</v>
      </c>
      <c r="AK82" s="3">
        <f t="shared" si="3"/>
        <v>1</v>
      </c>
    </row>
    <row r="83" spans="2:37" x14ac:dyDescent="0.25">
      <c r="B83" s="2"/>
      <c r="D83" s="360" t="s">
        <v>55</v>
      </c>
      <c r="E83" s="360"/>
      <c r="F83" s="16" t="s">
        <v>500</v>
      </c>
      <c r="G83" s="16" t="s">
        <v>500</v>
      </c>
      <c r="H83" s="16" t="s">
        <v>500</v>
      </c>
      <c r="I83" s="16" t="s">
        <v>500</v>
      </c>
      <c r="J83" s="16" t="s">
        <v>500</v>
      </c>
      <c r="K83" s="16" t="s">
        <v>500</v>
      </c>
      <c r="L83" s="16" t="s">
        <v>500</v>
      </c>
      <c r="M83" s="16" t="s">
        <v>500</v>
      </c>
      <c r="O83" s="2"/>
      <c r="AE83" s="3" t="s">
        <v>55</v>
      </c>
      <c r="AF83" s="3">
        <v>9</v>
      </c>
      <c r="AG83" s="3">
        <f t="shared" si="0"/>
        <v>1</v>
      </c>
      <c r="AH83" s="3">
        <f>+IF(AG83=0,0,IF(AG83=1,(SUM($AG$75:AG83)-1),1))</f>
        <v>5</v>
      </c>
      <c r="AI83" s="3">
        <f t="shared" si="1"/>
        <v>0</v>
      </c>
      <c r="AJ83" s="3">
        <f t="shared" si="2"/>
        <v>0</v>
      </c>
      <c r="AK83" s="3">
        <f t="shared" si="3"/>
        <v>0</v>
      </c>
    </row>
    <row r="84" spans="2:37" x14ac:dyDescent="0.25">
      <c r="B84" s="2"/>
      <c r="D84" s="360" t="s">
        <v>56</v>
      </c>
      <c r="E84" s="360"/>
      <c r="F84" s="16" t="s">
        <v>500</v>
      </c>
      <c r="G84" s="16">
        <v>0.64900000000000002</v>
      </c>
      <c r="H84" s="16">
        <v>0.65</v>
      </c>
      <c r="I84" s="16">
        <v>0.749</v>
      </c>
      <c r="J84" s="16">
        <v>0.75</v>
      </c>
      <c r="K84" s="16">
        <v>0.79900000000000004</v>
      </c>
      <c r="L84" s="16">
        <v>0.8</v>
      </c>
      <c r="M84" s="16" t="s">
        <v>500</v>
      </c>
      <c r="O84" s="2"/>
      <c r="AE84" s="3" t="s">
        <v>56</v>
      </c>
      <c r="AF84" s="3">
        <v>10</v>
      </c>
      <c r="AG84" s="3">
        <f t="shared" si="0"/>
        <v>1</v>
      </c>
      <c r="AH84" s="3">
        <f>+IF(AG84=0,0,IF(AG84=1,(SUM($AG$75:AG84)-1),1))</f>
        <v>6</v>
      </c>
      <c r="AI84" s="3">
        <f t="shared" si="1"/>
        <v>1</v>
      </c>
      <c r="AJ84" s="3">
        <f t="shared" si="2"/>
        <v>0</v>
      </c>
      <c r="AK84" s="3">
        <f t="shared" si="3"/>
        <v>1</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7</v>
      </c>
      <c r="AI85" s="3">
        <f t="shared" si="1"/>
        <v>0</v>
      </c>
      <c r="AJ85" s="3">
        <f t="shared" si="2"/>
        <v>0</v>
      </c>
      <c r="AK85" s="3">
        <f t="shared" si="3"/>
        <v>0</v>
      </c>
    </row>
    <row r="86" spans="2:37" x14ac:dyDescent="0.25">
      <c r="B86" s="2"/>
      <c r="D86" s="360" t="s">
        <v>58</v>
      </c>
      <c r="E86" s="360"/>
      <c r="F86" s="16" t="s">
        <v>500</v>
      </c>
      <c r="G86" s="16">
        <v>0.64900000000000002</v>
      </c>
      <c r="H86" s="16">
        <v>0.65</v>
      </c>
      <c r="I86" s="16">
        <v>0.749</v>
      </c>
      <c r="J86" s="16">
        <v>0.75</v>
      </c>
      <c r="K86" s="16">
        <v>0.79900000000000004</v>
      </c>
      <c r="L86" s="16">
        <v>0.8</v>
      </c>
      <c r="M86" s="16" t="s">
        <v>500</v>
      </c>
      <c r="O86" s="2"/>
      <c r="AE86" s="3" t="s">
        <v>58</v>
      </c>
      <c r="AF86" s="65">
        <v>12</v>
      </c>
      <c r="AG86" s="3">
        <f t="shared" si="0"/>
        <v>1</v>
      </c>
      <c r="AH86" s="3">
        <f>+IF(AG86=0,0,IF(AG86=1,(SUM($AG$75:AG86)-1),1))</f>
        <v>8</v>
      </c>
      <c r="AI86" s="3">
        <f t="shared" si="1"/>
        <v>1</v>
      </c>
      <c r="AJ86" s="3">
        <f t="shared" si="2"/>
        <v>0</v>
      </c>
      <c r="AK86" s="3">
        <f t="shared" si="3"/>
        <v>1</v>
      </c>
    </row>
    <row r="87" spans="2:37" ht="3.75" customHeight="1" x14ac:dyDescent="0.25">
      <c r="B87" s="2"/>
      <c r="O87" s="2"/>
    </row>
    <row r="88" spans="2:37" ht="66" customHeight="1" x14ac:dyDescent="0.25">
      <c r="B88" s="2"/>
      <c r="D88" s="338" t="s">
        <v>59</v>
      </c>
      <c r="E88" s="339"/>
      <c r="F88" s="340" t="s">
        <v>897</v>
      </c>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2" customHeight="1" x14ac:dyDescent="0.25">
      <c r="B97" s="2"/>
      <c r="D97" s="359" t="s">
        <v>35</v>
      </c>
      <c r="E97" s="359"/>
      <c r="F97" s="344" t="s">
        <v>984</v>
      </c>
      <c r="G97" s="344"/>
      <c r="H97" s="344"/>
      <c r="I97" s="344"/>
      <c r="J97" s="344"/>
      <c r="K97" s="344"/>
      <c r="L97" s="344"/>
      <c r="M97" s="344"/>
      <c r="O97" s="2"/>
    </row>
    <row r="98" spans="2:15" ht="42" customHeight="1" x14ac:dyDescent="0.25">
      <c r="B98" s="2"/>
      <c r="D98" s="359" t="s">
        <v>36</v>
      </c>
      <c r="E98" s="359"/>
      <c r="F98" s="344" t="s">
        <v>984</v>
      </c>
      <c r="G98" s="344"/>
      <c r="H98" s="344"/>
      <c r="I98" s="344"/>
      <c r="J98" s="344"/>
      <c r="K98" s="344"/>
      <c r="L98" s="344"/>
      <c r="M98" s="344"/>
      <c r="O98" s="2"/>
    </row>
    <row r="99" spans="2:15" ht="3.95" customHeight="1" x14ac:dyDescent="0.25">
      <c r="B99" s="2"/>
      <c r="O99" s="2"/>
    </row>
    <row r="100" spans="2:15" ht="58.5" customHeight="1" x14ac:dyDescent="0.25">
      <c r="B100" s="2"/>
      <c r="D100" s="338" t="s">
        <v>62</v>
      </c>
      <c r="E100" s="339"/>
      <c r="F100" s="340" t="s">
        <v>898</v>
      </c>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2</v>
      </c>
      <c r="K102" s="20"/>
      <c r="O102" s="2"/>
    </row>
    <row r="103" spans="2:15" ht="19.5" customHeight="1" x14ac:dyDescent="0.25">
      <c r="B103" s="2"/>
      <c r="D103" s="331"/>
      <c r="E103" s="332"/>
      <c r="F103" s="19" t="s">
        <v>66</v>
      </c>
      <c r="G103" s="4"/>
      <c r="K103" s="21"/>
      <c r="O103" s="2"/>
    </row>
    <row r="104" spans="2:15" ht="27.75" customHeight="1" x14ac:dyDescent="0.25">
      <c r="B104" s="2"/>
      <c r="D104" s="331"/>
      <c r="E104" s="332"/>
      <c r="F104" s="19" t="s">
        <v>67</v>
      </c>
      <c r="G104" s="333"/>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Director(a) Gestión Humana</v>
      </c>
      <c r="H108" s="334"/>
      <c r="I108" s="334"/>
      <c r="J108" s="334"/>
      <c r="K108" s="334"/>
      <c r="L108" s="334"/>
      <c r="M108" s="335"/>
      <c r="O108" s="2"/>
    </row>
    <row r="109" spans="2:15" ht="17.25" customHeight="1" x14ac:dyDescent="0.25">
      <c r="B109" s="2"/>
      <c r="D109" s="331"/>
      <c r="E109" s="332"/>
      <c r="F109" s="19" t="s">
        <v>2042</v>
      </c>
      <c r="G109" s="333" t="str">
        <f>+IF(M23="Si","Coordinador(a) Planeación y Sistemas","")</f>
        <v/>
      </c>
      <c r="H109" s="334"/>
      <c r="I109" s="334"/>
      <c r="J109" s="334"/>
      <c r="K109" s="334"/>
      <c r="L109" s="334"/>
      <c r="M109" s="335"/>
      <c r="O109" s="2"/>
    </row>
    <row r="110" spans="2:15" ht="17.25" customHeight="1" x14ac:dyDescent="0.25">
      <c r="B110" s="2"/>
      <c r="D110" s="331"/>
      <c r="E110" s="332"/>
      <c r="F110" s="19" t="s">
        <v>2043</v>
      </c>
      <c r="G110" s="333" t="str">
        <f>+IF(M24="Si","Coordinador(a) Centro Zonal","")</f>
        <v>Coordinador(a) Centro Zonal</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972" priority="31">
      <formula>+IF($F$43="no",1,0)</formula>
    </cfRule>
  </conditionalFormatting>
  <conditionalFormatting sqref="F32:M33">
    <cfRule type="expression" dxfId="1971" priority="30">
      <formula>+IF($Q$30="NA",1,0)</formula>
    </cfRule>
  </conditionalFormatting>
  <conditionalFormatting sqref="F33:M33">
    <cfRule type="expression" dxfId="1970" priority="29">
      <formula>+IF($Q$33=0,1,0)</formula>
    </cfRule>
  </conditionalFormatting>
  <conditionalFormatting sqref="F47:M47">
    <cfRule type="expression" dxfId="1969" priority="28">
      <formula>+IF($Q$47=0,1,0)</formula>
    </cfRule>
  </conditionalFormatting>
  <conditionalFormatting sqref="F73:G73">
    <cfRule type="cellIs" dxfId="1968" priority="19" operator="equal">
      <formula>"optimo"</formula>
    </cfRule>
    <cfRule type="cellIs" dxfId="1967" priority="20" operator="equal">
      <formula>"critico"</formula>
    </cfRule>
  </conditionalFormatting>
  <conditionalFormatting sqref="H73:I73">
    <cfRule type="cellIs" dxfId="1966" priority="17" operator="equal">
      <formula>"Adecuado"</formula>
    </cfRule>
    <cfRule type="cellIs" dxfId="1965" priority="18" operator="equal">
      <formula>"en riesgo"</formula>
    </cfRule>
  </conditionalFormatting>
  <conditionalFormatting sqref="J73:K73">
    <cfRule type="cellIs" dxfId="1964" priority="15" operator="equal">
      <formula>"Adecuado"</formula>
    </cfRule>
    <cfRule type="cellIs" dxfId="1963" priority="16" operator="equal">
      <formula>"en riesgo"</formula>
    </cfRule>
  </conditionalFormatting>
  <conditionalFormatting sqref="L73:M73">
    <cfRule type="cellIs" dxfId="1962" priority="13" operator="equal">
      <formula>"optimo"</formula>
    </cfRule>
    <cfRule type="cellIs" dxfId="1961" priority="14" operator="equal">
      <formula>"critico"</formula>
    </cfRule>
  </conditionalFormatting>
  <conditionalFormatting sqref="F75:M86">
    <cfRule type="expression" dxfId="1960" priority="12">
      <formula>+IF($AK75=0,1)</formula>
    </cfRule>
  </conditionalFormatting>
  <conditionalFormatting sqref="F103:G104">
    <cfRule type="expression" dxfId="1959" priority="11">
      <formula>+IF($G$102="No",1,0)</formula>
    </cfRule>
  </conditionalFormatting>
  <conditionalFormatting sqref="F51">
    <cfRule type="expression" dxfId="1958" priority="10">
      <formula>+IF($F$43="no",1,0)</formula>
    </cfRule>
  </conditionalFormatting>
  <conditionalFormatting sqref="I51">
    <cfRule type="expression" dxfId="1957" priority="9">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9">
    <tabColor rgb="FF0070C0"/>
  </sheetPr>
  <dimension ref="B1:AV113"/>
  <sheetViews>
    <sheetView zoomScaleNormal="100" workbookViewId="0">
      <selection activeCell="F12" sqref="F12:M12"/>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322</v>
      </c>
      <c r="O10" s="2"/>
    </row>
    <row r="11" spans="2:24" ht="3.95" customHeight="1" x14ac:dyDescent="0.25">
      <c r="B11" s="2"/>
      <c r="D11" s="6"/>
      <c r="O11" s="2"/>
    </row>
    <row r="12" spans="2:24" ht="36" customHeight="1" x14ac:dyDescent="0.25">
      <c r="B12" s="2"/>
      <c r="D12" s="338" t="s">
        <v>5</v>
      </c>
      <c r="E12" s="339"/>
      <c r="F12" s="340" t="s">
        <v>323</v>
      </c>
      <c r="G12" s="341"/>
      <c r="H12" s="341"/>
      <c r="I12" s="341"/>
      <c r="J12" s="341"/>
      <c r="K12" s="341"/>
      <c r="L12" s="341"/>
      <c r="M12" s="342"/>
      <c r="O12" s="2"/>
      <c r="W12" s="3" t="str">
        <f>+F23</f>
        <v>Bimestral</v>
      </c>
      <c r="X12" s="3" t="str">
        <f>+F71</f>
        <v>Abril</v>
      </c>
    </row>
    <row r="13" spans="2:24" ht="3.95" customHeight="1" x14ac:dyDescent="0.25">
      <c r="B13" s="2"/>
      <c r="O13" s="2"/>
    </row>
    <row r="14" spans="2:24" ht="38.25" customHeight="1" x14ac:dyDescent="0.25">
      <c r="B14" s="2"/>
      <c r="D14" s="338" t="s">
        <v>6</v>
      </c>
      <c r="E14" s="339"/>
      <c r="F14" s="340" t="s">
        <v>954</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17">
        <v>0.81</v>
      </c>
      <c r="G22" s="337" t="s">
        <v>9</v>
      </c>
      <c r="H22" s="337"/>
      <c r="I22" s="17">
        <v>0.85</v>
      </c>
      <c r="K22" s="337" t="s">
        <v>10</v>
      </c>
      <c r="L22" s="337"/>
      <c r="M22" s="9" t="s">
        <v>496</v>
      </c>
      <c r="O22" s="2"/>
    </row>
    <row r="23" spans="2:17" ht="19.5" customHeight="1" x14ac:dyDescent="0.25">
      <c r="B23" s="2"/>
      <c r="D23" s="337" t="s">
        <v>11</v>
      </c>
      <c r="E23" s="337"/>
      <c r="F23" s="4" t="s">
        <v>513</v>
      </c>
      <c r="G23" s="337" t="s">
        <v>12</v>
      </c>
      <c r="H23" s="337"/>
      <c r="I23" s="4" t="s">
        <v>497</v>
      </c>
      <c r="K23" s="337" t="s">
        <v>13</v>
      </c>
      <c r="L23" s="337"/>
      <c r="M23" s="9" t="s">
        <v>2</v>
      </c>
      <c r="O23" s="2"/>
    </row>
    <row r="24" spans="2:17" ht="20.100000000000001" customHeight="1" x14ac:dyDescent="0.25">
      <c r="B24" s="2"/>
      <c r="D24" s="337" t="s">
        <v>14</v>
      </c>
      <c r="E24" s="337"/>
      <c r="F24" s="4" t="s">
        <v>81</v>
      </c>
      <c r="G24" s="337" t="s">
        <v>15</v>
      </c>
      <c r="H24" s="337"/>
      <c r="I24" s="4" t="s">
        <v>917</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soporte</v>
      </c>
    </row>
    <row r="31" spans="2:17" ht="24" customHeight="1" x14ac:dyDescent="0.25">
      <c r="B31" s="2"/>
      <c r="D31" s="347"/>
      <c r="E31" s="348"/>
      <c r="F31" s="4" t="s">
        <v>257</v>
      </c>
      <c r="G31" s="340" t="s">
        <v>258</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918</v>
      </c>
      <c r="G33" s="340" t="s">
        <v>892</v>
      </c>
      <c r="H33" s="341"/>
      <c r="I33" s="341"/>
      <c r="J33" s="341"/>
      <c r="K33" s="341"/>
      <c r="L33" s="341"/>
      <c r="M33" s="342"/>
      <c r="O33" s="2"/>
      <c r="Q33" s="3">
        <f>+IFERROR(IF(VLOOKUP(G33,base!$A$26:$C$40,3,FALSE)=F31,1,0),"")</f>
        <v>1</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1716</v>
      </c>
      <c r="G35" s="340" t="s">
        <v>1592</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2</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500</v>
      </c>
      <c r="G45" s="340" t="s">
        <v>512</v>
      </c>
      <c r="H45" s="341"/>
      <c r="I45" s="341"/>
      <c r="J45" s="341"/>
      <c r="K45" s="341"/>
      <c r="L45" s="341"/>
      <c r="M45" s="342"/>
      <c r="O45" s="2"/>
      <c r="Q45" s="3" t="str">
        <f>+IFERROR(VLOOKUP(G45,base!$A$41:$C$45,3,FALSE),"")</f>
        <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500</v>
      </c>
      <c r="G47" s="340" t="s">
        <v>512</v>
      </c>
      <c r="H47" s="341"/>
      <c r="I47" s="341"/>
      <c r="J47" s="341"/>
      <c r="K47" s="341"/>
      <c r="L47" s="341"/>
      <c r="M47" s="342"/>
      <c r="O47" s="2"/>
      <c r="Q47" s="3" t="e">
        <f>+IF(VLOOKUP(G47,base!$A$46:$C$66,3,FALSE)=F45,1,0)</f>
        <v>#N/A</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920</v>
      </c>
      <c r="G49" s="340" t="s">
        <v>899</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17"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 customHeight="1" x14ac:dyDescent="0.25">
      <c r="B59" s="2"/>
      <c r="D59" s="337" t="s">
        <v>34</v>
      </c>
      <c r="E59" s="337"/>
      <c r="F59" s="344" t="s">
        <v>2115</v>
      </c>
      <c r="G59" s="344"/>
      <c r="H59" s="344"/>
      <c r="I59" s="344"/>
      <c r="J59" s="344"/>
      <c r="K59" s="344"/>
      <c r="L59" s="344"/>
      <c r="M59" s="344"/>
      <c r="O59" s="2"/>
    </row>
    <row r="60" spans="2:15" ht="27.75" customHeight="1" x14ac:dyDescent="0.25">
      <c r="B60" s="2"/>
      <c r="D60" s="359" t="s">
        <v>35</v>
      </c>
      <c r="E60" s="359"/>
      <c r="F60" s="344" t="s">
        <v>955</v>
      </c>
      <c r="G60" s="344"/>
      <c r="H60" s="344"/>
      <c r="I60" s="344"/>
      <c r="J60" s="344"/>
      <c r="K60" s="344"/>
      <c r="L60" s="344"/>
      <c r="M60" s="344"/>
      <c r="O60" s="2"/>
    </row>
    <row r="61" spans="2:15" ht="27.75" customHeight="1" x14ac:dyDescent="0.25">
      <c r="B61" s="2"/>
      <c r="D61" s="359" t="s">
        <v>36</v>
      </c>
      <c r="E61" s="359"/>
      <c r="F61" s="344" t="s">
        <v>2114</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2</v>
      </c>
    </row>
    <row r="70" spans="2:37" ht="3.95" customHeight="1" x14ac:dyDescent="0.25">
      <c r="B70" s="2"/>
      <c r="D70" s="7"/>
      <c r="E70" s="7"/>
      <c r="O70" s="2"/>
    </row>
    <row r="71" spans="2:37" ht="18.75" customHeight="1" x14ac:dyDescent="0.25">
      <c r="B71" s="2"/>
      <c r="D71" s="343" t="s">
        <v>39</v>
      </c>
      <c r="E71" s="343"/>
      <c r="F71" s="4" t="s">
        <v>48</v>
      </c>
      <c r="G71" s="3">
        <v>4</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60" t="s">
        <v>48</v>
      </c>
      <c r="E78" s="360"/>
      <c r="F78" s="16" t="s">
        <v>500</v>
      </c>
      <c r="G78" s="16">
        <v>0.65900000000000003</v>
      </c>
      <c r="H78" s="16">
        <v>0.66</v>
      </c>
      <c r="I78" s="16">
        <v>0.75900000000000001</v>
      </c>
      <c r="J78" s="16">
        <v>0.76</v>
      </c>
      <c r="K78" s="16">
        <v>0.84899999999999998</v>
      </c>
      <c r="L78" s="16">
        <v>0.85</v>
      </c>
      <c r="M78" s="16" t="s">
        <v>500</v>
      </c>
      <c r="O78" s="2"/>
      <c r="AE78" s="3" t="s">
        <v>48</v>
      </c>
      <c r="AF78" s="3">
        <v>4</v>
      </c>
      <c r="AG78" s="3">
        <f t="shared" si="0"/>
        <v>1</v>
      </c>
      <c r="AH78" s="3">
        <f>+IF(AG78=0,0,IF(AG78=1,(SUM($AG$75:AG78)-1),1))</f>
        <v>0</v>
      </c>
      <c r="AI78" s="3">
        <f t="shared" si="1"/>
        <v>0</v>
      </c>
      <c r="AJ78" s="3">
        <f t="shared" si="2"/>
        <v>1</v>
      </c>
      <c r="AK78" s="3">
        <f t="shared" si="3"/>
        <v>1</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1</v>
      </c>
      <c r="AI79" s="3">
        <f t="shared" si="1"/>
        <v>0</v>
      </c>
      <c r="AJ79" s="3">
        <f t="shared" si="2"/>
        <v>0</v>
      </c>
      <c r="AK79" s="3">
        <f t="shared" si="3"/>
        <v>0</v>
      </c>
    </row>
    <row r="80" spans="2:37" x14ac:dyDescent="0.25">
      <c r="B80" s="2"/>
      <c r="D80" s="360" t="s">
        <v>50</v>
      </c>
      <c r="E80" s="360"/>
      <c r="F80" s="16" t="s">
        <v>500</v>
      </c>
      <c r="G80" s="16">
        <v>0.65900000000000003</v>
      </c>
      <c r="H80" s="16">
        <v>0.66</v>
      </c>
      <c r="I80" s="16">
        <v>0.75900000000000001</v>
      </c>
      <c r="J80" s="16">
        <v>0.76</v>
      </c>
      <c r="K80" s="16">
        <v>0.84899999999999998</v>
      </c>
      <c r="L80" s="16">
        <v>0.85</v>
      </c>
      <c r="M80" s="16" t="s">
        <v>500</v>
      </c>
      <c r="O80" s="2"/>
      <c r="AE80" s="3" t="s">
        <v>50</v>
      </c>
      <c r="AF80" s="3">
        <v>6</v>
      </c>
      <c r="AG80" s="3">
        <f t="shared" si="0"/>
        <v>1</v>
      </c>
      <c r="AH80" s="3">
        <f>+IF(AG80=0,0,IF(AG80=1,(SUM($AG$75:AG80)-1),1))</f>
        <v>2</v>
      </c>
      <c r="AI80" s="3">
        <f t="shared" si="1"/>
        <v>1</v>
      </c>
      <c r="AJ80" s="3">
        <f t="shared" si="2"/>
        <v>0</v>
      </c>
      <c r="AK80" s="3">
        <f t="shared" si="3"/>
        <v>1</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3</v>
      </c>
      <c r="AI81" s="3">
        <f t="shared" si="1"/>
        <v>0</v>
      </c>
      <c r="AJ81" s="3">
        <f t="shared" si="2"/>
        <v>0</v>
      </c>
      <c r="AK81" s="3">
        <f t="shared" si="3"/>
        <v>0</v>
      </c>
    </row>
    <row r="82" spans="2:37" x14ac:dyDescent="0.25">
      <c r="B82" s="2"/>
      <c r="D82" s="360" t="s">
        <v>54</v>
      </c>
      <c r="E82" s="360"/>
      <c r="F82" s="16" t="s">
        <v>500</v>
      </c>
      <c r="G82" s="16">
        <v>0.65900000000000003</v>
      </c>
      <c r="H82" s="16">
        <v>0.66</v>
      </c>
      <c r="I82" s="16">
        <v>0.75900000000000001</v>
      </c>
      <c r="J82" s="16">
        <v>0.76</v>
      </c>
      <c r="K82" s="16">
        <v>0.84899999999999998</v>
      </c>
      <c r="L82" s="16">
        <v>0.85</v>
      </c>
      <c r="M82" s="16" t="s">
        <v>500</v>
      </c>
      <c r="O82" s="2"/>
      <c r="AE82" s="3" t="s">
        <v>54</v>
      </c>
      <c r="AF82" s="3">
        <v>8</v>
      </c>
      <c r="AG82" s="3">
        <f t="shared" si="0"/>
        <v>1</v>
      </c>
      <c r="AH82" s="3">
        <f>+IF(AG82=0,0,IF(AG82=1,(SUM($AG$75:AG82)-1),1))</f>
        <v>4</v>
      </c>
      <c r="AI82" s="3">
        <f t="shared" si="1"/>
        <v>1</v>
      </c>
      <c r="AJ82" s="3">
        <f t="shared" si="2"/>
        <v>0</v>
      </c>
      <c r="AK82" s="3">
        <f t="shared" si="3"/>
        <v>1</v>
      </c>
    </row>
    <row r="83" spans="2:37" x14ac:dyDescent="0.25">
      <c r="B83" s="2"/>
      <c r="D83" s="360" t="s">
        <v>55</v>
      </c>
      <c r="E83" s="360"/>
      <c r="F83" s="16" t="s">
        <v>500</v>
      </c>
      <c r="G83" s="16" t="s">
        <v>500</v>
      </c>
      <c r="H83" s="16" t="s">
        <v>500</v>
      </c>
      <c r="I83" s="16" t="s">
        <v>500</v>
      </c>
      <c r="J83" s="16" t="s">
        <v>500</v>
      </c>
      <c r="K83" s="16" t="s">
        <v>500</v>
      </c>
      <c r="L83" s="16" t="s">
        <v>500</v>
      </c>
      <c r="M83" s="16" t="s">
        <v>500</v>
      </c>
      <c r="O83" s="2"/>
      <c r="AE83" s="3" t="s">
        <v>55</v>
      </c>
      <c r="AF83" s="3">
        <v>9</v>
      </c>
      <c r="AG83" s="3">
        <f t="shared" si="0"/>
        <v>1</v>
      </c>
      <c r="AH83" s="3">
        <f>+IF(AG83=0,0,IF(AG83=1,(SUM($AG$75:AG83)-1),1))</f>
        <v>5</v>
      </c>
      <c r="AI83" s="3">
        <f t="shared" si="1"/>
        <v>0</v>
      </c>
      <c r="AJ83" s="3">
        <f t="shared" si="2"/>
        <v>0</v>
      </c>
      <c r="AK83" s="3">
        <f t="shared" si="3"/>
        <v>0</v>
      </c>
    </row>
    <row r="84" spans="2:37" x14ac:dyDescent="0.25">
      <c r="B84" s="2"/>
      <c r="D84" s="360" t="s">
        <v>56</v>
      </c>
      <c r="E84" s="360"/>
      <c r="F84" s="16" t="s">
        <v>500</v>
      </c>
      <c r="G84" s="16">
        <v>0.65900000000000003</v>
      </c>
      <c r="H84" s="16">
        <v>0.66</v>
      </c>
      <c r="I84" s="16">
        <v>0.75900000000000001</v>
      </c>
      <c r="J84" s="16">
        <v>0.76</v>
      </c>
      <c r="K84" s="16">
        <v>0.84899999999999998</v>
      </c>
      <c r="L84" s="16">
        <v>0.85</v>
      </c>
      <c r="M84" s="16" t="s">
        <v>500</v>
      </c>
      <c r="O84" s="2"/>
      <c r="AE84" s="3" t="s">
        <v>56</v>
      </c>
      <c r="AF84" s="3">
        <v>10</v>
      </c>
      <c r="AG84" s="3">
        <f t="shared" si="0"/>
        <v>1</v>
      </c>
      <c r="AH84" s="3">
        <f>+IF(AG84=0,0,IF(AG84=1,(SUM($AG$75:AG84)-1),1))</f>
        <v>6</v>
      </c>
      <c r="AI84" s="3">
        <f t="shared" si="1"/>
        <v>1</v>
      </c>
      <c r="AJ84" s="3">
        <f t="shared" si="2"/>
        <v>0</v>
      </c>
      <c r="AK84" s="3">
        <f t="shared" si="3"/>
        <v>1</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7</v>
      </c>
      <c r="AI85" s="3">
        <f t="shared" si="1"/>
        <v>0</v>
      </c>
      <c r="AJ85" s="3">
        <f t="shared" si="2"/>
        <v>0</v>
      </c>
      <c r="AK85" s="3">
        <f t="shared" si="3"/>
        <v>0</v>
      </c>
    </row>
    <row r="86" spans="2:37" x14ac:dyDescent="0.25">
      <c r="B86" s="2"/>
      <c r="D86" s="360" t="s">
        <v>58</v>
      </c>
      <c r="E86" s="360"/>
      <c r="F86" s="16" t="s">
        <v>500</v>
      </c>
      <c r="G86" s="16">
        <v>0.65900000000000003</v>
      </c>
      <c r="H86" s="16">
        <v>0.66</v>
      </c>
      <c r="I86" s="16">
        <v>0.75900000000000001</v>
      </c>
      <c r="J86" s="16">
        <v>0.76</v>
      </c>
      <c r="K86" s="16">
        <v>0.84899999999999998</v>
      </c>
      <c r="L86" s="16">
        <v>0.85</v>
      </c>
      <c r="M86" s="16" t="s">
        <v>500</v>
      </c>
      <c r="O86" s="2"/>
      <c r="AE86" s="3" t="s">
        <v>58</v>
      </c>
      <c r="AF86" s="65">
        <v>12</v>
      </c>
      <c r="AG86" s="3">
        <f t="shared" si="0"/>
        <v>1</v>
      </c>
      <c r="AH86" s="3">
        <f>+IF(AG86=0,0,IF(AG86=1,(SUM($AG$75:AG86)-1),1))</f>
        <v>8</v>
      </c>
      <c r="AI86" s="3">
        <f t="shared" si="1"/>
        <v>1</v>
      </c>
      <c r="AJ86" s="3">
        <f t="shared" si="2"/>
        <v>0</v>
      </c>
      <c r="AK86" s="3">
        <f t="shared" si="3"/>
        <v>1</v>
      </c>
    </row>
    <row r="87" spans="2:37" ht="3.75" customHeight="1" x14ac:dyDescent="0.25">
      <c r="B87" s="2"/>
      <c r="O87" s="2"/>
    </row>
    <row r="88" spans="2:37" ht="96.75" customHeight="1" x14ac:dyDescent="0.25">
      <c r="B88" s="2"/>
      <c r="D88" s="338" t="s">
        <v>59</v>
      </c>
      <c r="E88" s="339"/>
      <c r="F88" s="340" t="s">
        <v>908</v>
      </c>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2" customHeight="1" x14ac:dyDescent="0.25">
      <c r="B97" s="2"/>
      <c r="D97" s="359" t="s">
        <v>35</v>
      </c>
      <c r="E97" s="359"/>
      <c r="F97" s="344" t="s">
        <v>956</v>
      </c>
      <c r="G97" s="344"/>
      <c r="H97" s="344"/>
      <c r="I97" s="344"/>
      <c r="J97" s="344"/>
      <c r="K97" s="344"/>
      <c r="L97" s="344"/>
      <c r="M97" s="344"/>
      <c r="O97" s="2"/>
    </row>
    <row r="98" spans="2:15" ht="42" customHeight="1" x14ac:dyDescent="0.25">
      <c r="B98" s="2"/>
      <c r="D98" s="359" t="s">
        <v>36</v>
      </c>
      <c r="E98" s="359"/>
      <c r="F98" s="344" t="s">
        <v>956</v>
      </c>
      <c r="G98" s="344"/>
      <c r="H98" s="344"/>
      <c r="I98" s="344"/>
      <c r="J98" s="344"/>
      <c r="K98" s="344"/>
      <c r="L98" s="344"/>
      <c r="M98" s="344"/>
      <c r="O98" s="2"/>
    </row>
    <row r="99" spans="2:15" ht="3.95" customHeight="1" x14ac:dyDescent="0.25">
      <c r="B99" s="2"/>
      <c r="O99" s="2"/>
    </row>
    <row r="100" spans="2:15" ht="58.5" customHeight="1" x14ac:dyDescent="0.25">
      <c r="B100" s="2"/>
      <c r="D100" s="338" t="s">
        <v>62</v>
      </c>
      <c r="E100" s="339"/>
      <c r="F100" s="333"/>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1</v>
      </c>
      <c r="K102" s="20"/>
      <c r="O102" s="2"/>
    </row>
    <row r="103" spans="2:15" ht="19.5" customHeight="1" x14ac:dyDescent="0.25">
      <c r="B103" s="2"/>
      <c r="D103" s="331"/>
      <c r="E103" s="332"/>
      <c r="F103" s="19" t="s">
        <v>66</v>
      </c>
      <c r="G103" s="4" t="s">
        <v>324</v>
      </c>
      <c r="K103" s="21"/>
      <c r="O103" s="2"/>
    </row>
    <row r="104" spans="2:15" ht="27.75" customHeight="1" x14ac:dyDescent="0.25">
      <c r="B104" s="2"/>
      <c r="D104" s="331"/>
      <c r="E104" s="332"/>
      <c r="F104" s="19" t="s">
        <v>67</v>
      </c>
      <c r="G104" s="333" t="s">
        <v>909</v>
      </c>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Director(a) Gestión Humana</v>
      </c>
      <c r="H108" s="334"/>
      <c r="I108" s="334"/>
      <c r="J108" s="334"/>
      <c r="K108" s="334"/>
      <c r="L108" s="334"/>
      <c r="M108" s="335"/>
      <c r="O108" s="2"/>
    </row>
    <row r="109" spans="2:15" ht="17.25" customHeight="1" x14ac:dyDescent="0.25">
      <c r="B109" s="2"/>
      <c r="D109" s="331"/>
      <c r="E109" s="332"/>
      <c r="F109" s="19" t="s">
        <v>2042</v>
      </c>
      <c r="G109" s="333" t="str">
        <f>+IF(M23="Si","Coordinador(a) Planeación y Sistemas","")</f>
        <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956" priority="31">
      <formula>+IF($F$43="no",1,0)</formula>
    </cfRule>
  </conditionalFormatting>
  <conditionalFormatting sqref="F32:M33">
    <cfRule type="expression" dxfId="1955" priority="30">
      <formula>+IF($Q$30="NA",1,0)</formula>
    </cfRule>
  </conditionalFormatting>
  <conditionalFormatting sqref="F33:M33">
    <cfRule type="expression" dxfId="1954" priority="29">
      <formula>+IF($Q$33=0,1,0)</formula>
    </cfRule>
  </conditionalFormatting>
  <conditionalFormatting sqref="F47:M47">
    <cfRule type="expression" dxfId="1953" priority="28">
      <formula>+IF($Q$47=0,1,0)</formula>
    </cfRule>
  </conditionalFormatting>
  <conditionalFormatting sqref="F73:G73">
    <cfRule type="cellIs" dxfId="1952" priority="19" operator="equal">
      <formula>"optimo"</formula>
    </cfRule>
    <cfRule type="cellIs" dxfId="1951" priority="20" operator="equal">
      <formula>"critico"</formula>
    </cfRule>
  </conditionalFormatting>
  <conditionalFormatting sqref="H73:I73">
    <cfRule type="cellIs" dxfId="1950" priority="17" operator="equal">
      <formula>"Adecuado"</formula>
    </cfRule>
    <cfRule type="cellIs" dxfId="1949" priority="18" operator="equal">
      <formula>"en riesgo"</formula>
    </cfRule>
  </conditionalFormatting>
  <conditionalFormatting sqref="J73:K73">
    <cfRule type="cellIs" dxfId="1948" priority="15" operator="equal">
      <formula>"Adecuado"</formula>
    </cfRule>
    <cfRule type="cellIs" dxfId="1947" priority="16" operator="equal">
      <formula>"en riesgo"</formula>
    </cfRule>
  </conditionalFormatting>
  <conditionalFormatting sqref="L73:M73">
    <cfRule type="cellIs" dxfId="1946" priority="13" operator="equal">
      <formula>"optimo"</formula>
    </cfRule>
    <cfRule type="cellIs" dxfId="1945" priority="14" operator="equal">
      <formula>"critico"</formula>
    </cfRule>
  </conditionalFormatting>
  <conditionalFormatting sqref="F75:M86">
    <cfRule type="expression" dxfId="1944" priority="12">
      <formula>+IF($AK75=0,1)</formula>
    </cfRule>
  </conditionalFormatting>
  <conditionalFormatting sqref="F103:G104">
    <cfRule type="expression" dxfId="1943" priority="11">
      <formula>+IF($G$102="No",1,0)</formula>
    </cfRule>
  </conditionalFormatting>
  <conditionalFormatting sqref="F51">
    <cfRule type="expression" dxfId="1942" priority="10">
      <formula>+IF($F$43="no",1,0)</formula>
    </cfRule>
  </conditionalFormatting>
  <conditionalFormatting sqref="I51">
    <cfRule type="expression" dxfId="1941" priority="9">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0">
    <tabColor rgb="FF0070C0"/>
  </sheetPr>
  <dimension ref="B1:AV113"/>
  <sheetViews>
    <sheetView topLeftCell="A37" zoomScaleNormal="100" workbookViewId="0">
      <selection activeCell="F108" sqref="F108:M11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324</v>
      </c>
      <c r="O10" s="2"/>
    </row>
    <row r="11" spans="2:24" ht="3.95" customHeight="1" x14ac:dyDescent="0.25">
      <c r="B11" s="2"/>
      <c r="D11" s="6"/>
      <c r="O11" s="2"/>
    </row>
    <row r="12" spans="2:24" ht="36" customHeight="1" x14ac:dyDescent="0.25">
      <c r="B12" s="2"/>
      <c r="D12" s="338" t="s">
        <v>5</v>
      </c>
      <c r="E12" s="339"/>
      <c r="F12" s="340" t="s">
        <v>325</v>
      </c>
      <c r="G12" s="341"/>
      <c r="H12" s="341"/>
      <c r="I12" s="341"/>
      <c r="J12" s="341"/>
      <c r="K12" s="341"/>
      <c r="L12" s="341"/>
      <c r="M12" s="342"/>
      <c r="O12" s="2"/>
      <c r="W12" s="3" t="str">
        <f>+F23</f>
        <v>Trimestral</v>
      </c>
      <c r="X12" s="3" t="str">
        <f>+F71</f>
        <v>Marzo</v>
      </c>
    </row>
    <row r="13" spans="2:24" ht="3.95" customHeight="1" x14ac:dyDescent="0.25">
      <c r="B13" s="2"/>
      <c r="O13" s="2"/>
    </row>
    <row r="14" spans="2:24" ht="38.25" customHeight="1" x14ac:dyDescent="0.25">
      <c r="B14" s="2"/>
      <c r="D14" s="338" t="s">
        <v>6</v>
      </c>
      <c r="E14" s="339"/>
      <c r="F14" s="340" t="s">
        <v>942</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17" t="s">
        <v>512</v>
      </c>
      <c r="G22" s="337" t="s">
        <v>9</v>
      </c>
      <c r="H22" s="337"/>
      <c r="I22" s="17">
        <v>1</v>
      </c>
      <c r="K22" s="337" t="s">
        <v>10</v>
      </c>
      <c r="L22" s="337"/>
      <c r="M22" s="9" t="s">
        <v>496</v>
      </c>
      <c r="O22" s="2"/>
    </row>
    <row r="23" spans="2:17" ht="19.5" customHeight="1" x14ac:dyDescent="0.25">
      <c r="B23" s="2"/>
      <c r="D23" s="337" t="s">
        <v>11</v>
      </c>
      <c r="E23" s="337"/>
      <c r="F23" s="4" t="s">
        <v>71</v>
      </c>
      <c r="G23" s="337" t="s">
        <v>12</v>
      </c>
      <c r="H23" s="337"/>
      <c r="I23" s="4" t="s">
        <v>497</v>
      </c>
      <c r="K23" s="337" t="s">
        <v>13</v>
      </c>
      <c r="L23" s="337"/>
      <c r="M23" s="9" t="s">
        <v>496</v>
      </c>
      <c r="O23" s="2"/>
    </row>
    <row r="24" spans="2:17" ht="20.100000000000001" customHeight="1" x14ac:dyDescent="0.25">
      <c r="B24" s="2"/>
      <c r="D24" s="337" t="s">
        <v>14</v>
      </c>
      <c r="E24" s="337"/>
      <c r="F24" s="4" t="s">
        <v>81</v>
      </c>
      <c r="G24" s="337" t="s">
        <v>15</v>
      </c>
      <c r="H24" s="337"/>
      <c r="I24" s="4" t="s">
        <v>917</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soporte</v>
      </c>
    </row>
    <row r="31" spans="2:17" ht="24" customHeight="1" x14ac:dyDescent="0.25">
      <c r="B31" s="2"/>
      <c r="D31" s="347"/>
      <c r="E31" s="348"/>
      <c r="F31" s="4" t="s">
        <v>257</v>
      </c>
      <c r="G31" s="340" t="s">
        <v>258</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918</v>
      </c>
      <c r="G33" s="340" t="s">
        <v>892</v>
      </c>
      <c r="H33" s="341"/>
      <c r="I33" s="341"/>
      <c r="J33" s="341"/>
      <c r="K33" s="341"/>
      <c r="L33" s="341"/>
      <c r="M33" s="342"/>
      <c r="O33" s="2"/>
      <c r="Q33" s="3">
        <f>+IFERROR(IF(VLOOKUP(G33,base!$A$26:$C$40,3,FALSE)=F31,1,0),"")</f>
        <v>1</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1717</v>
      </c>
      <c r="G35" s="340" t="s">
        <v>1594</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2</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500</v>
      </c>
      <c r="G45" s="340" t="s">
        <v>512</v>
      </c>
      <c r="H45" s="341"/>
      <c r="I45" s="341"/>
      <c r="J45" s="341"/>
      <c r="K45" s="341"/>
      <c r="L45" s="341"/>
      <c r="M45" s="342"/>
      <c r="O45" s="2"/>
      <c r="Q45" s="3" t="str">
        <f>+IFERROR(VLOOKUP(G45,base!$A$41:$C$45,3,FALSE),"")</f>
        <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500</v>
      </c>
      <c r="G47" s="340" t="s">
        <v>512</v>
      </c>
      <c r="H47" s="341"/>
      <c r="I47" s="341"/>
      <c r="J47" s="341"/>
      <c r="K47" s="341"/>
      <c r="L47" s="341"/>
      <c r="M47" s="342"/>
      <c r="O47" s="2"/>
      <c r="Q47" s="3" t="e">
        <f>+IF(VLOOKUP(G47,base!$A$46:$C$66,3,FALSE)=F45,1,0)</f>
        <v>#N/A</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920</v>
      </c>
      <c r="G49" s="340" t="s">
        <v>899</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17"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 customHeight="1" x14ac:dyDescent="0.25">
      <c r="B59" s="2"/>
      <c r="D59" s="337" t="s">
        <v>34</v>
      </c>
      <c r="E59" s="337"/>
      <c r="F59" s="344" t="s">
        <v>943</v>
      </c>
      <c r="G59" s="344"/>
      <c r="H59" s="344"/>
      <c r="I59" s="344"/>
      <c r="J59" s="344"/>
      <c r="K59" s="344"/>
      <c r="L59" s="344"/>
      <c r="M59" s="344"/>
      <c r="O59" s="2"/>
    </row>
    <row r="60" spans="2:15" ht="27.75" customHeight="1" x14ac:dyDescent="0.25">
      <c r="B60" s="2"/>
      <c r="D60" s="359" t="s">
        <v>35</v>
      </c>
      <c r="E60" s="359"/>
      <c r="F60" s="344" t="s">
        <v>944</v>
      </c>
      <c r="G60" s="344"/>
      <c r="H60" s="344"/>
      <c r="I60" s="344"/>
      <c r="J60" s="344"/>
      <c r="K60" s="344"/>
      <c r="L60" s="344"/>
      <c r="M60" s="344"/>
      <c r="O60" s="2"/>
    </row>
    <row r="61" spans="2:15" ht="27.75" customHeight="1" x14ac:dyDescent="0.25">
      <c r="B61" s="2"/>
      <c r="D61" s="359" t="s">
        <v>36</v>
      </c>
      <c r="E61" s="359"/>
      <c r="F61" s="344" t="s">
        <v>945</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43" t="s">
        <v>39</v>
      </c>
      <c r="E71" s="343"/>
      <c r="F71" s="4" t="s">
        <v>47</v>
      </c>
      <c r="G71" s="3">
        <v>3</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v>0.59899999999999998</v>
      </c>
      <c r="H77" s="16">
        <v>0.6</v>
      </c>
      <c r="I77" s="16">
        <v>0.79900000000000004</v>
      </c>
      <c r="J77" s="16">
        <v>0.8</v>
      </c>
      <c r="K77" s="16">
        <v>0.999</v>
      </c>
      <c r="L77" s="16" t="s">
        <v>500</v>
      </c>
      <c r="M77" s="16">
        <v>1</v>
      </c>
      <c r="O77" s="2"/>
      <c r="AE77" s="3" t="s">
        <v>47</v>
      </c>
      <c r="AF77" s="3">
        <v>3</v>
      </c>
      <c r="AG77" s="3">
        <f t="shared" si="0"/>
        <v>1</v>
      </c>
      <c r="AH77" s="3">
        <f>+IF(AG77=0,0,IF(AG77=1,(SUM($AG$75:AG77)-1),1))</f>
        <v>0</v>
      </c>
      <c r="AI77" s="3">
        <f t="shared" si="1"/>
        <v>0</v>
      </c>
      <c r="AJ77" s="3">
        <f t="shared" si="2"/>
        <v>1</v>
      </c>
      <c r="AK77" s="3">
        <f t="shared" si="3"/>
        <v>1</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2</v>
      </c>
      <c r="AI79" s="3">
        <f t="shared" si="1"/>
        <v>0</v>
      </c>
      <c r="AJ79" s="3">
        <f t="shared" si="2"/>
        <v>0</v>
      </c>
      <c r="AK79" s="3">
        <f t="shared" si="3"/>
        <v>0</v>
      </c>
    </row>
    <row r="80" spans="2:37" x14ac:dyDescent="0.25">
      <c r="B80" s="2"/>
      <c r="D80" s="360" t="s">
        <v>50</v>
      </c>
      <c r="E80" s="360"/>
      <c r="F80" s="16" t="s">
        <v>500</v>
      </c>
      <c r="G80" s="16">
        <v>0.59899999999999998</v>
      </c>
      <c r="H80" s="16">
        <v>0.6</v>
      </c>
      <c r="I80" s="16">
        <v>0.79900000000000004</v>
      </c>
      <c r="J80" s="16">
        <v>0.8</v>
      </c>
      <c r="K80" s="16">
        <v>0.999</v>
      </c>
      <c r="L80" s="16" t="s">
        <v>500</v>
      </c>
      <c r="M80" s="16">
        <v>1</v>
      </c>
      <c r="O80" s="2"/>
      <c r="AE80" s="3" t="s">
        <v>50</v>
      </c>
      <c r="AF80" s="3">
        <v>6</v>
      </c>
      <c r="AG80" s="3">
        <f t="shared" si="0"/>
        <v>1</v>
      </c>
      <c r="AH80" s="3">
        <f>+IF(AG80=0,0,IF(AG80=1,(SUM($AG$75:AG80)-1),1))</f>
        <v>3</v>
      </c>
      <c r="AI80" s="3">
        <f t="shared" si="1"/>
        <v>1</v>
      </c>
      <c r="AJ80" s="3">
        <f t="shared" si="2"/>
        <v>0</v>
      </c>
      <c r="AK80" s="3">
        <f t="shared" si="3"/>
        <v>1</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4</v>
      </c>
      <c r="AI81" s="3">
        <f t="shared" si="1"/>
        <v>0</v>
      </c>
      <c r="AJ81" s="3">
        <f t="shared" si="2"/>
        <v>0</v>
      </c>
      <c r="AK81" s="3">
        <f t="shared" si="3"/>
        <v>0</v>
      </c>
    </row>
    <row r="82" spans="2:37" x14ac:dyDescent="0.25">
      <c r="B82" s="2"/>
      <c r="D82" s="360" t="s">
        <v>54</v>
      </c>
      <c r="E82" s="360"/>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60" t="s">
        <v>55</v>
      </c>
      <c r="E83" s="360"/>
      <c r="F83" s="16" t="s">
        <v>500</v>
      </c>
      <c r="G83" s="16">
        <v>0.59899999999999998</v>
      </c>
      <c r="H83" s="16">
        <v>0.6</v>
      </c>
      <c r="I83" s="16">
        <v>0.79900000000000004</v>
      </c>
      <c r="J83" s="16">
        <v>0.8</v>
      </c>
      <c r="K83" s="16">
        <v>0.999</v>
      </c>
      <c r="L83" s="16" t="s">
        <v>500</v>
      </c>
      <c r="M83" s="16">
        <v>1</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60" t="s">
        <v>58</v>
      </c>
      <c r="E86" s="360"/>
      <c r="F86" s="16" t="s">
        <v>500</v>
      </c>
      <c r="G86" s="16">
        <v>0.59899999999999998</v>
      </c>
      <c r="H86" s="16">
        <v>0.6</v>
      </c>
      <c r="I86" s="16">
        <v>0.79900000000000004</v>
      </c>
      <c r="J86" s="16">
        <v>0.8</v>
      </c>
      <c r="K86" s="16">
        <v>0.999</v>
      </c>
      <c r="L86" s="16" t="s">
        <v>500</v>
      </c>
      <c r="M86" s="16">
        <v>1</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66" customHeight="1" x14ac:dyDescent="0.25">
      <c r="B88" s="2"/>
      <c r="D88" s="338" t="s">
        <v>59</v>
      </c>
      <c r="E88" s="339"/>
      <c r="F88" s="340" t="s">
        <v>910</v>
      </c>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2" customHeight="1" x14ac:dyDescent="0.25">
      <c r="B97" s="2"/>
      <c r="D97" s="359" t="s">
        <v>35</v>
      </c>
      <c r="E97" s="359"/>
      <c r="F97" s="344" t="s">
        <v>946</v>
      </c>
      <c r="G97" s="344"/>
      <c r="H97" s="344"/>
      <c r="I97" s="344"/>
      <c r="J97" s="344"/>
      <c r="K97" s="344"/>
      <c r="L97" s="344"/>
      <c r="M97" s="344"/>
      <c r="O97" s="2"/>
    </row>
    <row r="98" spans="2:15" ht="42" customHeight="1" x14ac:dyDescent="0.25">
      <c r="B98" s="2"/>
      <c r="D98" s="359" t="s">
        <v>36</v>
      </c>
      <c r="E98" s="359"/>
      <c r="F98" s="344" t="s">
        <v>946</v>
      </c>
      <c r="G98" s="344"/>
      <c r="H98" s="344"/>
      <c r="I98" s="344"/>
      <c r="J98" s="344"/>
      <c r="K98" s="344"/>
      <c r="L98" s="344"/>
      <c r="M98" s="344"/>
      <c r="O98" s="2"/>
    </row>
    <row r="99" spans="2:15" ht="3.95" customHeight="1" x14ac:dyDescent="0.25">
      <c r="B99" s="2"/>
      <c r="O99" s="2"/>
    </row>
    <row r="100" spans="2:15" ht="237.75" customHeight="1" x14ac:dyDescent="0.25">
      <c r="B100" s="2"/>
      <c r="D100" s="338" t="s">
        <v>62</v>
      </c>
      <c r="E100" s="339"/>
      <c r="F100" s="340" t="s">
        <v>911</v>
      </c>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2</v>
      </c>
      <c r="K102" s="20"/>
      <c r="O102" s="2"/>
    </row>
    <row r="103" spans="2:15" ht="19.5" customHeight="1" x14ac:dyDescent="0.25">
      <c r="B103" s="2"/>
      <c r="D103" s="331"/>
      <c r="E103" s="332"/>
      <c r="F103" s="19" t="s">
        <v>66</v>
      </c>
      <c r="G103" s="4"/>
      <c r="K103" s="21"/>
      <c r="O103" s="2"/>
    </row>
    <row r="104" spans="2:15" ht="27.75" customHeight="1" x14ac:dyDescent="0.25">
      <c r="B104" s="2"/>
      <c r="D104" s="331"/>
      <c r="E104" s="332"/>
      <c r="F104" s="19" t="s">
        <v>67</v>
      </c>
      <c r="G104" s="333"/>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str">
        <f>+VLOOKUP(H10,tablero!$P$5:$R$201,3,FALSE)</f>
        <v>Director(a) Gestión Humana</v>
      </c>
      <c r="H108" s="334"/>
      <c r="I108" s="334"/>
      <c r="J108" s="334"/>
      <c r="K108" s="334"/>
      <c r="L108" s="334"/>
      <c r="M108" s="335"/>
      <c r="O108" s="2"/>
    </row>
    <row r="109" spans="2:15" ht="17.25" customHeight="1" x14ac:dyDescent="0.25">
      <c r="B109" s="2"/>
      <c r="D109" s="331"/>
      <c r="E109" s="332"/>
      <c r="F109" s="19" t="s">
        <v>2042</v>
      </c>
      <c r="G109" s="333" t="str">
        <f>+IF(M23="Si","Coordinador(a) Planeación y Sistemas","")</f>
        <v>Coordinador(a) Planeación y Sistemas</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940" priority="31">
      <formula>+IF($F$43="no",1,0)</formula>
    </cfRule>
  </conditionalFormatting>
  <conditionalFormatting sqref="F32:M33">
    <cfRule type="expression" dxfId="1939" priority="30">
      <formula>+IF($Q$30="NA",1,0)</formula>
    </cfRule>
  </conditionalFormatting>
  <conditionalFormatting sqref="F33:M33">
    <cfRule type="expression" dxfId="1938" priority="29">
      <formula>+IF($Q$33=0,1,0)</formula>
    </cfRule>
  </conditionalFormatting>
  <conditionalFormatting sqref="F47:M47">
    <cfRule type="expression" dxfId="1937" priority="28">
      <formula>+IF($Q$47=0,1,0)</formula>
    </cfRule>
  </conditionalFormatting>
  <conditionalFormatting sqref="F73:G73">
    <cfRule type="cellIs" dxfId="1936" priority="17" operator="equal">
      <formula>"optimo"</formula>
    </cfRule>
    <cfRule type="cellIs" dxfId="1935" priority="18" operator="equal">
      <formula>"critico"</formula>
    </cfRule>
  </conditionalFormatting>
  <conditionalFormatting sqref="H73:I73">
    <cfRule type="cellIs" dxfId="1934" priority="15" operator="equal">
      <formula>"Adecuado"</formula>
    </cfRule>
    <cfRule type="cellIs" dxfId="1933" priority="16" operator="equal">
      <formula>"en riesgo"</formula>
    </cfRule>
  </conditionalFormatting>
  <conditionalFormatting sqref="J73:K73">
    <cfRule type="cellIs" dxfId="1932" priority="13" operator="equal">
      <formula>"Adecuado"</formula>
    </cfRule>
    <cfRule type="cellIs" dxfId="1931" priority="14" operator="equal">
      <formula>"en riesgo"</formula>
    </cfRule>
  </conditionalFormatting>
  <conditionalFormatting sqref="L73:M73">
    <cfRule type="cellIs" dxfId="1930" priority="11" operator="equal">
      <formula>"optimo"</formula>
    </cfRule>
    <cfRule type="cellIs" dxfId="1929" priority="12" operator="equal">
      <formula>"critico"</formula>
    </cfRule>
  </conditionalFormatting>
  <conditionalFormatting sqref="F75:M86">
    <cfRule type="expression" dxfId="1928" priority="10">
      <formula>+IF($AK75=0,1)</formula>
    </cfRule>
  </conditionalFormatting>
  <conditionalFormatting sqref="F103:G104">
    <cfRule type="expression" dxfId="1927" priority="9">
      <formula>+IF($G$102="No",1,0)</formula>
    </cfRule>
  </conditionalFormatting>
  <conditionalFormatting sqref="F51">
    <cfRule type="expression" dxfId="1926" priority="8">
      <formula>+IF($F$43="no",1,0)</formula>
    </cfRule>
  </conditionalFormatting>
  <conditionalFormatting sqref="I51">
    <cfRule type="expression" dxfId="1925" priority="7">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1">
    <tabColor rgb="FF0070C0"/>
  </sheetPr>
  <dimension ref="B1:AV113"/>
  <sheetViews>
    <sheetView topLeftCell="A22" zoomScaleNormal="100" workbookViewId="0">
      <selection activeCell="F108" sqref="F108:M11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36" t="s">
        <v>0</v>
      </c>
      <c r="D3" s="336"/>
      <c r="E3" s="336"/>
      <c r="F3" s="336"/>
      <c r="G3" s="336"/>
      <c r="H3" s="336"/>
      <c r="I3" s="336"/>
      <c r="J3" s="336"/>
      <c r="K3" s="336"/>
      <c r="L3" s="336"/>
      <c r="M3" s="336"/>
      <c r="N3" s="336"/>
      <c r="O3" s="2"/>
    </row>
    <row r="4" spans="2:24" ht="20.25" customHeight="1" x14ac:dyDescent="0.25">
      <c r="B4" s="2"/>
      <c r="C4" s="336"/>
      <c r="D4" s="336"/>
      <c r="E4" s="336"/>
      <c r="F4" s="336"/>
      <c r="G4" s="336"/>
      <c r="H4" s="336"/>
      <c r="I4" s="336"/>
      <c r="J4" s="336"/>
      <c r="K4" s="336"/>
      <c r="L4" s="336"/>
      <c r="M4" s="336"/>
      <c r="N4" s="336"/>
      <c r="O4" s="2"/>
    </row>
    <row r="5" spans="2:24" ht="20.25" customHeight="1" x14ac:dyDescent="0.25">
      <c r="B5" s="2"/>
      <c r="C5" s="336"/>
      <c r="D5" s="336"/>
      <c r="E5" s="336"/>
      <c r="F5" s="336"/>
      <c r="G5" s="336"/>
      <c r="H5" s="336"/>
      <c r="I5" s="336"/>
      <c r="J5" s="336"/>
      <c r="K5" s="336"/>
      <c r="L5" s="336"/>
      <c r="M5" s="336"/>
      <c r="N5" s="336"/>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37" t="s">
        <v>3</v>
      </c>
      <c r="E10" s="337"/>
      <c r="F10" s="4">
        <v>2015</v>
      </c>
      <c r="G10" s="5" t="s">
        <v>4</v>
      </c>
      <c r="H10" s="4" t="s">
        <v>326</v>
      </c>
      <c r="O10" s="2"/>
    </row>
    <row r="11" spans="2:24" ht="3.95" customHeight="1" x14ac:dyDescent="0.25">
      <c r="B11" s="2"/>
      <c r="D11" s="6"/>
      <c r="O11" s="2"/>
    </row>
    <row r="12" spans="2:24" ht="36" customHeight="1" x14ac:dyDescent="0.25">
      <c r="B12" s="2"/>
      <c r="D12" s="338" t="s">
        <v>5</v>
      </c>
      <c r="E12" s="339"/>
      <c r="F12" s="340" t="s">
        <v>327</v>
      </c>
      <c r="G12" s="341"/>
      <c r="H12" s="341"/>
      <c r="I12" s="341"/>
      <c r="J12" s="341"/>
      <c r="K12" s="341"/>
      <c r="L12" s="341"/>
      <c r="M12" s="342"/>
      <c r="O12" s="2"/>
      <c r="W12" s="3" t="str">
        <f>+F23</f>
        <v>Semestral</v>
      </c>
      <c r="X12" s="3" t="str">
        <f>+F71</f>
        <v>Junio</v>
      </c>
    </row>
    <row r="13" spans="2:24" ht="3.95" customHeight="1" x14ac:dyDescent="0.25">
      <c r="B13" s="2"/>
      <c r="O13" s="2"/>
    </row>
    <row r="14" spans="2:24" ht="38.25" customHeight="1" x14ac:dyDescent="0.25">
      <c r="B14" s="2"/>
      <c r="D14" s="338" t="s">
        <v>6</v>
      </c>
      <c r="E14" s="339"/>
      <c r="F14" s="340" t="s">
        <v>937</v>
      </c>
      <c r="G14" s="341"/>
      <c r="H14" s="341"/>
      <c r="I14" s="341"/>
      <c r="J14" s="341"/>
      <c r="K14" s="341"/>
      <c r="L14" s="341"/>
      <c r="M14" s="342"/>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37" t="s">
        <v>8</v>
      </c>
      <c r="E22" s="337"/>
      <c r="F22" s="17" t="s">
        <v>512</v>
      </c>
      <c r="G22" s="337" t="s">
        <v>9</v>
      </c>
      <c r="H22" s="337"/>
      <c r="I22" s="17">
        <v>1</v>
      </c>
      <c r="K22" s="337" t="s">
        <v>10</v>
      </c>
      <c r="L22" s="337"/>
      <c r="M22" s="9" t="s">
        <v>496</v>
      </c>
      <c r="O22" s="2"/>
    </row>
    <row r="23" spans="2:17" ht="19.5" customHeight="1" x14ac:dyDescent="0.25">
      <c r="B23" s="2"/>
      <c r="D23" s="337" t="s">
        <v>11</v>
      </c>
      <c r="E23" s="337"/>
      <c r="F23" s="4" t="s">
        <v>104</v>
      </c>
      <c r="G23" s="337" t="s">
        <v>12</v>
      </c>
      <c r="H23" s="337"/>
      <c r="I23" s="4" t="s">
        <v>497</v>
      </c>
      <c r="K23" s="337" t="s">
        <v>13</v>
      </c>
      <c r="L23" s="337"/>
      <c r="M23" s="9" t="s">
        <v>496</v>
      </c>
      <c r="O23" s="2"/>
    </row>
    <row r="24" spans="2:17" ht="20.100000000000001" customHeight="1" x14ac:dyDescent="0.25">
      <c r="B24" s="2"/>
      <c r="D24" s="337" t="s">
        <v>14</v>
      </c>
      <c r="E24" s="337"/>
      <c r="F24" s="4" t="s">
        <v>81</v>
      </c>
      <c r="G24" s="337" t="s">
        <v>15</v>
      </c>
      <c r="H24" s="337"/>
      <c r="I24" s="4" t="s">
        <v>917</v>
      </c>
      <c r="K24" s="337" t="s">
        <v>16</v>
      </c>
      <c r="L24" s="337"/>
      <c r="M24" s="9" t="s">
        <v>2</v>
      </c>
      <c r="O24" s="2"/>
    </row>
    <row r="25" spans="2:17" ht="20.100000000000001" customHeight="1" x14ac:dyDescent="0.25">
      <c r="B25" s="2"/>
      <c r="D25" s="337" t="s">
        <v>17</v>
      </c>
      <c r="E25" s="337"/>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43" t="s">
        <v>19</v>
      </c>
      <c r="E29" s="343"/>
      <c r="F29" s="344" t="s">
        <v>891</v>
      </c>
      <c r="G29" s="344"/>
      <c r="H29" s="344"/>
      <c r="I29" s="344"/>
      <c r="J29" s="344"/>
      <c r="K29" s="344"/>
      <c r="L29" s="344"/>
      <c r="M29" s="344"/>
      <c r="O29" s="2"/>
    </row>
    <row r="30" spans="2:17" ht="18" customHeight="1" x14ac:dyDescent="0.25">
      <c r="B30" s="2"/>
      <c r="D30" s="345" t="s">
        <v>21</v>
      </c>
      <c r="E30" s="346"/>
      <c r="F30" s="10" t="s">
        <v>22</v>
      </c>
      <c r="G30" s="349" t="s">
        <v>5</v>
      </c>
      <c r="H30" s="350"/>
      <c r="I30" s="350"/>
      <c r="J30" s="350"/>
      <c r="K30" s="350"/>
      <c r="L30" s="350"/>
      <c r="M30" s="351"/>
      <c r="O30" s="2"/>
      <c r="Q30" s="3" t="str">
        <f>+IFERROR(VLOOKUP(G31,base!$A$9:$C$25,3,FALSE),"")</f>
        <v>soporte</v>
      </c>
    </row>
    <row r="31" spans="2:17" ht="24" customHeight="1" x14ac:dyDescent="0.25">
      <c r="B31" s="2"/>
      <c r="D31" s="347"/>
      <c r="E31" s="348"/>
      <c r="F31" s="4" t="s">
        <v>257</v>
      </c>
      <c r="G31" s="340" t="s">
        <v>258</v>
      </c>
      <c r="H31" s="341"/>
      <c r="I31" s="341"/>
      <c r="J31" s="341"/>
      <c r="K31" s="341"/>
      <c r="L31" s="341"/>
      <c r="M31" s="342"/>
      <c r="O31" s="2"/>
    </row>
    <row r="32" spans="2:17" ht="18" customHeight="1" x14ac:dyDescent="0.25">
      <c r="B32" s="2"/>
      <c r="D32" s="345" t="s">
        <v>23</v>
      </c>
      <c r="E32" s="346"/>
      <c r="F32" s="10" t="s">
        <v>22</v>
      </c>
      <c r="G32" s="349" t="s">
        <v>5</v>
      </c>
      <c r="H32" s="350"/>
      <c r="I32" s="350"/>
      <c r="J32" s="350"/>
      <c r="K32" s="350"/>
      <c r="L32" s="350"/>
      <c r="M32" s="351"/>
      <c r="O32" s="2"/>
    </row>
    <row r="33" spans="2:17" ht="24" customHeight="1" x14ac:dyDescent="0.25">
      <c r="B33" s="2"/>
      <c r="D33" s="347"/>
      <c r="E33" s="348"/>
      <c r="F33" s="11" t="s">
        <v>918</v>
      </c>
      <c r="G33" s="340" t="s">
        <v>892</v>
      </c>
      <c r="H33" s="341"/>
      <c r="I33" s="341"/>
      <c r="J33" s="341"/>
      <c r="K33" s="341"/>
      <c r="L33" s="341"/>
      <c r="M33" s="342"/>
      <c r="O33" s="2"/>
      <c r="Q33" s="3">
        <f>+IFERROR(IF(VLOOKUP(G33,base!$A$26:$C$40,3,FALSE)=F31,1,0),"")</f>
        <v>1</v>
      </c>
    </row>
    <row r="34" spans="2:17" ht="18" customHeight="1" x14ac:dyDescent="0.25">
      <c r="B34" s="2"/>
      <c r="D34" s="345" t="s">
        <v>24</v>
      </c>
      <c r="E34" s="346"/>
      <c r="F34" s="10" t="s">
        <v>22</v>
      </c>
      <c r="G34" s="349" t="s">
        <v>5</v>
      </c>
      <c r="H34" s="350"/>
      <c r="I34" s="350"/>
      <c r="J34" s="350"/>
      <c r="K34" s="350"/>
      <c r="L34" s="350"/>
      <c r="M34" s="351"/>
      <c r="O34" s="2"/>
    </row>
    <row r="35" spans="2:17" ht="36.75" customHeight="1" x14ac:dyDescent="0.25">
      <c r="B35" s="2"/>
      <c r="D35" s="347"/>
      <c r="E35" s="348"/>
      <c r="F35" s="4" t="s">
        <v>1716</v>
      </c>
      <c r="G35" s="340" t="s">
        <v>1592</v>
      </c>
      <c r="H35" s="341"/>
      <c r="I35" s="341"/>
      <c r="J35" s="341"/>
      <c r="K35" s="341"/>
      <c r="L35" s="341"/>
      <c r="M35" s="342"/>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37" t="s">
        <v>26</v>
      </c>
      <c r="E43" s="337"/>
      <c r="F43" s="4" t="s">
        <v>2</v>
      </c>
      <c r="O43" s="2"/>
    </row>
    <row r="44" spans="2:17" ht="18" customHeight="1" x14ac:dyDescent="0.25">
      <c r="B44" s="2"/>
      <c r="D44" s="352" t="s">
        <v>27</v>
      </c>
      <c r="E44" s="353"/>
      <c r="F44" s="12" t="s">
        <v>22</v>
      </c>
      <c r="G44" s="356" t="s">
        <v>5</v>
      </c>
      <c r="H44" s="357"/>
      <c r="I44" s="357"/>
      <c r="J44" s="357"/>
      <c r="K44" s="357"/>
      <c r="L44" s="357"/>
      <c r="M44" s="358"/>
      <c r="O44" s="2"/>
    </row>
    <row r="45" spans="2:17" ht="18" customHeight="1" x14ac:dyDescent="0.25">
      <c r="B45" s="2"/>
      <c r="D45" s="354"/>
      <c r="E45" s="355"/>
      <c r="F45" s="4" t="s">
        <v>500</v>
      </c>
      <c r="G45" s="340" t="s">
        <v>512</v>
      </c>
      <c r="H45" s="341"/>
      <c r="I45" s="341"/>
      <c r="J45" s="341"/>
      <c r="K45" s="341"/>
      <c r="L45" s="341"/>
      <c r="M45" s="342"/>
      <c r="O45" s="2"/>
      <c r="Q45" s="3" t="str">
        <f>+IFERROR(VLOOKUP(G45,base!$A$41:$C$45,3,FALSE),"")</f>
        <v/>
      </c>
    </row>
    <row r="46" spans="2:17" ht="18" customHeight="1" x14ac:dyDescent="0.25">
      <c r="B46" s="2"/>
      <c r="D46" s="352" t="s">
        <v>28</v>
      </c>
      <c r="E46" s="353"/>
      <c r="F46" s="12" t="s">
        <v>22</v>
      </c>
      <c r="G46" s="356" t="s">
        <v>5</v>
      </c>
      <c r="H46" s="357"/>
      <c r="I46" s="357"/>
      <c r="J46" s="357"/>
      <c r="K46" s="357"/>
      <c r="L46" s="357"/>
      <c r="M46" s="358"/>
      <c r="O46" s="2"/>
    </row>
    <row r="47" spans="2:17" ht="18" customHeight="1" x14ac:dyDescent="0.25">
      <c r="B47" s="2"/>
      <c r="D47" s="354"/>
      <c r="E47" s="355"/>
      <c r="F47" s="4" t="s">
        <v>500</v>
      </c>
      <c r="G47" s="340" t="s">
        <v>512</v>
      </c>
      <c r="H47" s="341"/>
      <c r="I47" s="341"/>
      <c r="J47" s="341"/>
      <c r="K47" s="341"/>
      <c r="L47" s="341"/>
      <c r="M47" s="342"/>
      <c r="O47" s="2"/>
      <c r="Q47" s="3" t="e">
        <f>+IF(VLOOKUP(G47,base!$A$46:$C$66,3,FALSE)=F45,1,0)</f>
        <v>#N/A</v>
      </c>
    </row>
    <row r="48" spans="2:17" ht="18" customHeight="1" x14ac:dyDescent="0.25">
      <c r="B48" s="2"/>
      <c r="D48" s="352" t="s">
        <v>29</v>
      </c>
      <c r="E48" s="353"/>
      <c r="F48" s="12" t="s">
        <v>22</v>
      </c>
      <c r="G48" s="356" t="s">
        <v>5</v>
      </c>
      <c r="H48" s="357"/>
      <c r="I48" s="357"/>
      <c r="J48" s="357"/>
      <c r="K48" s="357"/>
      <c r="L48" s="357"/>
      <c r="M48" s="358"/>
      <c r="O48" s="2"/>
    </row>
    <row r="49" spans="2:15" ht="29.25" customHeight="1" x14ac:dyDescent="0.25">
      <c r="B49" s="2"/>
      <c r="D49" s="354"/>
      <c r="E49" s="355"/>
      <c r="F49" s="13" t="s">
        <v>920</v>
      </c>
      <c r="G49" s="340" t="s">
        <v>899</v>
      </c>
      <c r="H49" s="341"/>
      <c r="I49" s="341"/>
      <c r="J49" s="341"/>
      <c r="K49" s="341"/>
      <c r="L49" s="341"/>
      <c r="M49" s="342"/>
      <c r="O49" s="2"/>
    </row>
    <row r="50" spans="2:15" ht="3.95" customHeight="1" x14ac:dyDescent="0.25">
      <c r="B50" s="2"/>
      <c r="O50" s="2"/>
    </row>
    <row r="51" spans="2:15" ht="20.100000000000001" customHeight="1" x14ac:dyDescent="0.25">
      <c r="B51" s="2"/>
      <c r="D51" s="337" t="s">
        <v>31</v>
      </c>
      <c r="E51" s="337"/>
      <c r="F51" s="4" t="s">
        <v>2</v>
      </c>
      <c r="G51" s="337" t="s">
        <v>32</v>
      </c>
      <c r="H51" s="337"/>
      <c r="I51" s="17"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 customHeight="1" x14ac:dyDescent="0.25">
      <c r="B59" s="2"/>
      <c r="D59" s="337" t="s">
        <v>34</v>
      </c>
      <c r="E59" s="337"/>
      <c r="F59" s="344" t="s">
        <v>938</v>
      </c>
      <c r="G59" s="344"/>
      <c r="H59" s="344"/>
      <c r="I59" s="344"/>
      <c r="J59" s="344"/>
      <c r="K59" s="344"/>
      <c r="L59" s="344"/>
      <c r="M59" s="344"/>
      <c r="O59" s="2"/>
    </row>
    <row r="60" spans="2:15" ht="27.75" customHeight="1" x14ac:dyDescent="0.25">
      <c r="B60" s="2"/>
      <c r="D60" s="359" t="s">
        <v>35</v>
      </c>
      <c r="E60" s="359"/>
      <c r="F60" s="344" t="s">
        <v>939</v>
      </c>
      <c r="G60" s="344"/>
      <c r="H60" s="344"/>
      <c r="I60" s="344"/>
      <c r="J60" s="344"/>
      <c r="K60" s="344"/>
      <c r="L60" s="344"/>
      <c r="M60" s="344"/>
      <c r="O60" s="2"/>
    </row>
    <row r="61" spans="2:15" ht="27.75" customHeight="1" x14ac:dyDescent="0.25">
      <c r="B61" s="2"/>
      <c r="D61" s="359" t="s">
        <v>36</v>
      </c>
      <c r="E61" s="359"/>
      <c r="F61" s="344" t="s">
        <v>940</v>
      </c>
      <c r="G61" s="344"/>
      <c r="H61" s="344"/>
      <c r="I61" s="344"/>
      <c r="J61" s="344"/>
      <c r="K61" s="344"/>
      <c r="L61" s="344"/>
      <c r="M61" s="344"/>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61" t="s">
        <v>38</v>
      </c>
      <c r="E67" s="361"/>
      <c r="O67" s="2"/>
    </row>
    <row r="68" spans="2:37" ht="3.95" customHeight="1" x14ac:dyDescent="0.25">
      <c r="B68" s="2"/>
      <c r="D68" s="7"/>
      <c r="E68" s="7"/>
      <c r="O68" s="2"/>
    </row>
    <row r="69" spans="2:37" ht="18.75" customHeight="1" x14ac:dyDescent="0.25">
      <c r="B69" s="2"/>
      <c r="O69" s="2"/>
      <c r="U69" s="3">
        <f>+IFERROR(VLOOKUP(F23,base!$A$1:$B$8,2,FALSE),"")</f>
        <v>6</v>
      </c>
    </row>
    <row r="70" spans="2:37" ht="3.95" customHeight="1" x14ac:dyDescent="0.25">
      <c r="B70" s="2"/>
      <c r="D70" s="7"/>
      <c r="E70" s="7"/>
      <c r="O70" s="2"/>
    </row>
    <row r="71" spans="2:37" ht="18.75" customHeight="1" x14ac:dyDescent="0.25">
      <c r="B71" s="2"/>
      <c r="D71" s="343" t="s">
        <v>39</v>
      </c>
      <c r="E71" s="343"/>
      <c r="F71" s="4" t="s">
        <v>50</v>
      </c>
      <c r="G71" s="3">
        <v>6</v>
      </c>
      <c r="O71" s="2"/>
    </row>
    <row r="72" spans="2:37" ht="3.95" customHeight="1" x14ac:dyDescent="0.25">
      <c r="B72" s="2"/>
      <c r="D72" s="7"/>
      <c r="E72" s="7"/>
      <c r="O72" s="2"/>
    </row>
    <row r="73" spans="2:37" x14ac:dyDescent="0.25">
      <c r="B73" s="2"/>
      <c r="D73" s="362" t="s">
        <v>41</v>
      </c>
      <c r="E73" s="362"/>
      <c r="F73" s="363" t="s">
        <v>42</v>
      </c>
      <c r="G73" s="364"/>
      <c r="H73" s="363" t="s">
        <v>43</v>
      </c>
      <c r="I73" s="364"/>
      <c r="J73" s="363" t="s">
        <v>44</v>
      </c>
      <c r="K73" s="364"/>
      <c r="L73" s="363" t="s">
        <v>45</v>
      </c>
      <c r="M73" s="364"/>
      <c r="O73" s="2"/>
    </row>
    <row r="74" spans="2:37" x14ac:dyDescent="0.25">
      <c r="B74" s="2"/>
      <c r="D74" s="362"/>
      <c r="E74" s="362"/>
      <c r="F74" s="15" t="s">
        <v>51</v>
      </c>
      <c r="G74" s="15" t="s">
        <v>52</v>
      </c>
      <c r="H74" s="15" t="s">
        <v>51</v>
      </c>
      <c r="I74" s="15" t="s">
        <v>52</v>
      </c>
      <c r="J74" s="15" t="s">
        <v>51</v>
      </c>
      <c r="K74" s="15" t="s">
        <v>52</v>
      </c>
      <c r="L74" s="15" t="s">
        <v>51</v>
      </c>
      <c r="M74" s="15" t="s">
        <v>52</v>
      </c>
      <c r="O74" s="2"/>
    </row>
    <row r="75" spans="2:37" x14ac:dyDescent="0.25">
      <c r="B75" s="2"/>
      <c r="D75" s="360" t="s">
        <v>46</v>
      </c>
      <c r="E75" s="360"/>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60" t="s">
        <v>40</v>
      </c>
      <c r="E76" s="360"/>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60" t="s">
        <v>47</v>
      </c>
      <c r="E77" s="360"/>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60" t="s">
        <v>48</v>
      </c>
      <c r="E78" s="360"/>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60" t="s">
        <v>49</v>
      </c>
      <c r="E79" s="360"/>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60" t="s">
        <v>50</v>
      </c>
      <c r="E80" s="360"/>
      <c r="F80" s="16" t="s">
        <v>500</v>
      </c>
      <c r="G80" s="16">
        <v>0.499</v>
      </c>
      <c r="H80" s="16">
        <v>0.5</v>
      </c>
      <c r="I80" s="16">
        <v>0.79900000000000004</v>
      </c>
      <c r="J80" s="16">
        <v>0.8</v>
      </c>
      <c r="K80" s="16">
        <v>0.84899999999999998</v>
      </c>
      <c r="L80" s="16">
        <v>0.85</v>
      </c>
      <c r="M80" s="16" t="s">
        <v>500</v>
      </c>
      <c r="O80" s="2"/>
      <c r="AE80" s="3" t="s">
        <v>50</v>
      </c>
      <c r="AF80" s="3">
        <v>6</v>
      </c>
      <c r="AG80" s="3">
        <f t="shared" si="0"/>
        <v>1</v>
      </c>
      <c r="AH80" s="3">
        <f>+IF(AG80=0,0,IF(AG80=1,(SUM($AG$75:AG80)-1),1))</f>
        <v>0</v>
      </c>
      <c r="AI80" s="3">
        <f t="shared" si="1"/>
        <v>0</v>
      </c>
      <c r="AJ80" s="3">
        <f t="shared" si="2"/>
        <v>1</v>
      </c>
      <c r="AK80" s="3">
        <f t="shared" si="3"/>
        <v>1</v>
      </c>
    </row>
    <row r="81" spans="2:37" x14ac:dyDescent="0.25">
      <c r="B81" s="2"/>
      <c r="D81" s="360" t="s">
        <v>53</v>
      </c>
      <c r="E81" s="360"/>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1</v>
      </c>
      <c r="AI81" s="3">
        <f t="shared" si="1"/>
        <v>0</v>
      </c>
      <c r="AJ81" s="3">
        <f t="shared" si="2"/>
        <v>0</v>
      </c>
      <c r="AK81" s="3">
        <f t="shared" si="3"/>
        <v>0</v>
      </c>
    </row>
    <row r="82" spans="2:37" x14ac:dyDescent="0.25">
      <c r="B82" s="2"/>
      <c r="D82" s="360" t="s">
        <v>54</v>
      </c>
      <c r="E82" s="360"/>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2</v>
      </c>
      <c r="AI82" s="3">
        <f t="shared" si="1"/>
        <v>0</v>
      </c>
      <c r="AJ82" s="3">
        <f t="shared" si="2"/>
        <v>0</v>
      </c>
      <c r="AK82" s="3">
        <f t="shared" si="3"/>
        <v>0</v>
      </c>
    </row>
    <row r="83" spans="2:37" x14ac:dyDescent="0.25">
      <c r="B83" s="2"/>
      <c r="D83" s="360" t="s">
        <v>55</v>
      </c>
      <c r="E83" s="360"/>
      <c r="F83" s="16" t="s">
        <v>500</v>
      </c>
      <c r="G83" s="16" t="s">
        <v>500</v>
      </c>
      <c r="H83" s="16" t="s">
        <v>500</v>
      </c>
      <c r="I83" s="16" t="s">
        <v>500</v>
      </c>
      <c r="J83" s="16" t="s">
        <v>500</v>
      </c>
      <c r="K83" s="16" t="s">
        <v>500</v>
      </c>
      <c r="L83" s="16" t="s">
        <v>500</v>
      </c>
      <c r="M83" s="16" t="s">
        <v>500</v>
      </c>
      <c r="O83" s="2"/>
      <c r="AE83" s="3" t="s">
        <v>55</v>
      </c>
      <c r="AF83" s="3">
        <v>9</v>
      </c>
      <c r="AG83" s="3">
        <f t="shared" si="0"/>
        <v>1</v>
      </c>
      <c r="AH83" s="3">
        <f>+IF(AG83=0,0,IF(AG83=1,(SUM($AG$75:AG83)-1),1))</f>
        <v>3</v>
      </c>
      <c r="AI83" s="3">
        <f t="shared" si="1"/>
        <v>0</v>
      </c>
      <c r="AJ83" s="3">
        <f t="shared" si="2"/>
        <v>0</v>
      </c>
      <c r="AK83" s="3">
        <f t="shared" si="3"/>
        <v>0</v>
      </c>
    </row>
    <row r="84" spans="2:37" x14ac:dyDescent="0.25">
      <c r="B84" s="2"/>
      <c r="D84" s="360" t="s">
        <v>56</v>
      </c>
      <c r="E84" s="360"/>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4</v>
      </c>
      <c r="AI84" s="3">
        <f t="shared" si="1"/>
        <v>0</v>
      </c>
      <c r="AJ84" s="3">
        <f t="shared" si="2"/>
        <v>0</v>
      </c>
      <c r="AK84" s="3">
        <f t="shared" si="3"/>
        <v>0</v>
      </c>
    </row>
    <row r="85" spans="2:37" x14ac:dyDescent="0.25">
      <c r="B85" s="2"/>
      <c r="D85" s="360" t="s">
        <v>57</v>
      </c>
      <c r="E85" s="360"/>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5</v>
      </c>
      <c r="AI85" s="3">
        <f t="shared" si="1"/>
        <v>0</v>
      </c>
      <c r="AJ85" s="3">
        <f t="shared" si="2"/>
        <v>0</v>
      </c>
      <c r="AK85" s="3">
        <f t="shared" si="3"/>
        <v>0</v>
      </c>
    </row>
    <row r="86" spans="2:37" x14ac:dyDescent="0.25">
      <c r="B86" s="2"/>
      <c r="D86" s="360" t="s">
        <v>58</v>
      </c>
      <c r="E86" s="360"/>
      <c r="F86" s="16" t="s">
        <v>500</v>
      </c>
      <c r="G86" s="16">
        <v>0.499</v>
      </c>
      <c r="H86" s="16">
        <v>0.5</v>
      </c>
      <c r="I86" s="16">
        <v>0.79900000000000004</v>
      </c>
      <c r="J86" s="16">
        <v>0.8</v>
      </c>
      <c r="K86" s="16">
        <v>0.84899999999999998</v>
      </c>
      <c r="L86" s="16">
        <v>0.85</v>
      </c>
      <c r="M86" s="16" t="s">
        <v>500</v>
      </c>
      <c r="O86" s="2"/>
      <c r="AE86" s="3" t="s">
        <v>58</v>
      </c>
      <c r="AF86" s="65">
        <v>12</v>
      </c>
      <c r="AG86" s="3">
        <f t="shared" si="0"/>
        <v>1</v>
      </c>
      <c r="AH86" s="3">
        <f>+IF(AG86=0,0,IF(AG86=1,(SUM($AG$75:AG86)-1),1))</f>
        <v>6</v>
      </c>
      <c r="AI86" s="3">
        <f t="shared" si="1"/>
        <v>1</v>
      </c>
      <c r="AJ86" s="3">
        <f t="shared" si="2"/>
        <v>0</v>
      </c>
      <c r="AK86" s="3">
        <f t="shared" si="3"/>
        <v>1</v>
      </c>
    </row>
    <row r="87" spans="2:37" ht="3.75" customHeight="1" x14ac:dyDescent="0.25">
      <c r="B87" s="2"/>
      <c r="O87" s="2"/>
    </row>
    <row r="88" spans="2:37" ht="66" customHeight="1" x14ac:dyDescent="0.25">
      <c r="B88" s="2"/>
      <c r="D88" s="338" t="s">
        <v>59</v>
      </c>
      <c r="E88" s="339"/>
      <c r="F88" s="340" t="s">
        <v>910</v>
      </c>
      <c r="G88" s="341"/>
      <c r="H88" s="341"/>
      <c r="I88" s="341"/>
      <c r="J88" s="341"/>
      <c r="K88" s="341"/>
      <c r="L88" s="341"/>
      <c r="M88" s="342"/>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37" t="s">
        <v>61</v>
      </c>
      <c r="E96" s="337"/>
      <c r="O96" s="2"/>
    </row>
    <row r="97" spans="2:15" ht="42" customHeight="1" x14ac:dyDescent="0.25">
      <c r="B97" s="2"/>
      <c r="D97" s="359" t="s">
        <v>35</v>
      </c>
      <c r="E97" s="359"/>
      <c r="F97" s="344" t="s">
        <v>941</v>
      </c>
      <c r="G97" s="344"/>
      <c r="H97" s="344"/>
      <c r="I97" s="344"/>
      <c r="J97" s="344"/>
      <c r="K97" s="344"/>
      <c r="L97" s="344"/>
      <c r="M97" s="344"/>
      <c r="O97" s="2"/>
    </row>
    <row r="98" spans="2:15" ht="42" customHeight="1" x14ac:dyDescent="0.25">
      <c r="B98" s="2"/>
      <c r="D98" s="359" t="s">
        <v>36</v>
      </c>
      <c r="E98" s="359"/>
      <c r="F98" s="344" t="s">
        <v>941</v>
      </c>
      <c r="G98" s="344"/>
      <c r="H98" s="344"/>
      <c r="I98" s="344"/>
      <c r="J98" s="344"/>
      <c r="K98" s="344"/>
      <c r="L98" s="344"/>
      <c r="M98" s="344"/>
      <c r="O98" s="2"/>
    </row>
    <row r="99" spans="2:15" ht="3.95" customHeight="1" x14ac:dyDescent="0.25">
      <c r="B99" s="2"/>
      <c r="O99" s="2"/>
    </row>
    <row r="100" spans="2:15" ht="58.5" customHeight="1" x14ac:dyDescent="0.25">
      <c r="B100" s="2"/>
      <c r="D100" s="338" t="s">
        <v>62</v>
      </c>
      <c r="E100" s="339"/>
      <c r="F100" s="340" t="s">
        <v>912</v>
      </c>
      <c r="G100" s="334"/>
      <c r="H100" s="334"/>
      <c r="I100" s="334"/>
      <c r="J100" s="334"/>
      <c r="K100" s="334"/>
      <c r="L100" s="334"/>
      <c r="M100" s="335"/>
      <c r="O100" s="2"/>
    </row>
    <row r="101" spans="2:15" ht="3.95" customHeight="1" x14ac:dyDescent="0.25">
      <c r="B101" s="2"/>
      <c r="O101" s="2"/>
    </row>
    <row r="102" spans="2:15" ht="19.5" customHeight="1" x14ac:dyDescent="0.25">
      <c r="B102" s="2"/>
      <c r="D102" s="329" t="s">
        <v>64</v>
      </c>
      <c r="E102" s="330"/>
      <c r="F102" s="19" t="s">
        <v>65</v>
      </c>
      <c r="G102" s="4" t="s">
        <v>2</v>
      </c>
      <c r="K102" s="20"/>
      <c r="O102" s="2"/>
    </row>
    <row r="103" spans="2:15" ht="19.5" customHeight="1" x14ac:dyDescent="0.25">
      <c r="B103" s="2"/>
      <c r="D103" s="331"/>
      <c r="E103" s="332"/>
      <c r="F103" s="19" t="s">
        <v>66</v>
      </c>
      <c r="G103" s="4"/>
      <c r="K103" s="21"/>
      <c r="O103" s="2"/>
    </row>
    <row r="104" spans="2:15" ht="27.75" customHeight="1" x14ac:dyDescent="0.25">
      <c r="B104" s="2"/>
      <c r="D104" s="331"/>
      <c r="E104" s="332"/>
      <c r="F104" s="19" t="s">
        <v>67</v>
      </c>
      <c r="G104" s="333"/>
      <c r="H104" s="334"/>
      <c r="I104" s="334"/>
      <c r="J104" s="334"/>
      <c r="K104" s="334"/>
      <c r="L104" s="334"/>
      <c r="M104" s="335"/>
      <c r="O104" s="2"/>
    </row>
    <row r="105" spans="2:15" ht="3.95" customHeight="1" x14ac:dyDescent="0.25">
      <c r="B105" s="2"/>
      <c r="O105" s="2"/>
    </row>
    <row r="106" spans="2:15" ht="197.25" customHeight="1" x14ac:dyDescent="0.25">
      <c r="B106" s="2"/>
      <c r="D106" s="338" t="s">
        <v>68</v>
      </c>
      <c r="E106" s="339"/>
      <c r="F106" s="340" t="s">
        <v>102</v>
      </c>
      <c r="G106" s="341"/>
      <c r="H106" s="341"/>
      <c r="I106" s="341"/>
      <c r="J106" s="341"/>
      <c r="K106" s="341"/>
      <c r="L106" s="341"/>
      <c r="M106" s="342"/>
      <c r="O106" s="2"/>
    </row>
    <row r="107" spans="2:15" ht="3.95" customHeight="1" x14ac:dyDescent="0.25">
      <c r="B107" s="2"/>
      <c r="O107" s="2"/>
    </row>
    <row r="108" spans="2:15" ht="17.25" customHeight="1" x14ac:dyDescent="0.25">
      <c r="B108" s="2"/>
      <c r="D108" s="329" t="s">
        <v>2040</v>
      </c>
      <c r="E108" s="330"/>
      <c r="F108" s="19" t="s">
        <v>2041</v>
      </c>
      <c r="G108" s="333" t="e">
        <f>+VLOOKUP(H10,tablero!$P$5:$R$201,3,FALSE)</f>
        <v>#N/A</v>
      </c>
      <c r="H108" s="334"/>
      <c r="I108" s="334"/>
      <c r="J108" s="334"/>
      <c r="K108" s="334"/>
      <c r="L108" s="334"/>
      <c r="M108" s="335"/>
      <c r="O108" s="2"/>
    </row>
    <row r="109" spans="2:15" ht="17.25" customHeight="1" x14ac:dyDescent="0.25">
      <c r="B109" s="2"/>
      <c r="D109" s="331"/>
      <c r="E109" s="332"/>
      <c r="F109" s="19" t="s">
        <v>2042</v>
      </c>
      <c r="G109" s="333" t="str">
        <f>+IF(M23="Si","Coordinador(a) Planeación y Sistemas","")</f>
        <v>Coordinador(a) Planeación y Sistemas</v>
      </c>
      <c r="H109" s="334"/>
      <c r="I109" s="334"/>
      <c r="J109" s="334"/>
      <c r="K109" s="334"/>
      <c r="L109" s="334"/>
      <c r="M109" s="335"/>
      <c r="O109" s="2"/>
    </row>
    <row r="110" spans="2:15" ht="17.25" customHeight="1" x14ac:dyDescent="0.25">
      <c r="B110" s="2"/>
      <c r="D110" s="331"/>
      <c r="E110" s="332"/>
      <c r="F110" s="19" t="s">
        <v>2043</v>
      </c>
      <c r="G110" s="333" t="str">
        <f>+IF(M24="Si","Coordinador(a) Centro Zonal","")</f>
        <v/>
      </c>
      <c r="H110" s="334"/>
      <c r="I110" s="334"/>
      <c r="J110" s="334"/>
      <c r="K110" s="334"/>
      <c r="L110" s="334"/>
      <c r="M110" s="33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924" priority="31">
      <formula>+IF($F$43="no",1,0)</formula>
    </cfRule>
  </conditionalFormatting>
  <conditionalFormatting sqref="F32:M33">
    <cfRule type="expression" dxfId="1923" priority="30">
      <formula>+IF($Q$30="NA",1,0)</formula>
    </cfRule>
  </conditionalFormatting>
  <conditionalFormatting sqref="F33:M33">
    <cfRule type="expression" dxfId="1922" priority="29">
      <formula>+IF($Q$33=0,1,0)</formula>
    </cfRule>
  </conditionalFormatting>
  <conditionalFormatting sqref="F47:M47">
    <cfRule type="expression" dxfId="1921" priority="28">
      <formula>+IF($Q$47=0,1,0)</formula>
    </cfRule>
  </conditionalFormatting>
  <conditionalFormatting sqref="F73:G73">
    <cfRule type="cellIs" dxfId="1920" priority="15" operator="equal">
      <formula>"optimo"</formula>
    </cfRule>
    <cfRule type="cellIs" dxfId="1919" priority="16" operator="equal">
      <formula>"critico"</formula>
    </cfRule>
  </conditionalFormatting>
  <conditionalFormatting sqref="H73:I73">
    <cfRule type="cellIs" dxfId="1918" priority="13" operator="equal">
      <formula>"Adecuado"</formula>
    </cfRule>
    <cfRule type="cellIs" dxfId="1917" priority="14" operator="equal">
      <formula>"en riesgo"</formula>
    </cfRule>
  </conditionalFormatting>
  <conditionalFormatting sqref="J73:K73">
    <cfRule type="cellIs" dxfId="1916" priority="11" operator="equal">
      <formula>"Adecuado"</formula>
    </cfRule>
    <cfRule type="cellIs" dxfId="1915" priority="12" operator="equal">
      <formula>"en riesgo"</formula>
    </cfRule>
  </conditionalFormatting>
  <conditionalFormatting sqref="L73:M73">
    <cfRule type="cellIs" dxfId="1914" priority="9" operator="equal">
      <formula>"optimo"</formula>
    </cfRule>
    <cfRule type="cellIs" dxfId="1913" priority="10" operator="equal">
      <formula>"critico"</formula>
    </cfRule>
  </conditionalFormatting>
  <conditionalFormatting sqref="F75:M86">
    <cfRule type="expression" dxfId="1912" priority="8">
      <formula>+IF($AK75=0,1)</formula>
    </cfRule>
  </conditionalFormatting>
  <conditionalFormatting sqref="F103:G104">
    <cfRule type="expression" dxfId="1911" priority="7">
      <formula>+IF($G$102="No",1,0)</formula>
    </cfRule>
  </conditionalFormatting>
  <conditionalFormatting sqref="F51">
    <cfRule type="expression" dxfId="1910" priority="6">
      <formula>+IF($F$43="no",1,0)</formula>
    </cfRule>
  </conditionalFormatting>
  <conditionalFormatting sqref="I51">
    <cfRule type="expression" dxfId="1909" priority="5">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208</vt:i4>
      </vt:variant>
      <vt:variant>
        <vt:lpstr>Rangos con nombre</vt:lpstr>
      </vt:variant>
      <vt:variant>
        <vt:i4>33</vt:i4>
      </vt:variant>
    </vt:vector>
  </HeadingPairs>
  <TitlesOfParts>
    <vt:vector size="241" baseType="lpstr">
      <vt:lpstr>hoja resumen</vt:lpstr>
      <vt:lpstr>Hoja1</vt:lpstr>
      <vt:lpstr>Estadisticas</vt:lpstr>
      <vt:lpstr>tablero</vt:lpstr>
      <vt:lpstr>base</vt:lpstr>
      <vt:lpstr>PA-01</vt:lpstr>
      <vt:lpstr>PA-02</vt:lpstr>
      <vt:lpstr>PA-03</vt:lpstr>
      <vt:lpstr>PA-04</vt:lpstr>
      <vt:lpstr>PA-05</vt:lpstr>
      <vt:lpstr>PA-06</vt:lpstr>
      <vt:lpstr>PA-07</vt:lpstr>
      <vt:lpstr>PA-08</vt:lpstr>
      <vt:lpstr>PA-09</vt:lpstr>
      <vt:lpstr>PA-10</vt:lpstr>
      <vt:lpstr>MPM1-01</vt:lpstr>
      <vt:lpstr>MPM1-02</vt:lpstr>
      <vt:lpstr>MPM1-03</vt:lpstr>
      <vt:lpstr>MPM1-04</vt:lpstr>
      <vt:lpstr>MPM1-05</vt:lpstr>
      <vt:lpstr>MPM1-06</vt:lpstr>
      <vt:lpstr>MPM1-07</vt:lpstr>
      <vt:lpstr>MPM1-08</vt:lpstr>
      <vt:lpstr>MPM1-09</vt:lpstr>
      <vt:lpstr>MPM1-10</vt:lpstr>
      <vt:lpstr>PA-11</vt:lpstr>
      <vt:lpstr>PA-12</vt:lpstr>
      <vt:lpstr>PA-13</vt:lpstr>
      <vt:lpstr>PA-14</vt:lpstr>
      <vt:lpstr>PA-15</vt:lpstr>
      <vt:lpstr>PA-16</vt:lpstr>
      <vt:lpstr>PA-17</vt:lpstr>
      <vt:lpstr>MPM2-01</vt:lpstr>
      <vt:lpstr>MPM2-02</vt:lpstr>
      <vt:lpstr>MPM2-03</vt:lpstr>
      <vt:lpstr>MPM2-04</vt:lpstr>
      <vt:lpstr>MPM2-05</vt:lpstr>
      <vt:lpstr>PA-18</vt:lpstr>
      <vt:lpstr>PA-19</vt:lpstr>
      <vt:lpstr>PA-20</vt:lpstr>
      <vt:lpstr>PA-21</vt:lpstr>
      <vt:lpstr>MPM3-01</vt:lpstr>
      <vt:lpstr>PA-22</vt:lpstr>
      <vt:lpstr>PA-23</vt:lpstr>
      <vt:lpstr>PA-24</vt:lpstr>
      <vt:lpstr>PA-25</vt:lpstr>
      <vt:lpstr>PA-26</vt:lpstr>
      <vt:lpstr>PA-27</vt:lpstr>
      <vt:lpstr>PA-28</vt:lpstr>
      <vt:lpstr>PA-29</vt:lpstr>
      <vt:lpstr>PA-30</vt:lpstr>
      <vt:lpstr>MPM4-01</vt:lpstr>
      <vt:lpstr>MPM4-02</vt:lpstr>
      <vt:lpstr>MPM4-03</vt:lpstr>
      <vt:lpstr>MPM4-04</vt:lpstr>
      <vt:lpstr>MPM4-05</vt:lpstr>
      <vt:lpstr>MPM4-06</vt:lpstr>
      <vt:lpstr>MPM4-07</vt:lpstr>
      <vt:lpstr>MPM4-08</vt:lpstr>
      <vt:lpstr>MPM4-09</vt:lpstr>
      <vt:lpstr>MPM4-10</vt:lpstr>
      <vt:lpstr>PA-31</vt:lpstr>
      <vt:lpstr>PA-32</vt:lpstr>
      <vt:lpstr>PA-33</vt:lpstr>
      <vt:lpstr>PA-34</vt:lpstr>
      <vt:lpstr>PA-35</vt:lpstr>
      <vt:lpstr>PA-36</vt:lpstr>
      <vt:lpstr>PA-37</vt:lpstr>
      <vt:lpstr>PA-38</vt:lpstr>
      <vt:lpstr>MPM5-P1-01</vt:lpstr>
      <vt:lpstr>MPM5-P1-02</vt:lpstr>
      <vt:lpstr>MPM5-P1-03</vt:lpstr>
      <vt:lpstr>MPM5-P1-04</vt:lpstr>
      <vt:lpstr>MPM5-P1-05</vt:lpstr>
      <vt:lpstr>MPM5-P1-06</vt:lpstr>
      <vt:lpstr>MPM5-P1-07</vt:lpstr>
      <vt:lpstr>MPM5-P1-08</vt:lpstr>
      <vt:lpstr>MPM5-P1-09</vt:lpstr>
      <vt:lpstr>MPM5-P1-10</vt:lpstr>
      <vt:lpstr>MPM5-P1-11</vt:lpstr>
      <vt:lpstr>PA-39</vt:lpstr>
      <vt:lpstr>PA-40</vt:lpstr>
      <vt:lpstr>PA-41</vt:lpstr>
      <vt:lpstr>MPM5-P2-01</vt:lpstr>
      <vt:lpstr>PA-42</vt:lpstr>
      <vt:lpstr>PA-43</vt:lpstr>
      <vt:lpstr>PA-44</vt:lpstr>
      <vt:lpstr>PA-45</vt:lpstr>
      <vt:lpstr>MPM5-P3-01</vt:lpstr>
      <vt:lpstr>PA-46</vt:lpstr>
      <vt:lpstr>PA-47</vt:lpstr>
      <vt:lpstr>PA-48</vt:lpstr>
      <vt:lpstr>PA-49</vt:lpstr>
      <vt:lpstr>MPA1-P1-01</vt:lpstr>
      <vt:lpstr>MPA1-P1-02</vt:lpstr>
      <vt:lpstr>MPA1-P1-03</vt:lpstr>
      <vt:lpstr>MPA1-P1-04</vt:lpstr>
      <vt:lpstr>MPA1-P1-05</vt:lpstr>
      <vt:lpstr>MPA1-P1-06</vt:lpstr>
      <vt:lpstr>MPA1-P1-07</vt:lpstr>
      <vt:lpstr>MPA1-P1-08</vt:lpstr>
      <vt:lpstr>MPA1-P1-09</vt:lpstr>
      <vt:lpstr>MPA1-P1-10</vt:lpstr>
      <vt:lpstr>PA-50</vt:lpstr>
      <vt:lpstr>PA-51</vt:lpstr>
      <vt:lpstr>MPA1-P2-01</vt:lpstr>
      <vt:lpstr>MPA1-P2-02</vt:lpstr>
      <vt:lpstr>MPA1-P2-03</vt:lpstr>
      <vt:lpstr>PA-52</vt:lpstr>
      <vt:lpstr>MPA1-P3-01</vt:lpstr>
      <vt:lpstr>MPA1-P3-02</vt:lpstr>
      <vt:lpstr>MPA1-P3-03</vt:lpstr>
      <vt:lpstr>MPA1-P3-04</vt:lpstr>
      <vt:lpstr>PA-53</vt:lpstr>
      <vt:lpstr>PA-54</vt:lpstr>
      <vt:lpstr>PA-55</vt:lpstr>
      <vt:lpstr>MPA1-P4-01</vt:lpstr>
      <vt:lpstr>MPA1-P4-02</vt:lpstr>
      <vt:lpstr>MPA1-P4-03</vt:lpstr>
      <vt:lpstr>MPA1-P4-04</vt:lpstr>
      <vt:lpstr>PA-56</vt:lpstr>
      <vt:lpstr>PA-57</vt:lpstr>
      <vt:lpstr>PA-58</vt:lpstr>
      <vt:lpstr>PA-59</vt:lpstr>
      <vt:lpstr>PA-60</vt:lpstr>
      <vt:lpstr>PA-61</vt:lpstr>
      <vt:lpstr>PA-62</vt:lpstr>
      <vt:lpstr>MPA1-P5-01</vt:lpstr>
      <vt:lpstr>MPA1-P5-02</vt:lpstr>
      <vt:lpstr>MPA1-P5-03</vt:lpstr>
      <vt:lpstr>MPA1-P5-04</vt:lpstr>
      <vt:lpstr>MPA1-P5-05</vt:lpstr>
      <vt:lpstr>MPA1-P5-06</vt:lpstr>
      <vt:lpstr>MPA1-P5-07</vt:lpstr>
      <vt:lpstr>MPA1-P5-08</vt:lpstr>
      <vt:lpstr>MPA1-P5-09</vt:lpstr>
      <vt:lpstr>MPA1-P5-10</vt:lpstr>
      <vt:lpstr>MPA1-P5-11</vt:lpstr>
      <vt:lpstr>MPA1-P5-12</vt:lpstr>
      <vt:lpstr>PA-63</vt:lpstr>
      <vt:lpstr>PA-64</vt:lpstr>
      <vt:lpstr>PA-65</vt:lpstr>
      <vt:lpstr>MPA2-01</vt:lpstr>
      <vt:lpstr>MPA2-02</vt:lpstr>
      <vt:lpstr>MPA2-03</vt:lpstr>
      <vt:lpstr>PA-66</vt:lpstr>
      <vt:lpstr>PA-67</vt:lpstr>
      <vt:lpstr>PA-68</vt:lpstr>
      <vt:lpstr>PA-69</vt:lpstr>
      <vt:lpstr>PA-70</vt:lpstr>
      <vt:lpstr>PA-71</vt:lpstr>
      <vt:lpstr>MPA4-01</vt:lpstr>
      <vt:lpstr>PA-72</vt:lpstr>
      <vt:lpstr>PA-73</vt:lpstr>
      <vt:lpstr>PA-74</vt:lpstr>
      <vt:lpstr>MPA5-P2-01</vt:lpstr>
      <vt:lpstr>MPA5-P2-02</vt:lpstr>
      <vt:lpstr>MPA5-P2-03</vt:lpstr>
      <vt:lpstr>PA-75</vt:lpstr>
      <vt:lpstr>PA-76</vt:lpstr>
      <vt:lpstr>MPA6-01</vt:lpstr>
      <vt:lpstr>MPA6-02</vt:lpstr>
      <vt:lpstr>MPA6-03</vt:lpstr>
      <vt:lpstr>MPA6-04</vt:lpstr>
      <vt:lpstr>MPA6-05</vt:lpstr>
      <vt:lpstr>PA-77</vt:lpstr>
      <vt:lpstr>PA-78</vt:lpstr>
      <vt:lpstr>PA-79</vt:lpstr>
      <vt:lpstr>MPA7-01</vt:lpstr>
      <vt:lpstr>PA-80</vt:lpstr>
      <vt:lpstr>PA-81</vt:lpstr>
      <vt:lpstr>PA-82</vt:lpstr>
      <vt:lpstr>PA-83</vt:lpstr>
      <vt:lpstr>PA-84</vt:lpstr>
      <vt:lpstr>PA-85</vt:lpstr>
      <vt:lpstr>MPE1-01</vt:lpstr>
      <vt:lpstr>MPE1-02</vt:lpstr>
      <vt:lpstr>PA-86</vt:lpstr>
      <vt:lpstr>PA-87</vt:lpstr>
      <vt:lpstr>PA-88</vt:lpstr>
      <vt:lpstr>PA-89</vt:lpstr>
      <vt:lpstr>MPE2-01</vt:lpstr>
      <vt:lpstr>MPE2-02</vt:lpstr>
      <vt:lpstr>MPE2-03</vt:lpstr>
      <vt:lpstr>MPE2-04</vt:lpstr>
      <vt:lpstr>MPE2-05</vt:lpstr>
      <vt:lpstr>MPE2-06</vt:lpstr>
      <vt:lpstr>PA-90</vt:lpstr>
      <vt:lpstr>PA-91</vt:lpstr>
      <vt:lpstr>PA-92</vt:lpstr>
      <vt:lpstr>PA-93</vt:lpstr>
      <vt:lpstr>PA-94</vt:lpstr>
      <vt:lpstr>PA-95</vt:lpstr>
      <vt:lpstr>MPE3-01</vt:lpstr>
      <vt:lpstr>PA-96</vt:lpstr>
      <vt:lpstr>PA-97</vt:lpstr>
      <vt:lpstr>PA-98</vt:lpstr>
      <vt:lpstr>MPEV1-P1-01</vt:lpstr>
      <vt:lpstr>MPEV1-P1-02</vt:lpstr>
      <vt:lpstr>PA-99</vt:lpstr>
      <vt:lpstr>PA-100</vt:lpstr>
      <vt:lpstr>PA-101</vt:lpstr>
      <vt:lpstr>PA-102</vt:lpstr>
      <vt:lpstr>PA-103</vt:lpstr>
      <vt:lpstr>PA-104</vt:lpstr>
      <vt:lpstr>PA-105</vt:lpstr>
      <vt:lpstr>MPEV2-P1-01</vt:lpstr>
      <vt:lpstr>PA-106</vt:lpstr>
      <vt:lpstr>'MPA1-P1-10'!Área_de_impresión</vt:lpstr>
      <vt:lpstr>'MPA1-P2-03'!Área_de_impresión</vt:lpstr>
      <vt:lpstr>'MPA1-P4-04'!Área_de_impresión</vt:lpstr>
      <vt:lpstr>'MPA1-P5-12'!Área_de_impresión</vt:lpstr>
      <vt:lpstr>'MPA4-01'!Área_de_impresión</vt:lpstr>
      <vt:lpstr>'MPA5-P2-03'!Área_de_impresión</vt:lpstr>
      <vt:lpstr>'MPA6-05'!Área_de_impresión</vt:lpstr>
      <vt:lpstr>'MPA7-01'!Área_de_impresión</vt:lpstr>
      <vt:lpstr>'MPE1-01'!Área_de_impresión</vt:lpstr>
      <vt:lpstr>'MPE3-01'!Área_de_impresión</vt:lpstr>
      <vt:lpstr>'MPEV2-P1-01'!Área_de_impresión</vt:lpstr>
      <vt:lpstr>'MPM1-10'!Área_de_impresión</vt:lpstr>
      <vt:lpstr>'MPM2-05'!Área_de_impresión</vt:lpstr>
      <vt:lpstr>'MPM3-01'!Área_de_impresión</vt:lpstr>
      <vt:lpstr>'MPM4-09'!Área_de_impresión</vt:lpstr>
      <vt:lpstr>'MPM4-10'!Área_de_impresión</vt:lpstr>
      <vt:lpstr>'MPM5-P1-10'!Área_de_impresión</vt:lpstr>
      <vt:lpstr>'MPA1-P1-10'!Títulos_a_imprimir</vt:lpstr>
      <vt:lpstr>'MPA1-P2-03'!Títulos_a_imprimir</vt:lpstr>
      <vt:lpstr>'MPA1-P4-04'!Títulos_a_imprimir</vt:lpstr>
      <vt:lpstr>'MPA1-P5-12'!Títulos_a_imprimir</vt:lpstr>
      <vt:lpstr>'MPA4-01'!Títulos_a_imprimir</vt:lpstr>
      <vt:lpstr>'MPA5-P2-03'!Títulos_a_imprimir</vt:lpstr>
      <vt:lpstr>'MPA6-05'!Títulos_a_imprimir</vt:lpstr>
      <vt:lpstr>'MPA7-01'!Títulos_a_imprimir</vt:lpstr>
      <vt:lpstr>'MPE1-01'!Títulos_a_imprimir</vt:lpstr>
      <vt:lpstr>'MPE3-01'!Títulos_a_imprimir</vt:lpstr>
      <vt:lpstr>'MPEV2-P1-01'!Títulos_a_imprimir</vt:lpstr>
      <vt:lpstr>'MPM1-10'!Títulos_a_imprimir</vt:lpstr>
      <vt:lpstr>'MPM2-05'!Títulos_a_imprimir</vt:lpstr>
      <vt:lpstr>'MPM3-01'!Títulos_a_imprimir</vt:lpstr>
      <vt:lpstr>'MPM4-09'!Títulos_a_imprimir</vt:lpstr>
      <vt:lpstr>'MPM5-P1-10'!Títulos_a_imprimir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Nestor Julio Yaselga Lopez</dc:creator>
  <cp:lastModifiedBy>Diana Marcela Gomez Rojas</cp:lastModifiedBy>
  <cp:lastPrinted>2015-06-12T20:33:46Z</cp:lastPrinted>
  <dcterms:created xsi:type="dcterms:W3CDTF">2015-03-06T14:20:26Z</dcterms:created>
  <dcterms:modified xsi:type="dcterms:W3CDTF">2015-10-14T21:32:51Z</dcterms:modified>
</cp:coreProperties>
</file>